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acteristics" sheetId="1" r:id="rId1"/>
    <sheet name="Performance" sheetId="2" r:id="rId2"/>
    <sheet name="Notes" sheetId="3" r:id="rId3"/>
  </sheets>
  <definedNames>
    <definedName name="_xlnm._FilterDatabase" localSheetId="0" hidden="1">Characteristics!$A$1:$O$3167</definedName>
    <definedName name="_xlnm._FilterDatabase" localSheetId="1" hidden="1">Performance!$A$1:$I$3167</definedName>
  </definedNames>
  <calcPr calcId="124519" fullCalcOnLoad="1"/>
</workbook>
</file>

<file path=xl/sharedStrings.xml><?xml version="1.0" encoding="utf-8"?>
<sst xmlns="http://schemas.openxmlformats.org/spreadsheetml/2006/main" count="15211" uniqueCount="3202">
  <si>
    <t>Name</t>
  </si>
  <si>
    <t>Sector</t>
  </si>
  <si>
    <t>Price</t>
  </si>
  <si>
    <t>Dividend Yield</t>
  </si>
  <si>
    <t>1-Year Dividend Growth</t>
  </si>
  <si>
    <t>5-Year Dividend Growth (Annualized)</t>
  </si>
  <si>
    <t>Dividends Per Share (TTM)</t>
  </si>
  <si>
    <t>Market Cap ($M)</t>
  </si>
  <si>
    <t>Trailing P/E Ratio</t>
  </si>
  <si>
    <t>Payout Ratio</t>
  </si>
  <si>
    <t>Beta</t>
  </si>
  <si>
    <t>52-Week High</t>
  </si>
  <si>
    <t>52-Week Low</t>
  </si>
  <si>
    <t>Ticker</t>
  </si>
  <si>
    <t>A</t>
  </si>
  <si>
    <t>AA</t>
  </si>
  <si>
    <t>AAC</t>
  </si>
  <si>
    <t>AAL</t>
  </si>
  <si>
    <t>AAME</t>
  </si>
  <si>
    <t>AAN</t>
  </si>
  <si>
    <t>AAOI</t>
  </si>
  <si>
    <t>AAON</t>
  </si>
  <si>
    <t>AAP</t>
  </si>
  <si>
    <t>AAPL</t>
  </si>
  <si>
    <t>AAT</t>
  </si>
  <si>
    <t>AAWW</t>
  </si>
  <si>
    <t>ABBV</t>
  </si>
  <si>
    <t>ABCB</t>
  </si>
  <si>
    <t>ABEO</t>
  </si>
  <si>
    <t>ABG</t>
  </si>
  <si>
    <t>ABIO</t>
  </si>
  <si>
    <t>ABM</t>
  </si>
  <si>
    <t>ABMD</t>
  </si>
  <si>
    <t>ABR</t>
  </si>
  <si>
    <t>ABT</t>
  </si>
  <si>
    <t>ABTX</t>
  </si>
  <si>
    <t>AC</t>
  </si>
  <si>
    <t>ACA</t>
  </si>
  <si>
    <t>ACAD</t>
  </si>
  <si>
    <t>ACBI</t>
  </si>
  <si>
    <t>ACC</t>
  </si>
  <si>
    <t>ACCO</t>
  </si>
  <si>
    <t>ACER</t>
  </si>
  <si>
    <t>ACGL</t>
  </si>
  <si>
    <t>ACHC</t>
  </si>
  <si>
    <t>ACHN</t>
  </si>
  <si>
    <t>ACHV</t>
  </si>
  <si>
    <t>ACIA</t>
  </si>
  <si>
    <t>ACIW</t>
  </si>
  <si>
    <t>ACLS</t>
  </si>
  <si>
    <t>ACM</t>
  </si>
  <si>
    <t>ACMR</t>
  </si>
  <si>
    <t>ACN</t>
  </si>
  <si>
    <t>ACNB</t>
  </si>
  <si>
    <t>ACOR</t>
  </si>
  <si>
    <t>ACRE</t>
  </si>
  <si>
    <t>ACRS</t>
  </si>
  <si>
    <t>ACRX</t>
  </si>
  <si>
    <t>ACTG</t>
  </si>
  <si>
    <t>ACU</t>
  </si>
  <si>
    <t>ADBE</t>
  </si>
  <si>
    <t>ADC</t>
  </si>
  <si>
    <t>ADES</t>
  </si>
  <si>
    <t>ADI</t>
  </si>
  <si>
    <t>ADM</t>
  </si>
  <si>
    <t>ADMA</t>
  </si>
  <si>
    <t>ADMP</t>
  </si>
  <si>
    <t>ADMS</t>
  </si>
  <si>
    <t>ADNT</t>
  </si>
  <si>
    <t>ADP</t>
  </si>
  <si>
    <t>ADSK</t>
  </si>
  <si>
    <t>ADT</t>
  </si>
  <si>
    <t>ADTN</t>
  </si>
  <si>
    <t>ADUS</t>
  </si>
  <si>
    <t>ADVM</t>
  </si>
  <si>
    <t>ADXS</t>
  </si>
  <si>
    <t>AE</t>
  </si>
  <si>
    <t>AEE</t>
  </si>
  <si>
    <t>AEGN</t>
  </si>
  <si>
    <t>AEHR</t>
  </si>
  <si>
    <t>AEIS</t>
  </si>
  <si>
    <t>AEL</t>
  </si>
  <si>
    <t>AEMD</t>
  </si>
  <si>
    <t>AEO</t>
  </si>
  <si>
    <t>AEP</t>
  </si>
  <si>
    <t>AERI</t>
  </si>
  <si>
    <t>AES</t>
  </si>
  <si>
    <t>AEY</t>
  </si>
  <si>
    <t>AFG</t>
  </si>
  <si>
    <t>AFI</t>
  </si>
  <si>
    <t>AFL</t>
  </si>
  <si>
    <t>AGCO</t>
  </si>
  <si>
    <t>AGE</t>
  </si>
  <si>
    <t>AGEN</t>
  </si>
  <si>
    <t>AGFS</t>
  </si>
  <si>
    <t>AGIO</t>
  </si>
  <si>
    <t>AGLE</t>
  </si>
  <si>
    <t>AGM</t>
  </si>
  <si>
    <t>AGNC</t>
  </si>
  <si>
    <t>AGO</t>
  </si>
  <si>
    <t>AGR</t>
  </si>
  <si>
    <t>AGRX</t>
  </si>
  <si>
    <t>AGS</t>
  </si>
  <si>
    <t>AGTC</t>
  </si>
  <si>
    <t>AGX</t>
  </si>
  <si>
    <t>AGYS</t>
  </si>
  <si>
    <t>AHC</t>
  </si>
  <si>
    <t>AHH</t>
  </si>
  <si>
    <t>AHT</t>
  </si>
  <si>
    <t>AIG</t>
  </si>
  <si>
    <t>AIMC</t>
  </si>
  <si>
    <t>AIMT</t>
  </si>
  <si>
    <t>AIN</t>
  </si>
  <si>
    <t>AINC</t>
  </si>
  <si>
    <t>AIR</t>
  </si>
  <si>
    <t>AIRG</t>
  </si>
  <si>
    <t>AIRI</t>
  </si>
  <si>
    <t>AIRT</t>
  </si>
  <si>
    <t>AIT</t>
  </si>
  <si>
    <t>AIV</t>
  </si>
  <si>
    <t>AIZ</t>
  </si>
  <si>
    <t>AJG</t>
  </si>
  <si>
    <t>AJRD</t>
  </si>
  <si>
    <t>AJX</t>
  </si>
  <si>
    <t>AKAM</t>
  </si>
  <si>
    <t>AKBA</t>
  </si>
  <si>
    <t>AKCA</t>
  </si>
  <si>
    <t>AKR</t>
  </si>
  <si>
    <t>AKTS</t>
  </si>
  <si>
    <t>AL</t>
  </si>
  <si>
    <t>ALB</t>
  </si>
  <si>
    <t>ALBO</t>
  </si>
  <si>
    <t>ALCO</t>
  </si>
  <si>
    <t>ALDX</t>
  </si>
  <si>
    <t>ALE</t>
  </si>
  <si>
    <t>ALEC</t>
  </si>
  <si>
    <t>ALEX</t>
  </si>
  <si>
    <t>ALG</t>
  </si>
  <si>
    <t>ALGN</t>
  </si>
  <si>
    <t>ALGT</t>
  </si>
  <si>
    <t>ALIM</t>
  </si>
  <si>
    <t>ALJJ</t>
  </si>
  <si>
    <t>ALK</t>
  </si>
  <si>
    <t>ALKS</t>
  </si>
  <si>
    <t>ALL</t>
  </si>
  <si>
    <t>ALLE</t>
  </si>
  <si>
    <t>ALLK</t>
  </si>
  <si>
    <t>ALLO</t>
  </si>
  <si>
    <t>ALLY</t>
  </si>
  <si>
    <t>ALNA</t>
  </si>
  <si>
    <t>ALNY</t>
  </si>
  <si>
    <t>ALOT</t>
  </si>
  <si>
    <t>ALPN</t>
  </si>
  <si>
    <t>ALRM</t>
  </si>
  <si>
    <t>ALSK</t>
  </si>
  <si>
    <t>ALSN</t>
  </si>
  <si>
    <t>ALT</t>
  </si>
  <si>
    <t>ALTR</t>
  </si>
  <si>
    <t>ALV</t>
  </si>
  <si>
    <t>ALX</t>
  </si>
  <si>
    <t>ALXN</t>
  </si>
  <si>
    <t>AM</t>
  </si>
  <si>
    <t>AMAL</t>
  </si>
  <si>
    <t>AMAT</t>
  </si>
  <si>
    <t>AMBC</t>
  </si>
  <si>
    <t>AMC</t>
  </si>
  <si>
    <t>AMCR</t>
  </si>
  <si>
    <t>AMCX</t>
  </si>
  <si>
    <t>AMD</t>
  </si>
  <si>
    <t>AME</t>
  </si>
  <si>
    <t>AMED</t>
  </si>
  <si>
    <t>AMEH</t>
  </si>
  <si>
    <t>AMG</t>
  </si>
  <si>
    <t>AMGN</t>
  </si>
  <si>
    <t>AMH</t>
  </si>
  <si>
    <t>AMKR</t>
  </si>
  <si>
    <t>AMN</t>
  </si>
  <si>
    <t>AMNB</t>
  </si>
  <si>
    <t>AMP</t>
  </si>
  <si>
    <t>AMPE</t>
  </si>
  <si>
    <t>AMPH</t>
  </si>
  <si>
    <t>AMR</t>
  </si>
  <si>
    <t>AMRB</t>
  </si>
  <si>
    <t>AMRC</t>
  </si>
  <si>
    <t>AMRK</t>
  </si>
  <si>
    <t>AMRS</t>
  </si>
  <si>
    <t>AMRX</t>
  </si>
  <si>
    <t>AMS</t>
  </si>
  <si>
    <t>AMSC</t>
  </si>
  <si>
    <t>AMSF</t>
  </si>
  <si>
    <t>AMSWA</t>
  </si>
  <si>
    <t>AMT</t>
  </si>
  <si>
    <t>AMTD</t>
  </si>
  <si>
    <t>AMTX</t>
  </si>
  <si>
    <t>AMWD</t>
  </si>
  <si>
    <t>AMZN</t>
  </si>
  <si>
    <t>AN</t>
  </si>
  <si>
    <t>ANAB</t>
  </si>
  <si>
    <t>ANAT</t>
  </si>
  <si>
    <t>ANDE</t>
  </si>
  <si>
    <t>ANET</t>
  </si>
  <si>
    <t>ANF</t>
  </si>
  <si>
    <t>ANGI</t>
  </si>
  <si>
    <t>ANGO</t>
  </si>
  <si>
    <t>ANH</t>
  </si>
  <si>
    <t>ANIK</t>
  </si>
  <si>
    <t>ANIP</t>
  </si>
  <si>
    <t>ANIX</t>
  </si>
  <si>
    <t>ANSS</t>
  </si>
  <si>
    <t>AON</t>
  </si>
  <si>
    <t>AOS</t>
  </si>
  <si>
    <t>AOSL</t>
  </si>
  <si>
    <t>AP</t>
  </si>
  <si>
    <t>APA</t>
  </si>
  <si>
    <t>APAM</t>
  </si>
  <si>
    <t>APD</t>
  </si>
  <si>
    <t>APDN</t>
  </si>
  <si>
    <t>APEI</t>
  </si>
  <si>
    <t>APEN</t>
  </si>
  <si>
    <t>APEX</t>
  </si>
  <si>
    <t>APH</t>
  </si>
  <si>
    <t>APLE</t>
  </si>
  <si>
    <t>APLS</t>
  </si>
  <si>
    <t>APOG</t>
  </si>
  <si>
    <t>APPF</t>
  </si>
  <si>
    <t>APPN</t>
  </si>
  <si>
    <t>APPS</t>
  </si>
  <si>
    <t>APRN</t>
  </si>
  <si>
    <t>APT</t>
  </si>
  <si>
    <t>APTS</t>
  </si>
  <si>
    <t>APTV</t>
  </si>
  <si>
    <t>APVO</t>
  </si>
  <si>
    <t>APYX</t>
  </si>
  <si>
    <t>AQB</t>
  </si>
  <si>
    <t>AQMS</t>
  </si>
  <si>
    <t>AQUA</t>
  </si>
  <si>
    <t>AR</t>
  </si>
  <si>
    <t>ARA</t>
  </si>
  <si>
    <t>ARAV</t>
  </si>
  <si>
    <t>ARAY</t>
  </si>
  <si>
    <t>ARC</t>
  </si>
  <si>
    <t>ARCB</t>
  </si>
  <si>
    <t>ARCH</t>
  </si>
  <si>
    <t>ARDX</t>
  </si>
  <si>
    <t>ARE</t>
  </si>
  <si>
    <t>ARES</t>
  </si>
  <si>
    <t>ARGO</t>
  </si>
  <si>
    <t>ARI</t>
  </si>
  <si>
    <t>ARKR</t>
  </si>
  <si>
    <t>ARL</t>
  </si>
  <si>
    <t>ARLO</t>
  </si>
  <si>
    <t>ARMK</t>
  </si>
  <si>
    <t>ARMP</t>
  </si>
  <si>
    <t>ARNA</t>
  </si>
  <si>
    <t>ARNC</t>
  </si>
  <si>
    <t>AROC</t>
  </si>
  <si>
    <t>AROW</t>
  </si>
  <si>
    <t>ARPO</t>
  </si>
  <si>
    <t>ARR</t>
  </si>
  <si>
    <t>ARTNA</t>
  </si>
  <si>
    <t>ARTW</t>
  </si>
  <si>
    <t>ARVN</t>
  </si>
  <si>
    <t>ARW</t>
  </si>
  <si>
    <t>ARWR</t>
  </si>
  <si>
    <t>ASB</t>
  </si>
  <si>
    <t>ASGN</t>
  </si>
  <si>
    <t>ASH</t>
  </si>
  <si>
    <t>ASIX</t>
  </si>
  <si>
    <t>ASMB</t>
  </si>
  <si>
    <t>ASPN</t>
  </si>
  <si>
    <t>ASPS</t>
  </si>
  <si>
    <t>ASPU</t>
  </si>
  <si>
    <t>ASRT</t>
  </si>
  <si>
    <t>ASRV</t>
  </si>
  <si>
    <t>ASTC</t>
  </si>
  <si>
    <t>ASTE</t>
  </si>
  <si>
    <t>ASUR</t>
  </si>
  <si>
    <t>ASYS</t>
  </si>
  <si>
    <t>ATEC</t>
  </si>
  <si>
    <t>ATEN</t>
  </si>
  <si>
    <t>ATEX</t>
  </si>
  <si>
    <t>ATGE</t>
  </si>
  <si>
    <t>ATH</t>
  </si>
  <si>
    <t>ATHX</t>
  </si>
  <si>
    <t>ATI</t>
  </si>
  <si>
    <t>ATKR</t>
  </si>
  <si>
    <t>ATLC</t>
  </si>
  <si>
    <t>ATLO</t>
  </si>
  <si>
    <t>ATNI</t>
  </si>
  <si>
    <t>ATNM</t>
  </si>
  <si>
    <t>ATNX</t>
  </si>
  <si>
    <t>ATO</t>
  </si>
  <si>
    <t>ATOS</t>
  </si>
  <si>
    <t>ATR</t>
  </si>
  <si>
    <t>ATRA</t>
  </si>
  <si>
    <t>ATRC</t>
  </si>
  <si>
    <t>ATRI</t>
  </si>
  <si>
    <t>ATRO</t>
  </si>
  <si>
    <t>ATRS</t>
  </si>
  <si>
    <t>ATSG</t>
  </si>
  <si>
    <t>ATUS</t>
  </si>
  <si>
    <t>ATVI</t>
  </si>
  <si>
    <t>AUB</t>
  </si>
  <si>
    <t>AUBN</t>
  </si>
  <si>
    <t>AUMN</t>
  </si>
  <si>
    <t>AUTO</t>
  </si>
  <si>
    <t>AVA</t>
  </si>
  <si>
    <t>AVAV</t>
  </si>
  <si>
    <t>AVB</t>
  </si>
  <si>
    <t>AVD</t>
  </si>
  <si>
    <t>AVEO</t>
  </si>
  <si>
    <t>AVGO</t>
  </si>
  <si>
    <t>AVGR</t>
  </si>
  <si>
    <t>AVID</t>
  </si>
  <si>
    <t>AVLR</t>
  </si>
  <si>
    <t>AVNS</t>
  </si>
  <si>
    <t>AVNW</t>
  </si>
  <si>
    <t>AVRO</t>
  </si>
  <si>
    <t>AVT</t>
  </si>
  <si>
    <t>AVTR</t>
  </si>
  <si>
    <t>AVXL</t>
  </si>
  <si>
    <t>AVY</t>
  </si>
  <si>
    <t>AVYA</t>
  </si>
  <si>
    <t>AWI</t>
  </si>
  <si>
    <t>AWK</t>
  </si>
  <si>
    <t>AWR</t>
  </si>
  <si>
    <t>AWRE</t>
  </si>
  <si>
    <t>AX</t>
  </si>
  <si>
    <t>AXAS</t>
  </si>
  <si>
    <t>AXDX</t>
  </si>
  <si>
    <t>AXGN</t>
  </si>
  <si>
    <t>AXL</t>
  </si>
  <si>
    <t>AXNX</t>
  </si>
  <si>
    <t>AXP</t>
  </si>
  <si>
    <t>AXR</t>
  </si>
  <si>
    <t>AXS</t>
  </si>
  <si>
    <t>AXSM</t>
  </si>
  <si>
    <t>AXTA</t>
  </si>
  <si>
    <t>AXTI</t>
  </si>
  <si>
    <t>AYI</t>
  </si>
  <si>
    <t>AYX</t>
  </si>
  <si>
    <t>AZO</t>
  </si>
  <si>
    <t>AZPN</t>
  </si>
  <si>
    <t>AZZ</t>
  </si>
  <si>
    <t>B</t>
  </si>
  <si>
    <t>BA</t>
  </si>
  <si>
    <t>BAC</t>
  </si>
  <si>
    <t>BAH</t>
  </si>
  <si>
    <t>BANC</t>
  </si>
  <si>
    <t>BAND</t>
  </si>
  <si>
    <t>BANF</t>
  </si>
  <si>
    <t>BANR</t>
  </si>
  <si>
    <t>BATRA</t>
  </si>
  <si>
    <t>BATRK</t>
  </si>
  <si>
    <t>BAX</t>
  </si>
  <si>
    <t>BBBY</t>
  </si>
  <si>
    <t>BBCP</t>
  </si>
  <si>
    <t>BBGI</t>
  </si>
  <si>
    <t>BBSI</t>
  </si>
  <si>
    <t>BBW</t>
  </si>
  <si>
    <t>BBY</t>
  </si>
  <si>
    <t>BC</t>
  </si>
  <si>
    <t>BCBP</t>
  </si>
  <si>
    <t>BCC</t>
  </si>
  <si>
    <t>BCLI</t>
  </si>
  <si>
    <t>BCO</t>
  </si>
  <si>
    <t>BCOR</t>
  </si>
  <si>
    <t>BCOV</t>
  </si>
  <si>
    <t>BCPC</t>
  </si>
  <si>
    <t>BCRX</t>
  </si>
  <si>
    <t>BDC</t>
  </si>
  <si>
    <t>BDGE</t>
  </si>
  <si>
    <t>BDL</t>
  </si>
  <si>
    <t>BDN</t>
  </si>
  <si>
    <t>BDSI</t>
  </si>
  <si>
    <t>BDX</t>
  </si>
  <si>
    <t>BE</t>
  </si>
  <si>
    <t>BEAT</t>
  </si>
  <si>
    <t>BECN</t>
  </si>
  <si>
    <t>BELFA</t>
  </si>
  <si>
    <t>BELFB</t>
  </si>
  <si>
    <t>BEN</t>
  </si>
  <si>
    <t>BERY</t>
  </si>
  <si>
    <t>BFAM</t>
  </si>
  <si>
    <t>BFIN</t>
  </si>
  <si>
    <t>BFS</t>
  </si>
  <si>
    <t>BFST</t>
  </si>
  <si>
    <t>BG</t>
  </si>
  <si>
    <t>BGCP</t>
  </si>
  <si>
    <t>BGFV</t>
  </si>
  <si>
    <t>BGS</t>
  </si>
  <si>
    <t>BGSF</t>
  </si>
  <si>
    <t>BH</t>
  </si>
  <si>
    <t>BHB</t>
  </si>
  <si>
    <t>BHE</t>
  </si>
  <si>
    <t>BHF</t>
  </si>
  <si>
    <t>BHLB</t>
  </si>
  <si>
    <t>BHR</t>
  </si>
  <si>
    <t>BHVN</t>
  </si>
  <si>
    <t>BIG</t>
  </si>
  <si>
    <t>BIIB</t>
  </si>
  <si>
    <t>BIO</t>
  </si>
  <si>
    <t>BIOC</t>
  </si>
  <si>
    <t>BIOL</t>
  </si>
  <si>
    <t>BIOS</t>
  </si>
  <si>
    <t>BJ</t>
  </si>
  <si>
    <t>BJRI</t>
  </si>
  <si>
    <t>BK</t>
  </si>
  <si>
    <t>BKD</t>
  </si>
  <si>
    <t>BKE</t>
  </si>
  <si>
    <t>BKH</t>
  </si>
  <si>
    <t>BKI</t>
  </si>
  <si>
    <t>BKNG</t>
  </si>
  <si>
    <t>BKSC</t>
  </si>
  <si>
    <t>BKTI</t>
  </si>
  <si>
    <t>BKU</t>
  </si>
  <si>
    <t>BL</t>
  </si>
  <si>
    <t>BLBD</t>
  </si>
  <si>
    <t>BLCM</t>
  </si>
  <si>
    <t>BLD</t>
  </si>
  <si>
    <t>BLDR</t>
  </si>
  <si>
    <t>BLFS</t>
  </si>
  <si>
    <t>BLK</t>
  </si>
  <si>
    <t>BLKB</t>
  </si>
  <si>
    <t>BLL</t>
  </si>
  <si>
    <t>BLMN</t>
  </si>
  <si>
    <t>BLUE</t>
  </si>
  <si>
    <t>BMCH</t>
  </si>
  <si>
    <t>BMI</t>
  </si>
  <si>
    <t>BMRC</t>
  </si>
  <si>
    <t>BMRN</t>
  </si>
  <si>
    <t>BMTC</t>
  </si>
  <si>
    <t>BMY</t>
  </si>
  <si>
    <t>BNED</t>
  </si>
  <si>
    <t>BNFT</t>
  </si>
  <si>
    <t>BOCH</t>
  </si>
  <si>
    <t>BOH</t>
  </si>
  <si>
    <t>BOKF</t>
  </si>
  <si>
    <t>BOMN</t>
  </si>
  <si>
    <t>BOOM</t>
  </si>
  <si>
    <t>BOOT</t>
  </si>
  <si>
    <t>BOTJ</t>
  </si>
  <si>
    <t>BOX</t>
  </si>
  <si>
    <t>BPFH</t>
  </si>
  <si>
    <t>BPMC</t>
  </si>
  <si>
    <t>BPOP</t>
  </si>
  <si>
    <t>BPRN</t>
  </si>
  <si>
    <t>BPTH</t>
  </si>
  <si>
    <t>BR</t>
  </si>
  <si>
    <t>BRC</t>
  </si>
  <si>
    <t>BRG</t>
  </si>
  <si>
    <t>BRID</t>
  </si>
  <si>
    <t>BRKL</t>
  </si>
  <si>
    <t>BRKR</t>
  </si>
  <si>
    <t>BRN</t>
  </si>
  <si>
    <t>BRO</t>
  </si>
  <si>
    <t>BRT</t>
  </si>
  <si>
    <t>BRX</t>
  </si>
  <si>
    <t>BRY</t>
  </si>
  <si>
    <t>BSET</t>
  </si>
  <si>
    <t>BSGM</t>
  </si>
  <si>
    <t>BSQR</t>
  </si>
  <si>
    <t>BSRR</t>
  </si>
  <si>
    <t>BSTC</t>
  </si>
  <si>
    <t>BSX</t>
  </si>
  <si>
    <t>BTU</t>
  </si>
  <si>
    <t>BURL</t>
  </si>
  <si>
    <t>BUSE</t>
  </si>
  <si>
    <t>BV</t>
  </si>
  <si>
    <t>BW</t>
  </si>
  <si>
    <t>BWA</t>
  </si>
  <si>
    <t>BWB</t>
  </si>
  <si>
    <t>BWEN</t>
  </si>
  <si>
    <t>BWFG</t>
  </si>
  <si>
    <t>BWXT</t>
  </si>
  <si>
    <t>BXC</t>
  </si>
  <si>
    <t>BXMT</t>
  </si>
  <si>
    <t>BXP</t>
  </si>
  <si>
    <t>BY</t>
  </si>
  <si>
    <t>BYD</t>
  </si>
  <si>
    <t>BYFC</t>
  </si>
  <si>
    <t>BYND</t>
  </si>
  <si>
    <t>BZH</t>
  </si>
  <si>
    <t>C</t>
  </si>
  <si>
    <t>CABO</t>
  </si>
  <si>
    <t>CAC</t>
  </si>
  <si>
    <t>CACC</t>
  </si>
  <si>
    <t>CACI</t>
  </si>
  <si>
    <t>CADE</t>
  </si>
  <si>
    <t>CAG</t>
  </si>
  <si>
    <t>CAH</t>
  </si>
  <si>
    <t>CAI</t>
  </si>
  <si>
    <t>CAKE</t>
  </si>
  <si>
    <t>CAL</t>
  </si>
  <si>
    <t>CALA</t>
  </si>
  <si>
    <t>CALM</t>
  </si>
  <si>
    <t>CALX</t>
  </si>
  <si>
    <t>CAMP</t>
  </si>
  <si>
    <t>CAPR</t>
  </si>
  <si>
    <t>CAR</t>
  </si>
  <si>
    <t>CARA</t>
  </si>
  <si>
    <t>CARE</t>
  </si>
  <si>
    <t>CARG</t>
  </si>
  <si>
    <t>CARS</t>
  </si>
  <si>
    <t>CART</t>
  </si>
  <si>
    <t>CASA</t>
  </si>
  <si>
    <t>CASH</t>
  </si>
  <si>
    <t>CASI</t>
  </si>
  <si>
    <t>CASS</t>
  </si>
  <si>
    <t>CASY</t>
  </si>
  <si>
    <t>CAT</t>
  </si>
  <si>
    <t>CATC</t>
  </si>
  <si>
    <t>CATM</t>
  </si>
  <si>
    <t>CATO</t>
  </si>
  <si>
    <t>CATY</t>
  </si>
  <si>
    <t>CB</t>
  </si>
  <si>
    <t>CBAN</t>
  </si>
  <si>
    <t>CBAY</t>
  </si>
  <si>
    <t>CBB</t>
  </si>
  <si>
    <t>CBFV</t>
  </si>
  <si>
    <t>CBL</t>
  </si>
  <si>
    <t>CBMG</t>
  </si>
  <si>
    <t>CBOE</t>
  </si>
  <si>
    <t>CBRE</t>
  </si>
  <si>
    <t>CBRL</t>
  </si>
  <si>
    <t>CBSH</t>
  </si>
  <si>
    <t>CBT</t>
  </si>
  <si>
    <t>CBU</t>
  </si>
  <si>
    <t>CBZ</t>
  </si>
  <si>
    <t>CC</t>
  </si>
  <si>
    <t>CCBG</t>
  </si>
  <si>
    <t>CCF</t>
  </si>
  <si>
    <t>CCI</t>
  </si>
  <si>
    <t>CCK</t>
  </si>
  <si>
    <t>CCL</t>
  </si>
  <si>
    <t>CCMP</t>
  </si>
  <si>
    <t>CCNE</t>
  </si>
  <si>
    <t>CCO</t>
  </si>
  <si>
    <t>CCOI</t>
  </si>
  <si>
    <t>CCRN</t>
  </si>
  <si>
    <t>CCS</t>
  </si>
  <si>
    <t>CCXI</t>
  </si>
  <si>
    <t>CDAY</t>
  </si>
  <si>
    <t>CDE</t>
  </si>
  <si>
    <t>CDK</t>
  </si>
  <si>
    <t>CDLX</t>
  </si>
  <si>
    <t>CDMO</t>
  </si>
  <si>
    <t>CDNA</t>
  </si>
  <si>
    <t>CDNS</t>
  </si>
  <si>
    <t>CDR</t>
  </si>
  <si>
    <t>CDTX</t>
  </si>
  <si>
    <t>CDW</t>
  </si>
  <si>
    <t>CDXC</t>
  </si>
  <si>
    <t>CDXS</t>
  </si>
  <si>
    <t>CDZI</t>
  </si>
  <si>
    <t>CE</t>
  </si>
  <si>
    <t>CECO</t>
  </si>
  <si>
    <t>CEI</t>
  </si>
  <si>
    <t>CEIX</t>
  </si>
  <si>
    <t>CELC</t>
  </si>
  <si>
    <t>CELH</t>
  </si>
  <si>
    <t>CEMI</t>
  </si>
  <si>
    <t>CENT</t>
  </si>
  <si>
    <t>CENTA</t>
  </si>
  <si>
    <t>CENX</t>
  </si>
  <si>
    <t>CERN</t>
  </si>
  <si>
    <t>CERS</t>
  </si>
  <si>
    <t>CETX</t>
  </si>
  <si>
    <t>CEVA</t>
  </si>
  <si>
    <t>CF</t>
  </si>
  <si>
    <t>CFBK</t>
  </si>
  <si>
    <t>CFFI</t>
  </si>
  <si>
    <t>CFFN</t>
  </si>
  <si>
    <t>CFG</t>
  </si>
  <si>
    <t>CFMS</t>
  </si>
  <si>
    <t>CFR</t>
  </si>
  <si>
    <t>CGIX</t>
  </si>
  <si>
    <t>CGNX</t>
  </si>
  <si>
    <t>CHCI</t>
  </si>
  <si>
    <t>CHCO</t>
  </si>
  <si>
    <t>CHCT</t>
  </si>
  <si>
    <t>CHD</t>
  </si>
  <si>
    <t>CHDN</t>
  </si>
  <si>
    <t>CHE</t>
  </si>
  <si>
    <t>CHEF</t>
  </si>
  <si>
    <t>CHGG</t>
  </si>
  <si>
    <t>CHH</t>
  </si>
  <si>
    <t>CHK</t>
  </si>
  <si>
    <t>CHMA</t>
  </si>
  <si>
    <t>CHMG</t>
  </si>
  <si>
    <t>CHMI</t>
  </si>
  <si>
    <t>CHRS</t>
  </si>
  <si>
    <t>CHRW</t>
  </si>
  <si>
    <t>CHS</t>
  </si>
  <si>
    <t>CHTR</t>
  </si>
  <si>
    <t>CHUY</t>
  </si>
  <si>
    <t>CI</t>
  </si>
  <si>
    <t>CIA</t>
  </si>
  <si>
    <t>CIEN</t>
  </si>
  <si>
    <t>CIM</t>
  </si>
  <si>
    <t>CINF</t>
  </si>
  <si>
    <t>CIO</t>
  </si>
  <si>
    <t>CIR</t>
  </si>
  <si>
    <t>CIT</t>
  </si>
  <si>
    <t>CIVB</t>
  </si>
  <si>
    <t>CIX</t>
  </si>
  <si>
    <t>CIZN</t>
  </si>
  <si>
    <t>CKH</t>
  </si>
  <si>
    <t>CKX</t>
  </si>
  <si>
    <t>CL</t>
  </si>
  <si>
    <t>CLAR</t>
  </si>
  <si>
    <t>CLB</t>
  </si>
  <si>
    <t>CLBK</t>
  </si>
  <si>
    <t>CLCT</t>
  </si>
  <si>
    <t>CLDR</t>
  </si>
  <si>
    <t>CLDT</t>
  </si>
  <si>
    <t>CLDX</t>
  </si>
  <si>
    <t>CLF</t>
  </si>
  <si>
    <t>CLFD</t>
  </si>
  <si>
    <t>CLGX</t>
  </si>
  <si>
    <t>CLH</t>
  </si>
  <si>
    <t>CLIR</t>
  </si>
  <si>
    <t>CLNE</t>
  </si>
  <si>
    <t>CLPR</t>
  </si>
  <si>
    <t>CLR</t>
  </si>
  <si>
    <t>CLRB</t>
  </si>
  <si>
    <t>CLRO</t>
  </si>
  <si>
    <t>CLVS</t>
  </si>
  <si>
    <t>CLW</t>
  </si>
  <si>
    <t>CLX</t>
  </si>
  <si>
    <t>CMA</t>
  </si>
  <si>
    <t>CMC</t>
  </si>
  <si>
    <t>CMCO</t>
  </si>
  <si>
    <t>CMCSA</t>
  </si>
  <si>
    <t>CMCT</t>
  </si>
  <si>
    <t>CMD</t>
  </si>
  <si>
    <t>CME</t>
  </si>
  <si>
    <t>CMG</t>
  </si>
  <si>
    <t>CMI</t>
  </si>
  <si>
    <t>CMO</t>
  </si>
  <si>
    <t>CMP</t>
  </si>
  <si>
    <t>CMRX</t>
  </si>
  <si>
    <t>CMS</t>
  </si>
  <si>
    <t>CMT</t>
  </si>
  <si>
    <t>CMTL</t>
  </si>
  <si>
    <t>CNA</t>
  </si>
  <si>
    <t>CNBKA</t>
  </si>
  <si>
    <t>CNC</t>
  </si>
  <si>
    <t>CNCE</t>
  </si>
  <si>
    <t>CNDT</t>
  </si>
  <si>
    <t>CNFR</t>
  </si>
  <si>
    <t>CNK</t>
  </si>
  <si>
    <t>CNMD</t>
  </si>
  <si>
    <t>CNNE</t>
  </si>
  <si>
    <t>CNO</t>
  </si>
  <si>
    <t>CNOB</t>
  </si>
  <si>
    <t>CNP</t>
  </si>
  <si>
    <t>CNR</t>
  </si>
  <si>
    <t>CNS</t>
  </si>
  <si>
    <t>CNSL</t>
  </si>
  <si>
    <t>CNTY</t>
  </si>
  <si>
    <t>CNX</t>
  </si>
  <si>
    <t>CNXN</t>
  </si>
  <si>
    <t>CODA</t>
  </si>
  <si>
    <t>COF</t>
  </si>
  <si>
    <t>COG</t>
  </si>
  <si>
    <t>COHN</t>
  </si>
  <si>
    <t>COHR</t>
  </si>
  <si>
    <t>COHU</t>
  </si>
  <si>
    <t>COKE</t>
  </si>
  <si>
    <t>COLB</t>
  </si>
  <si>
    <t>COLD</t>
  </si>
  <si>
    <t>COLL</t>
  </si>
  <si>
    <t>COLM</t>
  </si>
  <si>
    <t>COMM</t>
  </si>
  <si>
    <t>CONE</t>
  </si>
  <si>
    <t>CONN</t>
  </si>
  <si>
    <t>COO</t>
  </si>
  <si>
    <t>COOP</t>
  </si>
  <si>
    <t>COP</t>
  </si>
  <si>
    <t>COR</t>
  </si>
  <si>
    <t>CORE</t>
  </si>
  <si>
    <t>CORR</t>
  </si>
  <si>
    <t>CORT</t>
  </si>
  <si>
    <t>COST</t>
  </si>
  <si>
    <t>COTY</t>
  </si>
  <si>
    <t>COUP</t>
  </si>
  <si>
    <t>COWN</t>
  </si>
  <si>
    <t>CPB</t>
  </si>
  <si>
    <t>CPE</t>
  </si>
  <si>
    <t>CPF</t>
  </si>
  <si>
    <t>CPHC</t>
  </si>
  <si>
    <t>CPIX</t>
  </si>
  <si>
    <t>CPK</t>
  </si>
  <si>
    <t>CPLG</t>
  </si>
  <si>
    <t>CPRI</t>
  </si>
  <si>
    <t>CPRT</t>
  </si>
  <si>
    <t>CPRX</t>
  </si>
  <si>
    <t>CPS</t>
  </si>
  <si>
    <t>CPSH</t>
  </si>
  <si>
    <t>CPSI</t>
  </si>
  <si>
    <t>CPSS</t>
  </si>
  <si>
    <t>CPT</t>
  </si>
  <si>
    <t>CR</t>
  </si>
  <si>
    <t>CRAI</t>
  </si>
  <si>
    <t>CRBP</t>
  </si>
  <si>
    <t>CRC</t>
  </si>
  <si>
    <t>CREE</t>
  </si>
  <si>
    <t>CRI</t>
  </si>
  <si>
    <t>CRIS</t>
  </si>
  <si>
    <t>CRK</t>
  </si>
  <si>
    <t>CRL</t>
  </si>
  <si>
    <t>CRM</t>
  </si>
  <si>
    <t>CRMD</t>
  </si>
  <si>
    <t>CRMT</t>
  </si>
  <si>
    <t>CRNX</t>
  </si>
  <si>
    <t>CROX</t>
  </si>
  <si>
    <t>CRS</t>
  </si>
  <si>
    <t>CRUS</t>
  </si>
  <si>
    <t>CRVL</t>
  </si>
  <si>
    <t>CRVS</t>
  </si>
  <si>
    <t>CRWS</t>
  </si>
  <si>
    <t>CSCO</t>
  </si>
  <si>
    <t>CSGP</t>
  </si>
  <si>
    <t>CSGS</t>
  </si>
  <si>
    <t>CSII</t>
  </si>
  <si>
    <t>CSL</t>
  </si>
  <si>
    <t>CSLT</t>
  </si>
  <si>
    <t>CSOD</t>
  </si>
  <si>
    <t>CSPI</t>
  </si>
  <si>
    <t>CSTR</t>
  </si>
  <si>
    <t>CSV</t>
  </si>
  <si>
    <t>CSWI</t>
  </si>
  <si>
    <t>CSX</t>
  </si>
  <si>
    <t>CTAS</t>
  </si>
  <si>
    <t>CTB</t>
  </si>
  <si>
    <t>CTBI</t>
  </si>
  <si>
    <t>CTG</t>
  </si>
  <si>
    <t>CTHR</t>
  </si>
  <si>
    <t>CTIC</t>
  </si>
  <si>
    <t>CTLT</t>
  </si>
  <si>
    <t>CTMX</t>
  </si>
  <si>
    <t>CTO</t>
  </si>
  <si>
    <t>CTRA</t>
  </si>
  <si>
    <t>CTRE</t>
  </si>
  <si>
    <t>CTRN</t>
  </si>
  <si>
    <t>CTS</t>
  </si>
  <si>
    <t>CTSH</t>
  </si>
  <si>
    <t>CTSO</t>
  </si>
  <si>
    <t>CTT</t>
  </si>
  <si>
    <t>CTVA</t>
  </si>
  <si>
    <t>CTXS</t>
  </si>
  <si>
    <t>CUB</t>
  </si>
  <si>
    <t>CUBE</t>
  </si>
  <si>
    <t>CUBI</t>
  </si>
  <si>
    <t>CUE</t>
  </si>
  <si>
    <t>CULP</t>
  </si>
  <si>
    <t>CURO</t>
  </si>
  <si>
    <t>CUTR</t>
  </si>
  <si>
    <t>CUZ</t>
  </si>
  <si>
    <t>CVA</t>
  </si>
  <si>
    <t>CVBF</t>
  </si>
  <si>
    <t>CVCO</t>
  </si>
  <si>
    <t>CVCY</t>
  </si>
  <si>
    <t>CVET</t>
  </si>
  <si>
    <t>CVGI</t>
  </si>
  <si>
    <t>CVGW</t>
  </si>
  <si>
    <t>CVI</t>
  </si>
  <si>
    <t>CVLT</t>
  </si>
  <si>
    <t>CVLY</t>
  </si>
  <si>
    <t>CVM</t>
  </si>
  <si>
    <t>CVNA</t>
  </si>
  <si>
    <t>CVR</t>
  </si>
  <si>
    <t>CVS</t>
  </si>
  <si>
    <t>CVU</t>
  </si>
  <si>
    <t>CVV</t>
  </si>
  <si>
    <t>CVX</t>
  </si>
  <si>
    <t>CW</t>
  </si>
  <si>
    <t>CWBC</t>
  </si>
  <si>
    <t>CWBR</t>
  </si>
  <si>
    <t>CWEN</t>
  </si>
  <si>
    <t>CWH</t>
  </si>
  <si>
    <t>CWST</t>
  </si>
  <si>
    <t>CWT</t>
  </si>
  <si>
    <t>CXO</t>
  </si>
  <si>
    <t>CXP</t>
  </si>
  <si>
    <t>CXW</t>
  </si>
  <si>
    <t>CYAN</t>
  </si>
  <si>
    <t>CYBE</t>
  </si>
  <si>
    <t>CYCC</t>
  </si>
  <si>
    <t>CYCN</t>
  </si>
  <si>
    <t>CYH</t>
  </si>
  <si>
    <t>CYRX</t>
  </si>
  <si>
    <t>CYTK</t>
  </si>
  <si>
    <t>CYTR</t>
  </si>
  <si>
    <t>CZNC</t>
  </si>
  <si>
    <t>CZR</t>
  </si>
  <si>
    <t>CZWI</t>
  </si>
  <si>
    <t>D</t>
  </si>
  <si>
    <t>DAIO</t>
  </si>
  <si>
    <t>DAKT</t>
  </si>
  <si>
    <t>DAL</t>
  </si>
  <si>
    <t>DAN</t>
  </si>
  <si>
    <t>DAR</t>
  </si>
  <si>
    <t>DARE</t>
  </si>
  <si>
    <t>DAVE</t>
  </si>
  <si>
    <t>DBD</t>
  </si>
  <si>
    <t>DBI</t>
  </si>
  <si>
    <t>DBX</t>
  </si>
  <si>
    <t>DCI</t>
  </si>
  <si>
    <t>DCO</t>
  </si>
  <si>
    <t>DCOM</t>
  </si>
  <si>
    <t>DCPH</t>
  </si>
  <si>
    <t>DD</t>
  </si>
  <si>
    <t>DDD</t>
  </si>
  <si>
    <t>DDS</t>
  </si>
  <si>
    <t>DE</t>
  </si>
  <si>
    <t>DEA</t>
  </si>
  <si>
    <t>DECK</t>
  </si>
  <si>
    <t>DEI</t>
  </si>
  <si>
    <t>DELL</t>
  </si>
  <si>
    <t>DENN</t>
  </si>
  <si>
    <t>DERM</t>
  </si>
  <si>
    <t>DFIN</t>
  </si>
  <si>
    <t>DFS</t>
  </si>
  <si>
    <t>DG</t>
  </si>
  <si>
    <t>DGICA</t>
  </si>
  <si>
    <t>DGII</t>
  </si>
  <si>
    <t>DGLY</t>
  </si>
  <si>
    <t>DGX</t>
  </si>
  <si>
    <t>DHI</t>
  </si>
  <si>
    <t>DHIL</t>
  </si>
  <si>
    <t>DHR</t>
  </si>
  <si>
    <t>DHX</t>
  </si>
  <si>
    <t>DIN</t>
  </si>
  <si>
    <t>DIOD</t>
  </si>
  <si>
    <t>DIS</t>
  </si>
  <si>
    <t>DISCK</t>
  </si>
  <si>
    <t>DISH</t>
  </si>
  <si>
    <t>DIT</t>
  </si>
  <si>
    <t>DJCO</t>
  </si>
  <si>
    <t>DK</t>
  </si>
  <si>
    <t>DKS</t>
  </si>
  <si>
    <t>DLA</t>
  </si>
  <si>
    <t>DLB</t>
  </si>
  <si>
    <t>DLHC</t>
  </si>
  <si>
    <t>DLR</t>
  </si>
  <si>
    <t>DLTH</t>
  </si>
  <si>
    <t>DLTR</t>
  </si>
  <si>
    <t>DLX</t>
  </si>
  <si>
    <t>DMRC</t>
  </si>
  <si>
    <t>DNKN</t>
  </si>
  <si>
    <t>DNLI</t>
  </si>
  <si>
    <t>DNOW</t>
  </si>
  <si>
    <t>DO</t>
  </si>
  <si>
    <t>DOC</t>
  </si>
  <si>
    <t>DOCU</t>
  </si>
  <si>
    <t>DOMO</t>
  </si>
  <si>
    <t>DOOR</t>
  </si>
  <si>
    <t>DORM</t>
  </si>
  <si>
    <t>DOV</t>
  </si>
  <si>
    <t>DOW</t>
  </si>
  <si>
    <t>DPZ</t>
  </si>
  <si>
    <t>DRE</t>
  </si>
  <si>
    <t>DRH</t>
  </si>
  <si>
    <t>DRI</t>
  </si>
  <si>
    <t>DRNA</t>
  </si>
  <si>
    <t>DRQ</t>
  </si>
  <si>
    <t>DRRX</t>
  </si>
  <si>
    <t>DS</t>
  </si>
  <si>
    <t>DSKE</t>
  </si>
  <si>
    <t>DSPG</t>
  </si>
  <si>
    <t>DSS</t>
  </si>
  <si>
    <t>DTE</t>
  </si>
  <si>
    <t>DUK</t>
  </si>
  <si>
    <t>DVA</t>
  </si>
  <si>
    <t>DVAX</t>
  </si>
  <si>
    <t>DVD</t>
  </si>
  <si>
    <t>DVN</t>
  </si>
  <si>
    <t>DWSN</t>
  </si>
  <si>
    <t>DX</t>
  </si>
  <si>
    <t>DXC</t>
  </si>
  <si>
    <t>DXCM</t>
  </si>
  <si>
    <t>DXLG</t>
  </si>
  <si>
    <t>DXPE</t>
  </si>
  <si>
    <t>DXYN</t>
  </si>
  <si>
    <t>DY</t>
  </si>
  <si>
    <t>DYAI</t>
  </si>
  <si>
    <t>DZSI</t>
  </si>
  <si>
    <t>EA</t>
  </si>
  <si>
    <t>EAF</t>
  </si>
  <si>
    <t>EARN</t>
  </si>
  <si>
    <t>EAT</t>
  </si>
  <si>
    <t>EB</t>
  </si>
  <si>
    <t>EBAY</t>
  </si>
  <si>
    <t>EBF</t>
  </si>
  <si>
    <t>EBIX</t>
  </si>
  <si>
    <t>EBMT</t>
  </si>
  <si>
    <t>EBS</t>
  </si>
  <si>
    <t>EBSB</t>
  </si>
  <si>
    <t>EBTC</t>
  </si>
  <si>
    <t>ECHO</t>
  </si>
  <si>
    <t>ECL</t>
  </si>
  <si>
    <t>ECOL</t>
  </si>
  <si>
    <t>ECOM</t>
  </si>
  <si>
    <t>ECPG</t>
  </si>
  <si>
    <t>ED</t>
  </si>
  <si>
    <t>EDIT</t>
  </si>
  <si>
    <t>EDUC</t>
  </si>
  <si>
    <t>EE</t>
  </si>
  <si>
    <t>EEFT</t>
  </si>
  <si>
    <t>EEX</t>
  </si>
  <si>
    <t>EFC</t>
  </si>
  <si>
    <t>EFOI</t>
  </si>
  <si>
    <t>EFSC</t>
  </si>
  <si>
    <t>EFX</t>
  </si>
  <si>
    <t>EGAN</t>
  </si>
  <si>
    <t>EGBN</t>
  </si>
  <si>
    <t>EGHT</t>
  </si>
  <si>
    <t>EGLE</t>
  </si>
  <si>
    <t>EGOV</t>
  </si>
  <si>
    <t>EGP</t>
  </si>
  <si>
    <t>EGRX</t>
  </si>
  <si>
    <t>EGY</t>
  </si>
  <si>
    <t>EHC</t>
  </si>
  <si>
    <t>EHTH</t>
  </si>
  <si>
    <t>EIDX</t>
  </si>
  <si>
    <t>EIG</t>
  </si>
  <si>
    <t>EIGI</t>
  </si>
  <si>
    <t>EIGR</t>
  </si>
  <si>
    <t>EIX</t>
  </si>
  <si>
    <t>EKSO</t>
  </si>
  <si>
    <t>EL</t>
  </si>
  <si>
    <t>ELAN</t>
  </si>
  <si>
    <t>ELF</t>
  </si>
  <si>
    <t>ELMD</t>
  </si>
  <si>
    <t>ELOX</t>
  </si>
  <si>
    <t>ELS</t>
  </si>
  <si>
    <t>ELSE</t>
  </si>
  <si>
    <t>ELVT</t>
  </si>
  <si>
    <t>ELY</t>
  </si>
  <si>
    <t>EMAN</t>
  </si>
  <si>
    <t>EMCF</t>
  </si>
  <si>
    <t>EME</t>
  </si>
  <si>
    <t>EMKR</t>
  </si>
  <si>
    <t>EML</t>
  </si>
  <si>
    <t>EMMS</t>
  </si>
  <si>
    <t>EMN</t>
  </si>
  <si>
    <t>EMR</t>
  </si>
  <si>
    <t>ENDP</t>
  </si>
  <si>
    <t>ENG</t>
  </si>
  <si>
    <t>ENOB</t>
  </si>
  <si>
    <t>ENPH</t>
  </si>
  <si>
    <t>ENR</t>
  </si>
  <si>
    <t>ENS</t>
  </si>
  <si>
    <t>ENSG</t>
  </si>
  <si>
    <t>ENSV</t>
  </si>
  <si>
    <t>ENTA</t>
  </si>
  <si>
    <t>ENTG</t>
  </si>
  <si>
    <t>ENV</t>
  </si>
  <si>
    <t>ENVA</t>
  </si>
  <si>
    <t>ENZ</t>
  </si>
  <si>
    <t>EOG</t>
  </si>
  <si>
    <t>EOLS</t>
  </si>
  <si>
    <t>EPAM</t>
  </si>
  <si>
    <t>EPAY</t>
  </si>
  <si>
    <t>EPC</t>
  </si>
  <si>
    <t>EPM</t>
  </si>
  <si>
    <t>EPR</t>
  </si>
  <si>
    <t>EPRT</t>
  </si>
  <si>
    <t>EPZM</t>
  </si>
  <si>
    <t>EQBK</t>
  </si>
  <si>
    <t>EQC</t>
  </si>
  <si>
    <t>EQH</t>
  </si>
  <si>
    <t>EQIX</t>
  </si>
  <si>
    <t>EQR</t>
  </si>
  <si>
    <t>EQT</t>
  </si>
  <si>
    <t>ERIE</t>
  </si>
  <si>
    <t>ERII</t>
  </si>
  <si>
    <t>ES</t>
  </si>
  <si>
    <t>ESBK</t>
  </si>
  <si>
    <t>ESCA</t>
  </si>
  <si>
    <t>ESE</t>
  </si>
  <si>
    <t>ESGR</t>
  </si>
  <si>
    <t>ESI</t>
  </si>
  <si>
    <t>ESNT</t>
  </si>
  <si>
    <t>ESP</t>
  </si>
  <si>
    <t>ESPR</t>
  </si>
  <si>
    <t>ESQ</t>
  </si>
  <si>
    <t>ESRT</t>
  </si>
  <si>
    <t>ESS</t>
  </si>
  <si>
    <t>ESSA</t>
  </si>
  <si>
    <t>ESTC</t>
  </si>
  <si>
    <t>ESTE</t>
  </si>
  <si>
    <t>ESXB</t>
  </si>
  <si>
    <t>ETN</t>
  </si>
  <si>
    <t>ETR</t>
  </si>
  <si>
    <t>ETRN</t>
  </si>
  <si>
    <t>ETSY</t>
  </si>
  <si>
    <t>EV</t>
  </si>
  <si>
    <t>EVBG</t>
  </si>
  <si>
    <t>EVBN</t>
  </si>
  <si>
    <t>EVC</t>
  </si>
  <si>
    <t>EVER</t>
  </si>
  <si>
    <t>EVFM</t>
  </si>
  <si>
    <t>EVH</t>
  </si>
  <si>
    <t>EVI</t>
  </si>
  <si>
    <t>EVOK</t>
  </si>
  <si>
    <t>EVOL</t>
  </si>
  <si>
    <t>EVOP</t>
  </si>
  <si>
    <t>EVR</t>
  </si>
  <si>
    <t>EVRG</t>
  </si>
  <si>
    <t>EVRI</t>
  </si>
  <si>
    <t>EVTC</t>
  </si>
  <si>
    <t>EW</t>
  </si>
  <si>
    <t>EWBC</t>
  </si>
  <si>
    <t>EXAS</t>
  </si>
  <si>
    <t>EXC</t>
  </si>
  <si>
    <t>EXEL</t>
  </si>
  <si>
    <t>EXLS</t>
  </si>
  <si>
    <t>EXP</t>
  </si>
  <si>
    <t>EXPD</t>
  </si>
  <si>
    <t>EXPE</t>
  </si>
  <si>
    <t>EXPI</t>
  </si>
  <si>
    <t>EXPO</t>
  </si>
  <si>
    <t>EXPR</t>
  </si>
  <si>
    <t>EXR</t>
  </si>
  <si>
    <t>EXTN</t>
  </si>
  <si>
    <t>EXTR</t>
  </si>
  <si>
    <t>EYE</t>
  </si>
  <si>
    <t>EYEG</t>
  </si>
  <si>
    <t>EYES</t>
  </si>
  <si>
    <t>EYPT</t>
  </si>
  <si>
    <t>EZPW</t>
  </si>
  <si>
    <t>F</t>
  </si>
  <si>
    <t>FAF</t>
  </si>
  <si>
    <t>FANG</t>
  </si>
  <si>
    <t>FARM</t>
  </si>
  <si>
    <t>FARO</t>
  </si>
  <si>
    <t>FAST</t>
  </si>
  <si>
    <t>FATE</t>
  </si>
  <si>
    <t>FB</t>
  </si>
  <si>
    <t>FBC</t>
  </si>
  <si>
    <t>FBIO</t>
  </si>
  <si>
    <t>FBIZ</t>
  </si>
  <si>
    <t>FBK</t>
  </si>
  <si>
    <t>FBM</t>
  </si>
  <si>
    <t>FBMS</t>
  </si>
  <si>
    <t>FBNC</t>
  </si>
  <si>
    <t>FBP</t>
  </si>
  <si>
    <t>FBSS</t>
  </si>
  <si>
    <t>FC</t>
  </si>
  <si>
    <t>FCAP</t>
  </si>
  <si>
    <t>FCBC</t>
  </si>
  <si>
    <t>FCBP</t>
  </si>
  <si>
    <t>FCCO</t>
  </si>
  <si>
    <t>FCCY</t>
  </si>
  <si>
    <t>FCEL</t>
  </si>
  <si>
    <t>FCF</t>
  </si>
  <si>
    <t>FCFS</t>
  </si>
  <si>
    <t>FCN</t>
  </si>
  <si>
    <t>FCNCA</t>
  </si>
  <si>
    <t>FCPT</t>
  </si>
  <si>
    <t>FCX</t>
  </si>
  <si>
    <t>FDBC</t>
  </si>
  <si>
    <t>FDP</t>
  </si>
  <si>
    <t>FDS</t>
  </si>
  <si>
    <t>FDX</t>
  </si>
  <si>
    <t>FE</t>
  </si>
  <si>
    <t>FEIM</t>
  </si>
  <si>
    <t>FELE</t>
  </si>
  <si>
    <t>FET</t>
  </si>
  <si>
    <t>FF</t>
  </si>
  <si>
    <t>FFBC</t>
  </si>
  <si>
    <t>FFG</t>
  </si>
  <si>
    <t>FFIC</t>
  </si>
  <si>
    <t>FFIN</t>
  </si>
  <si>
    <t>FFIV</t>
  </si>
  <si>
    <t>FFNW</t>
  </si>
  <si>
    <t>FFWM</t>
  </si>
  <si>
    <t>FG</t>
  </si>
  <si>
    <t>FGBI</t>
  </si>
  <si>
    <t>FGEN</t>
  </si>
  <si>
    <t>FHB</t>
  </si>
  <si>
    <t>FHN</t>
  </si>
  <si>
    <t>FI</t>
  </si>
  <si>
    <t>FIBK</t>
  </si>
  <si>
    <t>FICO</t>
  </si>
  <si>
    <t>FIS</t>
  </si>
  <si>
    <t>FISI</t>
  </si>
  <si>
    <t>FISV</t>
  </si>
  <si>
    <t>FIT</t>
  </si>
  <si>
    <t>FITB</t>
  </si>
  <si>
    <t>FIVE</t>
  </si>
  <si>
    <t>FIVN</t>
  </si>
  <si>
    <t>FIX</t>
  </si>
  <si>
    <t>FIXX</t>
  </si>
  <si>
    <t>FIZZ</t>
  </si>
  <si>
    <t>FL</t>
  </si>
  <si>
    <t>FLIC</t>
  </si>
  <si>
    <t>FLIR</t>
  </si>
  <si>
    <t>FLL</t>
  </si>
  <si>
    <t>FLNT</t>
  </si>
  <si>
    <t>FLO</t>
  </si>
  <si>
    <t>FLOW</t>
  </si>
  <si>
    <t>FLR</t>
  </si>
  <si>
    <t>FLS</t>
  </si>
  <si>
    <t>FLT</t>
  </si>
  <si>
    <t>FLWS</t>
  </si>
  <si>
    <t>FLXN</t>
  </si>
  <si>
    <t>FLXS</t>
  </si>
  <si>
    <t>FMAO</t>
  </si>
  <si>
    <t>FMBH</t>
  </si>
  <si>
    <t>FMBI</t>
  </si>
  <si>
    <t>FMC</t>
  </si>
  <si>
    <t>FMNB</t>
  </si>
  <si>
    <t>FN</t>
  </si>
  <si>
    <t>FNB</t>
  </si>
  <si>
    <t>FNCB</t>
  </si>
  <si>
    <t>FND</t>
  </si>
  <si>
    <t>FNF</t>
  </si>
  <si>
    <t>FNHC</t>
  </si>
  <si>
    <t>FNKO</t>
  </si>
  <si>
    <t>FNLC</t>
  </si>
  <si>
    <t>FNWB</t>
  </si>
  <si>
    <t>FOCS</t>
  </si>
  <si>
    <t>FOE</t>
  </si>
  <si>
    <t>FOLD</t>
  </si>
  <si>
    <t>FONR</t>
  </si>
  <si>
    <t>FOR</t>
  </si>
  <si>
    <t>FORD</t>
  </si>
  <si>
    <t>FORM</t>
  </si>
  <si>
    <t>FORR</t>
  </si>
  <si>
    <t>FOSL</t>
  </si>
  <si>
    <t>FOX</t>
  </si>
  <si>
    <t>FOXA</t>
  </si>
  <si>
    <t>FOXF</t>
  </si>
  <si>
    <t>FPI</t>
  </si>
  <si>
    <t>FPRX</t>
  </si>
  <si>
    <t>FR</t>
  </si>
  <si>
    <t>FRAF</t>
  </si>
  <si>
    <t>FRAN</t>
  </si>
  <si>
    <t>FRBA</t>
  </si>
  <si>
    <t>FRBK</t>
  </si>
  <si>
    <t>FRC</t>
  </si>
  <si>
    <t>FRD</t>
  </si>
  <si>
    <t>FRGI</t>
  </si>
  <si>
    <t>FRME</t>
  </si>
  <si>
    <t>FRPH</t>
  </si>
  <si>
    <t>FRPT</t>
  </si>
  <si>
    <t>FRT</t>
  </si>
  <si>
    <t>FRTA</t>
  </si>
  <si>
    <t>FSBW</t>
  </si>
  <si>
    <t>FSCT</t>
  </si>
  <si>
    <t>FSFG</t>
  </si>
  <si>
    <t>FSLR</t>
  </si>
  <si>
    <t>FSLY</t>
  </si>
  <si>
    <t>FSP</t>
  </si>
  <si>
    <t>FSS</t>
  </si>
  <si>
    <t>FSTR</t>
  </si>
  <si>
    <t>FTDR</t>
  </si>
  <si>
    <t>FTEK</t>
  </si>
  <si>
    <t>FTI</t>
  </si>
  <si>
    <t>FTK</t>
  </si>
  <si>
    <t>FTNT</t>
  </si>
  <si>
    <t>FTSI</t>
  </si>
  <si>
    <t>FTV</t>
  </si>
  <si>
    <t>FUL</t>
  </si>
  <si>
    <t>FULT</t>
  </si>
  <si>
    <t>FUNC</t>
  </si>
  <si>
    <t>FUSB</t>
  </si>
  <si>
    <t>FVE</t>
  </si>
  <si>
    <t>FWONA</t>
  </si>
  <si>
    <t>FWONK</t>
  </si>
  <si>
    <t>FWRD</t>
  </si>
  <si>
    <t>G</t>
  </si>
  <si>
    <t>GABC</t>
  </si>
  <si>
    <t>GAIA</t>
  </si>
  <si>
    <t>GALT</t>
  </si>
  <si>
    <t>GATX</t>
  </si>
  <si>
    <t>GBCI</t>
  </si>
  <si>
    <t>GBL</t>
  </si>
  <si>
    <t>GBLI</t>
  </si>
  <si>
    <t>GBT</t>
  </si>
  <si>
    <t>GBX</t>
  </si>
  <si>
    <t>GCBC</t>
  </si>
  <si>
    <t>GCI</t>
  </si>
  <si>
    <t>GCO</t>
  </si>
  <si>
    <t>GCP</t>
  </si>
  <si>
    <t>GD</t>
  </si>
  <si>
    <t>GDDY</t>
  </si>
  <si>
    <t>GDEN</t>
  </si>
  <si>
    <t>GDOT</t>
  </si>
  <si>
    <t>GDP</t>
  </si>
  <si>
    <t>GE</t>
  </si>
  <si>
    <t>GEC</t>
  </si>
  <si>
    <t>GEF</t>
  </si>
  <si>
    <t>GEN</t>
  </si>
  <si>
    <t>GENC</t>
  </si>
  <si>
    <t>GEO</t>
  </si>
  <si>
    <t>GEOS</t>
  </si>
  <si>
    <t>GERN</t>
  </si>
  <si>
    <t>GES</t>
  </si>
  <si>
    <t>GEVO</t>
  </si>
  <si>
    <t>GFED</t>
  </si>
  <si>
    <t>GFF</t>
  </si>
  <si>
    <t>GFN</t>
  </si>
  <si>
    <t>GGG</t>
  </si>
  <si>
    <t>GH</t>
  </si>
  <si>
    <t>GHC</t>
  </si>
  <si>
    <t>GHL</t>
  </si>
  <si>
    <t>GHM</t>
  </si>
  <si>
    <t>GIFI</t>
  </si>
  <si>
    <t>GIII</t>
  </si>
  <si>
    <t>GILD</t>
  </si>
  <si>
    <t>GIS</t>
  </si>
  <si>
    <t>GKOS</t>
  </si>
  <si>
    <t>GL</t>
  </si>
  <si>
    <t>GLBZ</t>
  </si>
  <si>
    <t>GLDD</t>
  </si>
  <si>
    <t>GLIBA</t>
  </si>
  <si>
    <t>GLPI</t>
  </si>
  <si>
    <t>GLRE</t>
  </si>
  <si>
    <t>GLT</t>
  </si>
  <si>
    <t>GLUU</t>
  </si>
  <si>
    <t>GLW</t>
  </si>
  <si>
    <t>GLYC</t>
  </si>
  <si>
    <t>GM</t>
  </si>
  <si>
    <t>GME</t>
  </si>
  <si>
    <t>GMED</t>
  </si>
  <si>
    <t>GMRE</t>
  </si>
  <si>
    <t>GMS</t>
  </si>
  <si>
    <t>GNCA</t>
  </si>
  <si>
    <t>GNE</t>
  </si>
  <si>
    <t>GNK</t>
  </si>
  <si>
    <t>GNL</t>
  </si>
  <si>
    <t>GNMK</t>
  </si>
  <si>
    <t>GNRC</t>
  </si>
  <si>
    <t>GNTX</t>
  </si>
  <si>
    <t>GNTY</t>
  </si>
  <si>
    <t>GNW</t>
  </si>
  <si>
    <t>GOGO</t>
  </si>
  <si>
    <t>GOLF</t>
  </si>
  <si>
    <t>GOOD</t>
  </si>
  <si>
    <t>GOOG</t>
  </si>
  <si>
    <t>GOOGL</t>
  </si>
  <si>
    <t>GORO</t>
  </si>
  <si>
    <t>GOSS</t>
  </si>
  <si>
    <t>GPC</t>
  </si>
  <si>
    <t>GPI</t>
  </si>
  <si>
    <t>GPK</t>
  </si>
  <si>
    <t>GPMT</t>
  </si>
  <si>
    <t>GPN</t>
  </si>
  <si>
    <t>GPOR</t>
  </si>
  <si>
    <t>GPRE</t>
  </si>
  <si>
    <t>GPRO</t>
  </si>
  <si>
    <t>GPS</t>
  </si>
  <si>
    <t>GPX</t>
  </si>
  <si>
    <t>GRA</t>
  </si>
  <si>
    <t>GRBK</t>
  </si>
  <si>
    <t>GRC</t>
  </si>
  <si>
    <t>GRMN</t>
  </si>
  <si>
    <t>GROW</t>
  </si>
  <si>
    <t>GRPN</t>
  </si>
  <si>
    <t>GRTS</t>
  </si>
  <si>
    <t>GRUB</t>
  </si>
  <si>
    <t>GS</t>
  </si>
  <si>
    <t>GSAT</t>
  </si>
  <si>
    <t>GSBC</t>
  </si>
  <si>
    <t>GSHD</t>
  </si>
  <si>
    <t>GSIT</t>
  </si>
  <si>
    <t>GSKY</t>
  </si>
  <si>
    <t>GT</t>
  </si>
  <si>
    <t>GTES</t>
  </si>
  <si>
    <t>GTHX</t>
  </si>
  <si>
    <t>GTIM</t>
  </si>
  <si>
    <t>GTLS</t>
  </si>
  <si>
    <t>GTN</t>
  </si>
  <si>
    <t>GTS</t>
  </si>
  <si>
    <t>GTT</t>
  </si>
  <si>
    <t>GTX</t>
  </si>
  <si>
    <t>GTY</t>
  </si>
  <si>
    <t>GTYH</t>
  </si>
  <si>
    <t>GV</t>
  </si>
  <si>
    <t>GVA</t>
  </si>
  <si>
    <t>GVP</t>
  </si>
  <si>
    <t>GWB</t>
  </si>
  <si>
    <t>GWGH</t>
  </si>
  <si>
    <t>GWRE</t>
  </si>
  <si>
    <t>GWRS</t>
  </si>
  <si>
    <t>GWW</t>
  </si>
  <si>
    <t>H</t>
  </si>
  <si>
    <t>HA</t>
  </si>
  <si>
    <t>HAE</t>
  </si>
  <si>
    <t>HAFC</t>
  </si>
  <si>
    <t>HAIN</t>
  </si>
  <si>
    <t>HAL</t>
  </si>
  <si>
    <t>HALL</t>
  </si>
  <si>
    <t>HALO</t>
  </si>
  <si>
    <t>HAS</t>
  </si>
  <si>
    <t>HASI</t>
  </si>
  <si>
    <t>HAYN</t>
  </si>
  <si>
    <t>HBAN</t>
  </si>
  <si>
    <t>HBB</t>
  </si>
  <si>
    <t>HBCP</t>
  </si>
  <si>
    <t>HBI</t>
  </si>
  <si>
    <t>HBIO</t>
  </si>
  <si>
    <t>HBMD</t>
  </si>
  <si>
    <t>HBNC</t>
  </si>
  <si>
    <t>HBP</t>
  </si>
  <si>
    <t>HCA</t>
  </si>
  <si>
    <t>HCC</t>
  </si>
  <si>
    <t>HCCI</t>
  </si>
  <si>
    <t>HCHC</t>
  </si>
  <si>
    <t>HCI</t>
  </si>
  <si>
    <t>HCKT</t>
  </si>
  <si>
    <t>HCP</t>
  </si>
  <si>
    <t>HCSG</t>
  </si>
  <si>
    <t>HD</t>
  </si>
  <si>
    <t>HDS</t>
  </si>
  <si>
    <t>HDSN</t>
  </si>
  <si>
    <t>HE</t>
  </si>
  <si>
    <t>HEAR</t>
  </si>
  <si>
    <t>HEES</t>
  </si>
  <si>
    <t>HEI</t>
  </si>
  <si>
    <t>HELE</t>
  </si>
  <si>
    <t>HEPA</t>
  </si>
  <si>
    <t>HES</t>
  </si>
  <si>
    <t>HFBL</t>
  </si>
  <si>
    <t>HFWA</t>
  </si>
  <si>
    <t>HGV</t>
  </si>
  <si>
    <t>HHC</t>
  </si>
  <si>
    <t>HHS</t>
  </si>
  <si>
    <t>HI</t>
  </si>
  <si>
    <t>HIBB</t>
  </si>
  <si>
    <t>HIFS</t>
  </si>
  <si>
    <t>HIG</t>
  </si>
  <si>
    <t>HII</t>
  </si>
  <si>
    <t>HIL</t>
  </si>
  <si>
    <t>HIW</t>
  </si>
  <si>
    <t>HL</t>
  </si>
  <si>
    <t>HLF</t>
  </si>
  <si>
    <t>HLI</t>
  </si>
  <si>
    <t>HLIO</t>
  </si>
  <si>
    <t>HLIT</t>
  </si>
  <si>
    <t>HLNE</t>
  </si>
  <si>
    <t>HLT</t>
  </si>
  <si>
    <t>HLX</t>
  </si>
  <si>
    <t>HMHC</t>
  </si>
  <si>
    <t>HMN</t>
  </si>
  <si>
    <t>HMNF</t>
  </si>
  <si>
    <t>HMST</t>
  </si>
  <si>
    <t>HMSY</t>
  </si>
  <si>
    <t>HMTV</t>
  </si>
  <si>
    <t>HNGR</t>
  </si>
  <si>
    <t>HNI</t>
  </si>
  <si>
    <t>HNRG</t>
  </si>
  <si>
    <t>HOFT</t>
  </si>
  <si>
    <t>HOG</t>
  </si>
  <si>
    <t>HOLX</t>
  </si>
  <si>
    <t>HOMB</t>
  </si>
  <si>
    <t>HOME</t>
  </si>
  <si>
    <t>HON</t>
  </si>
  <si>
    <t>HONE</t>
  </si>
  <si>
    <t>HOPE</t>
  </si>
  <si>
    <t>HOV</t>
  </si>
  <si>
    <t>HP</t>
  </si>
  <si>
    <t>HPE</t>
  </si>
  <si>
    <t>HPP</t>
  </si>
  <si>
    <t>HPQ</t>
  </si>
  <si>
    <t>HPR</t>
  </si>
  <si>
    <t>HQY</t>
  </si>
  <si>
    <t>HR</t>
  </si>
  <si>
    <t>HRB</t>
  </si>
  <si>
    <t>HRC</t>
  </si>
  <si>
    <t>HRI</t>
  </si>
  <si>
    <t>HRL</t>
  </si>
  <si>
    <t>HROW</t>
  </si>
  <si>
    <t>HRTG</t>
  </si>
  <si>
    <t>HRTX</t>
  </si>
  <si>
    <t>HSDT</t>
  </si>
  <si>
    <t>HSIC</t>
  </si>
  <si>
    <t>HSII</t>
  </si>
  <si>
    <t>HSKA</t>
  </si>
  <si>
    <t>HSON</t>
  </si>
  <si>
    <t>HST</t>
  </si>
  <si>
    <t>HSTM</t>
  </si>
  <si>
    <t>HSY</t>
  </si>
  <si>
    <t>HT</t>
  </si>
  <si>
    <t>HTBI</t>
  </si>
  <si>
    <t>HTBK</t>
  </si>
  <si>
    <t>HTBX</t>
  </si>
  <si>
    <t>HTGM</t>
  </si>
  <si>
    <t>HTH</t>
  </si>
  <si>
    <t>HTLD</t>
  </si>
  <si>
    <t>HTLF</t>
  </si>
  <si>
    <t>HTZ</t>
  </si>
  <si>
    <t>HUBB</t>
  </si>
  <si>
    <t>HUBG</t>
  </si>
  <si>
    <t>HUBS</t>
  </si>
  <si>
    <t>HUM</t>
  </si>
  <si>
    <t>HUN</t>
  </si>
  <si>
    <t>HURC</t>
  </si>
  <si>
    <t>HURN</t>
  </si>
  <si>
    <t>HUSA</t>
  </si>
  <si>
    <t>HVT</t>
  </si>
  <si>
    <t>HWBK</t>
  </si>
  <si>
    <t>HWC</t>
  </si>
  <si>
    <t>HWCC</t>
  </si>
  <si>
    <t>HWKN</t>
  </si>
  <si>
    <t>HXL</t>
  </si>
  <si>
    <t>HY</t>
  </si>
  <si>
    <t>HZN</t>
  </si>
  <si>
    <t>HZNP</t>
  </si>
  <si>
    <t>HZO</t>
  </si>
  <si>
    <t>IAA</t>
  </si>
  <si>
    <t>IAC</t>
  </si>
  <si>
    <t>IART</t>
  </si>
  <si>
    <t>IBCP</t>
  </si>
  <si>
    <t>IBIO</t>
  </si>
  <si>
    <t>IBKR</t>
  </si>
  <si>
    <t>IBM</t>
  </si>
  <si>
    <t>IBOC</t>
  </si>
  <si>
    <t>IBP</t>
  </si>
  <si>
    <t>IBTX</t>
  </si>
  <si>
    <t>ICAD</t>
  </si>
  <si>
    <t>ICBK</t>
  </si>
  <si>
    <t>ICCC</t>
  </si>
  <si>
    <t>ICD</t>
  </si>
  <si>
    <t>ICE</t>
  </si>
  <si>
    <t>ICFI</t>
  </si>
  <si>
    <t>ICHR</t>
  </si>
  <si>
    <t>ICON</t>
  </si>
  <si>
    <t>ICPT</t>
  </si>
  <si>
    <t>ICUI</t>
  </si>
  <si>
    <t>IDA</t>
  </si>
  <si>
    <t>IDCC</t>
  </si>
  <si>
    <t>IDN</t>
  </si>
  <si>
    <t>IDT</t>
  </si>
  <si>
    <t>IDXG</t>
  </si>
  <si>
    <t>IDXX</t>
  </si>
  <si>
    <t>IEC</t>
  </si>
  <si>
    <t>IESC</t>
  </si>
  <si>
    <t>IEX</t>
  </si>
  <si>
    <t>IFF</t>
  </si>
  <si>
    <t>IHC</t>
  </si>
  <si>
    <t>III</t>
  </si>
  <si>
    <t>IIIN</t>
  </si>
  <si>
    <t>IIIV</t>
  </si>
  <si>
    <t>IIN</t>
  </si>
  <si>
    <t>IIPR</t>
  </si>
  <si>
    <t>IIVI</t>
  </si>
  <si>
    <t>ILMN</t>
  </si>
  <si>
    <t>ILPT</t>
  </si>
  <si>
    <t>IMBI</t>
  </si>
  <si>
    <t>IMGN</t>
  </si>
  <si>
    <t>IMH</t>
  </si>
  <si>
    <t>IMKTA</t>
  </si>
  <si>
    <t>IMMR</t>
  </si>
  <si>
    <t>IMUX</t>
  </si>
  <si>
    <t>IMXI</t>
  </si>
  <si>
    <t>INBK</t>
  </si>
  <si>
    <t>INCY</t>
  </si>
  <si>
    <t>INDB</t>
  </si>
  <si>
    <t>INFI</t>
  </si>
  <si>
    <t>INFN</t>
  </si>
  <si>
    <t>INFO</t>
  </si>
  <si>
    <t>INFU</t>
  </si>
  <si>
    <t>INGN</t>
  </si>
  <si>
    <t>INGR</t>
  </si>
  <si>
    <t>INN</t>
  </si>
  <si>
    <t>INO</t>
  </si>
  <si>
    <t>INOD</t>
  </si>
  <si>
    <t>INOV</t>
  </si>
  <si>
    <t>INPX</t>
  </si>
  <si>
    <t>INS</t>
  </si>
  <si>
    <t>INSE</t>
  </si>
  <si>
    <t>INSG</t>
  </si>
  <si>
    <t>INSM</t>
  </si>
  <si>
    <t>INSP</t>
  </si>
  <si>
    <t>INST</t>
  </si>
  <si>
    <t>INSW</t>
  </si>
  <si>
    <t>INTC</t>
  </si>
  <si>
    <t>INTG</t>
  </si>
  <si>
    <t>INTL</t>
  </si>
  <si>
    <t>INTT</t>
  </si>
  <si>
    <t>INTU</t>
  </si>
  <si>
    <t>INUV</t>
  </si>
  <si>
    <t>INVA</t>
  </si>
  <si>
    <t>INVE</t>
  </si>
  <si>
    <t>INVH</t>
  </si>
  <si>
    <t>IO</t>
  </si>
  <si>
    <t>IONS</t>
  </si>
  <si>
    <t>IOR</t>
  </si>
  <si>
    <t>IOSP</t>
  </si>
  <si>
    <t>IOVA</t>
  </si>
  <si>
    <t>IP</t>
  </si>
  <si>
    <t>IPAR</t>
  </si>
  <si>
    <t>IPG</t>
  </si>
  <si>
    <t>IPGP</t>
  </si>
  <si>
    <t>IPHI</t>
  </si>
  <si>
    <t>IPI</t>
  </si>
  <si>
    <t>IPWR</t>
  </si>
  <si>
    <t>IQV</t>
  </si>
  <si>
    <t>IR</t>
  </si>
  <si>
    <t>IRBT</t>
  </si>
  <si>
    <t>IRDM</t>
  </si>
  <si>
    <t>IRET</t>
  </si>
  <si>
    <t>IRIX</t>
  </si>
  <si>
    <t>IRM</t>
  </si>
  <si>
    <t>IRMD</t>
  </si>
  <si>
    <t>IROQ</t>
  </si>
  <si>
    <t>IRT</t>
  </si>
  <si>
    <t>IRTC</t>
  </si>
  <si>
    <t>IRWD</t>
  </si>
  <si>
    <t>ISBC</t>
  </si>
  <si>
    <t>ISDR</t>
  </si>
  <si>
    <t>ISEE</t>
  </si>
  <si>
    <t>ISNS</t>
  </si>
  <si>
    <t>ISRG</t>
  </si>
  <si>
    <t>ISRL</t>
  </si>
  <si>
    <t>ISSC</t>
  </si>
  <si>
    <t>ISTR</t>
  </si>
  <si>
    <t>IT</t>
  </si>
  <si>
    <t>ITCI</t>
  </si>
  <si>
    <t>ITGR</t>
  </si>
  <si>
    <t>ITI</t>
  </si>
  <si>
    <t>ITIC</t>
  </si>
  <si>
    <t>ITRI</t>
  </si>
  <si>
    <t>ITT</t>
  </si>
  <si>
    <t>ITW</t>
  </si>
  <si>
    <t>IVAC</t>
  </si>
  <si>
    <t>IVC</t>
  </si>
  <si>
    <t>IVR</t>
  </si>
  <si>
    <t>IVZ</t>
  </si>
  <si>
    <t>IZEA</t>
  </si>
  <si>
    <t>JACK</t>
  </si>
  <si>
    <t>JAGX</t>
  </si>
  <si>
    <t>JAKK</t>
  </si>
  <si>
    <t>JAX</t>
  </si>
  <si>
    <t>JAZZ</t>
  </si>
  <si>
    <t>JBGS</t>
  </si>
  <si>
    <t>JBHT</t>
  </si>
  <si>
    <t>JBL</t>
  </si>
  <si>
    <t>JBLU</t>
  </si>
  <si>
    <t>JBSS</t>
  </si>
  <si>
    <t>JBT</t>
  </si>
  <si>
    <t>JCI</t>
  </si>
  <si>
    <t>JCS</t>
  </si>
  <si>
    <t>JCTCF</t>
  </si>
  <si>
    <t>JEF</t>
  </si>
  <si>
    <t>JELD</t>
  </si>
  <si>
    <t>JHG</t>
  </si>
  <si>
    <t>JILL</t>
  </si>
  <si>
    <t>JJSF</t>
  </si>
  <si>
    <t>JKHY</t>
  </si>
  <si>
    <t>JLL</t>
  </si>
  <si>
    <t>JNCE</t>
  </si>
  <si>
    <t>JNJ</t>
  </si>
  <si>
    <t>JNPR</t>
  </si>
  <si>
    <t>JOB</t>
  </si>
  <si>
    <t>JOE</t>
  </si>
  <si>
    <t>JOUT</t>
  </si>
  <si>
    <t>JPM</t>
  </si>
  <si>
    <t>JRVR</t>
  </si>
  <si>
    <t>JVA</t>
  </si>
  <si>
    <t>JWN</t>
  </si>
  <si>
    <t>JYNT</t>
  </si>
  <si>
    <t>K</t>
  </si>
  <si>
    <t>KAI</t>
  </si>
  <si>
    <t>KALA</t>
  </si>
  <si>
    <t>KALU</t>
  </si>
  <si>
    <t>KALV</t>
  </si>
  <si>
    <t>KAMN</t>
  </si>
  <si>
    <t>KAR</t>
  </si>
  <si>
    <t>KBAL</t>
  </si>
  <si>
    <t>KBH</t>
  </si>
  <si>
    <t>KBR</t>
  </si>
  <si>
    <t>KDMN</t>
  </si>
  <si>
    <t>KDP</t>
  </si>
  <si>
    <t>KE</t>
  </si>
  <si>
    <t>KELYA</t>
  </si>
  <si>
    <t>KEM</t>
  </si>
  <si>
    <t>KEQU</t>
  </si>
  <si>
    <t>KEX</t>
  </si>
  <si>
    <t>KEY</t>
  </si>
  <si>
    <t>KEYS</t>
  </si>
  <si>
    <t>KFFB</t>
  </si>
  <si>
    <t>KFRC</t>
  </si>
  <si>
    <t>KFY</t>
  </si>
  <si>
    <t>KHC</t>
  </si>
  <si>
    <t>KIDS</t>
  </si>
  <si>
    <t>KIM</t>
  </si>
  <si>
    <t>KIN</t>
  </si>
  <si>
    <t>KINS</t>
  </si>
  <si>
    <t>KIRK</t>
  </si>
  <si>
    <t>KKR</t>
  </si>
  <si>
    <t>KLAC</t>
  </si>
  <si>
    <t>KLIC</t>
  </si>
  <si>
    <t>KLXE</t>
  </si>
  <si>
    <t>KMB</t>
  </si>
  <si>
    <t>KMI</t>
  </si>
  <si>
    <t>KMPH</t>
  </si>
  <si>
    <t>KMPR</t>
  </si>
  <si>
    <t>KMT</t>
  </si>
  <si>
    <t>KMX</t>
  </si>
  <si>
    <t>KN</t>
  </si>
  <si>
    <t>KNL</t>
  </si>
  <si>
    <t>KNSA</t>
  </si>
  <si>
    <t>KNSL</t>
  </si>
  <si>
    <t>KNX</t>
  </si>
  <si>
    <t>KO</t>
  </si>
  <si>
    <t>KOD</t>
  </si>
  <si>
    <t>KODK</t>
  </si>
  <si>
    <t>KOP</t>
  </si>
  <si>
    <t>KOPN</t>
  </si>
  <si>
    <t>KOS</t>
  </si>
  <si>
    <t>KPTI</t>
  </si>
  <si>
    <t>KR</t>
  </si>
  <si>
    <t>KRA</t>
  </si>
  <si>
    <t>KRC</t>
  </si>
  <si>
    <t>KREF</t>
  </si>
  <si>
    <t>KRG</t>
  </si>
  <si>
    <t>KRNY</t>
  </si>
  <si>
    <t>KRO</t>
  </si>
  <si>
    <t>KRYS</t>
  </si>
  <si>
    <t>KSS</t>
  </si>
  <si>
    <t>KSU</t>
  </si>
  <si>
    <t>KTB</t>
  </si>
  <si>
    <t>KTCC</t>
  </si>
  <si>
    <t>KTOS</t>
  </si>
  <si>
    <t>KURA</t>
  </si>
  <si>
    <t>KVHI</t>
  </si>
  <si>
    <t>KW</t>
  </si>
  <si>
    <t>KWR</t>
  </si>
  <si>
    <t>KZR</t>
  </si>
  <si>
    <t>L</t>
  </si>
  <si>
    <t>LAD</t>
  </si>
  <si>
    <t>LADR</t>
  </si>
  <si>
    <t>LAKE</t>
  </si>
  <si>
    <t>LAMR</t>
  </si>
  <si>
    <t>LANC</t>
  </si>
  <si>
    <t>LAND</t>
  </si>
  <si>
    <t>LARK</t>
  </si>
  <si>
    <t>LASR</t>
  </si>
  <si>
    <t>LAUR</t>
  </si>
  <si>
    <t>LAZ</t>
  </si>
  <si>
    <t>LB</t>
  </si>
  <si>
    <t>LBAI</t>
  </si>
  <si>
    <t>LBC</t>
  </si>
  <si>
    <t>LBRDA</t>
  </si>
  <si>
    <t>LBRDK</t>
  </si>
  <si>
    <t>LBRT</t>
  </si>
  <si>
    <t>LBTYA</t>
  </si>
  <si>
    <t>LBTYK</t>
  </si>
  <si>
    <t>LC</t>
  </si>
  <si>
    <t>LCI</t>
  </si>
  <si>
    <t>LCII</t>
  </si>
  <si>
    <t>LCNB</t>
  </si>
  <si>
    <t>LCTX</t>
  </si>
  <si>
    <t>LCUT</t>
  </si>
  <si>
    <t>LDL</t>
  </si>
  <si>
    <t>LDOS</t>
  </si>
  <si>
    <t>LE</t>
  </si>
  <si>
    <t>LEA</t>
  </si>
  <si>
    <t>LEAF</t>
  </si>
  <si>
    <t>LECO</t>
  </si>
  <si>
    <t>LEE</t>
  </si>
  <si>
    <t>LEG</t>
  </si>
  <si>
    <t>LEGH</t>
  </si>
  <si>
    <t>LEN</t>
  </si>
  <si>
    <t>LEU</t>
  </si>
  <si>
    <t>LEVI</t>
  </si>
  <si>
    <t>LFUS</t>
  </si>
  <si>
    <t>LFVN</t>
  </si>
  <si>
    <t>LGIH</t>
  </si>
  <si>
    <t>LGL</t>
  </si>
  <si>
    <t>LGND</t>
  </si>
  <si>
    <t>LH</t>
  </si>
  <si>
    <t>LHCG</t>
  </si>
  <si>
    <t>LHX</t>
  </si>
  <si>
    <t>LIFE</t>
  </si>
  <si>
    <t>LII</t>
  </si>
  <si>
    <t>LILA</t>
  </si>
  <si>
    <t>LILAK</t>
  </si>
  <si>
    <t>LIN</t>
  </si>
  <si>
    <t>LINC</t>
  </si>
  <si>
    <t>LIND</t>
  </si>
  <si>
    <t>LIQT</t>
  </si>
  <si>
    <t>LITE</t>
  </si>
  <si>
    <t>LIVE</t>
  </si>
  <si>
    <t>LIVN</t>
  </si>
  <si>
    <t>LIVX</t>
  </si>
  <si>
    <t>LJPC</t>
  </si>
  <si>
    <t>LKFN</t>
  </si>
  <si>
    <t>LKQ</t>
  </si>
  <si>
    <t>LL</t>
  </si>
  <si>
    <t>LLY</t>
  </si>
  <si>
    <t>LMAT</t>
  </si>
  <si>
    <t>LMFA</t>
  </si>
  <si>
    <t>LMNR</t>
  </si>
  <si>
    <t>LMNX</t>
  </si>
  <si>
    <t>LMST</t>
  </si>
  <si>
    <t>LMT</t>
  </si>
  <si>
    <t>LNC</t>
  </si>
  <si>
    <t>LNG</t>
  </si>
  <si>
    <t>LNN</t>
  </si>
  <si>
    <t>LNT</t>
  </si>
  <si>
    <t>LNTH</t>
  </si>
  <si>
    <t>LOAN</t>
  </si>
  <si>
    <t>LOB</t>
  </si>
  <si>
    <t>LOCO</t>
  </si>
  <si>
    <t>LODE</t>
  </si>
  <si>
    <t>LONE</t>
  </si>
  <si>
    <t>LOOP</t>
  </si>
  <si>
    <t>LOPE</t>
  </si>
  <si>
    <t>LORL</t>
  </si>
  <si>
    <t>LOVE</t>
  </si>
  <si>
    <t>LOW</t>
  </si>
  <si>
    <t>LPCN</t>
  </si>
  <si>
    <t>LPG</t>
  </si>
  <si>
    <t>LPLA</t>
  </si>
  <si>
    <t>LPSN</t>
  </si>
  <si>
    <t>LPTH</t>
  </si>
  <si>
    <t>LPX</t>
  </si>
  <si>
    <t>LQDA</t>
  </si>
  <si>
    <t>LQDT</t>
  </si>
  <si>
    <t>LRCX</t>
  </si>
  <si>
    <t>LRN</t>
  </si>
  <si>
    <t>LSBK</t>
  </si>
  <si>
    <t>LSCC</t>
  </si>
  <si>
    <t>LSI</t>
  </si>
  <si>
    <t>LSTR</t>
  </si>
  <si>
    <t>LSXMA</t>
  </si>
  <si>
    <t>LSXMK</t>
  </si>
  <si>
    <t>LTBR</t>
  </si>
  <si>
    <t>LTC</t>
  </si>
  <si>
    <t>LTHM</t>
  </si>
  <si>
    <t>LTRPA</t>
  </si>
  <si>
    <t>LTRX</t>
  </si>
  <si>
    <t>LUB</t>
  </si>
  <si>
    <t>LULU</t>
  </si>
  <si>
    <t>LUNA</t>
  </si>
  <si>
    <t>LUV</t>
  </si>
  <si>
    <t>LVS</t>
  </si>
  <si>
    <t>LW</t>
  </si>
  <si>
    <t>LWAY</t>
  </si>
  <si>
    <t>LXP</t>
  </si>
  <si>
    <t>LXRX</t>
  </si>
  <si>
    <t>LXU</t>
  </si>
  <si>
    <t>LYB</t>
  </si>
  <si>
    <t>LYFT</t>
  </si>
  <si>
    <t>LYTS</t>
  </si>
  <si>
    <t>LYV</t>
  </si>
  <si>
    <t>LZB</t>
  </si>
  <si>
    <t>M</t>
  </si>
  <si>
    <t>MA</t>
  </si>
  <si>
    <t>MAA</t>
  </si>
  <si>
    <t>MAC</t>
  </si>
  <si>
    <t>MACK</t>
  </si>
  <si>
    <t>MAN</t>
  </si>
  <si>
    <t>MANH</t>
  </si>
  <si>
    <t>MANT</t>
  </si>
  <si>
    <t>MAR</t>
  </si>
  <si>
    <t>MARA</t>
  </si>
  <si>
    <t>MARK</t>
  </si>
  <si>
    <t>MAS</t>
  </si>
  <si>
    <t>MASI</t>
  </si>
  <si>
    <t>MAT</t>
  </si>
  <si>
    <t>MATW</t>
  </si>
  <si>
    <t>MATX</t>
  </si>
  <si>
    <t>MAYS</t>
  </si>
  <si>
    <t>MBCN</t>
  </si>
  <si>
    <t>MBI</t>
  </si>
  <si>
    <t>MBII</t>
  </si>
  <si>
    <t>MBIN</t>
  </si>
  <si>
    <t>MBIO</t>
  </si>
  <si>
    <t>MBOT</t>
  </si>
  <si>
    <t>MBUU</t>
  </si>
  <si>
    <t>MBWM</t>
  </si>
  <si>
    <t>MC</t>
  </si>
  <si>
    <t>MCB</t>
  </si>
  <si>
    <t>MCBC</t>
  </si>
  <si>
    <t>MCD</t>
  </si>
  <si>
    <t>MCF</t>
  </si>
  <si>
    <t>MCFT</t>
  </si>
  <si>
    <t>MCHP</t>
  </si>
  <si>
    <t>MCHX</t>
  </si>
  <si>
    <t>MCK</t>
  </si>
  <si>
    <t>MCO</t>
  </si>
  <si>
    <t>MCRB</t>
  </si>
  <si>
    <t>MCRI</t>
  </si>
  <si>
    <t>MCS</t>
  </si>
  <si>
    <t>MCY</t>
  </si>
  <si>
    <t>MD</t>
  </si>
  <si>
    <t>MDB</t>
  </si>
  <si>
    <t>MDC</t>
  </si>
  <si>
    <t>MDGL</t>
  </si>
  <si>
    <t>MDLY</t>
  </si>
  <si>
    <t>MDLZ</t>
  </si>
  <si>
    <t>MDP</t>
  </si>
  <si>
    <t>MDRX</t>
  </si>
  <si>
    <t>MDT</t>
  </si>
  <si>
    <t>MDU</t>
  </si>
  <si>
    <t>MED</t>
  </si>
  <si>
    <t>MEDP</t>
  </si>
  <si>
    <t>MEI</t>
  </si>
  <si>
    <t>MEIP</t>
  </si>
  <si>
    <t>MERC</t>
  </si>
  <si>
    <t>MESA</t>
  </si>
  <si>
    <t>MET</t>
  </si>
  <si>
    <t>MFA</t>
  </si>
  <si>
    <t>MFNC</t>
  </si>
  <si>
    <t>MG</t>
  </si>
  <si>
    <t>MGEE</t>
  </si>
  <si>
    <t>MGI</t>
  </si>
  <si>
    <t>MGLN</t>
  </si>
  <si>
    <t>MGM</t>
  </si>
  <si>
    <t>MGNX</t>
  </si>
  <si>
    <t>MGPI</t>
  </si>
  <si>
    <t>MGRC</t>
  </si>
  <si>
    <t>MGY</t>
  </si>
  <si>
    <t>MGYR</t>
  </si>
  <si>
    <t>MHH</t>
  </si>
  <si>
    <t>MHK</t>
  </si>
  <si>
    <t>MHLD</t>
  </si>
  <si>
    <t>MHO</t>
  </si>
  <si>
    <t>MIC</t>
  </si>
  <si>
    <t>MICR</t>
  </si>
  <si>
    <t>MICT</t>
  </si>
  <si>
    <t>MIDD</t>
  </si>
  <si>
    <t>MIK</t>
  </si>
  <si>
    <t>MIND</t>
  </si>
  <si>
    <t>MITK</t>
  </si>
  <si>
    <t>MITT</t>
  </si>
  <si>
    <t>MKC</t>
  </si>
  <si>
    <t>MKL</t>
  </si>
  <si>
    <t>MKSI</t>
  </si>
  <si>
    <t>MKTX</t>
  </si>
  <si>
    <t>MLAB</t>
  </si>
  <si>
    <t>MLHR</t>
  </si>
  <si>
    <t>MLI</t>
  </si>
  <si>
    <t>MLM</t>
  </si>
  <si>
    <t>MLP</t>
  </si>
  <si>
    <t>MLR</t>
  </si>
  <si>
    <t>MLSS</t>
  </si>
  <si>
    <t>MLVF</t>
  </si>
  <si>
    <t>MMAC</t>
  </si>
  <si>
    <t>MMC</t>
  </si>
  <si>
    <t>MMI</t>
  </si>
  <si>
    <t>MMM</t>
  </si>
  <si>
    <t>MMS</t>
  </si>
  <si>
    <t>MMSI</t>
  </si>
  <si>
    <t>MN</t>
  </si>
  <si>
    <t>MNK</t>
  </si>
  <si>
    <t>MNKD</t>
  </si>
  <si>
    <t>MNOV</t>
  </si>
  <si>
    <t>MNR</t>
  </si>
  <si>
    <t>MNRL</t>
  </si>
  <si>
    <t>MNRO</t>
  </si>
  <si>
    <t>MNSB</t>
  </si>
  <si>
    <t>MNST</t>
  </si>
  <si>
    <t>MNTX</t>
  </si>
  <si>
    <t>MO</t>
  </si>
  <si>
    <t>MOBL</t>
  </si>
  <si>
    <t>MOD</t>
  </si>
  <si>
    <t>MODN</t>
  </si>
  <si>
    <t>MOFG</t>
  </si>
  <si>
    <t>MOH</t>
  </si>
  <si>
    <t>MORN</t>
  </si>
  <si>
    <t>MOS</t>
  </si>
  <si>
    <t>MOTS</t>
  </si>
  <si>
    <t>MOV</t>
  </si>
  <si>
    <t>MPAA</t>
  </si>
  <si>
    <t>MPB</t>
  </si>
  <si>
    <t>MPC</t>
  </si>
  <si>
    <t>MPW</t>
  </si>
  <si>
    <t>MPWR</t>
  </si>
  <si>
    <t>MPX</t>
  </si>
  <si>
    <t>MRAM</t>
  </si>
  <si>
    <t>MRBK</t>
  </si>
  <si>
    <t>MRC</t>
  </si>
  <si>
    <t>MRCY</t>
  </si>
  <si>
    <t>MRIN</t>
  </si>
  <si>
    <t>MRK</t>
  </si>
  <si>
    <t>MRKR</t>
  </si>
  <si>
    <t>MRLN</t>
  </si>
  <si>
    <t>MRNS</t>
  </si>
  <si>
    <t>MRO</t>
  </si>
  <si>
    <t>MRSN</t>
  </si>
  <si>
    <t>MRTN</t>
  </si>
  <si>
    <t>MRTX</t>
  </si>
  <si>
    <t>MRVL</t>
  </si>
  <si>
    <t>MS</t>
  </si>
  <si>
    <t>MSA</t>
  </si>
  <si>
    <t>MSBI</t>
  </si>
  <si>
    <t>MSCI</t>
  </si>
  <si>
    <t>MSEX</t>
  </si>
  <si>
    <t>MSFT</t>
  </si>
  <si>
    <t>MSGN</t>
  </si>
  <si>
    <t>MSI</t>
  </si>
  <si>
    <t>MSM</t>
  </si>
  <si>
    <t>MSN</t>
  </si>
  <si>
    <t>MSON</t>
  </si>
  <si>
    <t>MSTR</t>
  </si>
  <si>
    <t>MTB</t>
  </si>
  <si>
    <t>MTCH</t>
  </si>
  <si>
    <t>MTD</t>
  </si>
  <si>
    <t>MTDR</t>
  </si>
  <si>
    <t>MTEM</t>
  </si>
  <si>
    <t>MTEX</t>
  </si>
  <si>
    <t>MTG</t>
  </si>
  <si>
    <t>MTH</t>
  </si>
  <si>
    <t>MTN</t>
  </si>
  <si>
    <t>MTNB</t>
  </si>
  <si>
    <t>MTOR</t>
  </si>
  <si>
    <t>MTRN</t>
  </si>
  <si>
    <t>MTRX</t>
  </si>
  <si>
    <t>MTSC</t>
  </si>
  <si>
    <t>MTSI</t>
  </si>
  <si>
    <t>MTW</t>
  </si>
  <si>
    <t>MTX</t>
  </si>
  <si>
    <t>MTZ</t>
  </si>
  <si>
    <t>MU</t>
  </si>
  <si>
    <t>MUR</t>
  </si>
  <si>
    <t>MUSA</t>
  </si>
  <si>
    <t>MUX</t>
  </si>
  <si>
    <t>MVBF</t>
  </si>
  <si>
    <t>MVIS</t>
  </si>
  <si>
    <t>MWA</t>
  </si>
  <si>
    <t>MXIM</t>
  </si>
  <si>
    <t>MXL</t>
  </si>
  <si>
    <t>MYE</t>
  </si>
  <si>
    <t>MYGN</t>
  </si>
  <si>
    <t>MYRG</t>
  </si>
  <si>
    <t>NAII</t>
  </si>
  <si>
    <t>NATH</t>
  </si>
  <si>
    <t>NATI</t>
  </si>
  <si>
    <t>NATR</t>
  </si>
  <si>
    <t>NAV</t>
  </si>
  <si>
    <t>NAVB</t>
  </si>
  <si>
    <t>NAVI</t>
  </si>
  <si>
    <t>NBEV</t>
  </si>
  <si>
    <t>NBHC</t>
  </si>
  <si>
    <t>NBIX</t>
  </si>
  <si>
    <t>NBN</t>
  </si>
  <si>
    <t>NBR</t>
  </si>
  <si>
    <t>NBSE</t>
  </si>
  <si>
    <t>NBTB</t>
  </si>
  <si>
    <t>NBY</t>
  </si>
  <si>
    <t>NC</t>
  </si>
  <si>
    <t>NCBS</t>
  </si>
  <si>
    <t>NCI</t>
  </si>
  <si>
    <t>NCLH</t>
  </si>
  <si>
    <t>NCMI</t>
  </si>
  <si>
    <t>NCSM</t>
  </si>
  <si>
    <t>NDAQ</t>
  </si>
  <si>
    <t>NDLS</t>
  </si>
  <si>
    <t>NDSN</t>
  </si>
  <si>
    <t>NE</t>
  </si>
  <si>
    <t>NEE</t>
  </si>
  <si>
    <t>NEM</t>
  </si>
  <si>
    <t>NEO</t>
  </si>
  <si>
    <t>NEOG</t>
  </si>
  <si>
    <t>NEON</t>
  </si>
  <si>
    <t>NEOS</t>
  </si>
  <si>
    <t>NERV</t>
  </si>
  <si>
    <t>NETE</t>
  </si>
  <si>
    <t>NEU</t>
  </si>
  <si>
    <t>NEWR</t>
  </si>
  <si>
    <t>NFBK</t>
  </si>
  <si>
    <t>NFG</t>
  </si>
  <si>
    <t>NFLX</t>
  </si>
  <si>
    <t>NGHC</t>
  </si>
  <si>
    <t>NGS</t>
  </si>
  <si>
    <t>NGVC</t>
  </si>
  <si>
    <t>NGVT</t>
  </si>
  <si>
    <t>NHC</t>
  </si>
  <si>
    <t>NHI</t>
  </si>
  <si>
    <t>NHTC</t>
  </si>
  <si>
    <t>NI</t>
  </si>
  <si>
    <t>NICK</t>
  </si>
  <si>
    <t>NINE</t>
  </si>
  <si>
    <t>NJR</t>
  </si>
  <si>
    <t>NKE</t>
  </si>
  <si>
    <t>NKSH</t>
  </si>
  <si>
    <t>NKTR</t>
  </si>
  <si>
    <t>NL</t>
  </si>
  <si>
    <t>NLSN</t>
  </si>
  <si>
    <t>NLTX</t>
  </si>
  <si>
    <t>NLY</t>
  </si>
  <si>
    <t>NMIH</t>
  </si>
  <si>
    <t>NMRK</t>
  </si>
  <si>
    <t>NNBR</t>
  </si>
  <si>
    <t>NNI</t>
  </si>
  <si>
    <t>NNN</t>
  </si>
  <si>
    <t>NNVC</t>
  </si>
  <si>
    <t>NOC</t>
  </si>
  <si>
    <t>NODK</t>
  </si>
  <si>
    <t>NOG</t>
  </si>
  <si>
    <t>NOV</t>
  </si>
  <si>
    <t>NOVT</t>
  </si>
  <si>
    <t>NOW</t>
  </si>
  <si>
    <t>NP</t>
  </si>
  <si>
    <t>NPK</t>
  </si>
  <si>
    <t>NPO</t>
  </si>
  <si>
    <t>NPTN</t>
  </si>
  <si>
    <t>NR</t>
  </si>
  <si>
    <t>NRC</t>
  </si>
  <si>
    <t>NRG</t>
  </si>
  <si>
    <t>NRIM</t>
  </si>
  <si>
    <t>NSA</t>
  </si>
  <si>
    <t>NSC</t>
  </si>
  <si>
    <t>NSEC</t>
  </si>
  <si>
    <t>NSIT</t>
  </si>
  <si>
    <t>NSP</t>
  </si>
  <si>
    <t>NSSC</t>
  </si>
  <si>
    <t>NSTG</t>
  </si>
  <si>
    <t>NTAP</t>
  </si>
  <si>
    <t>NTCT</t>
  </si>
  <si>
    <t>NTGR</t>
  </si>
  <si>
    <t>NTIC</t>
  </si>
  <si>
    <t>NTIP</t>
  </si>
  <si>
    <t>NTLA</t>
  </si>
  <si>
    <t>NTNX</t>
  </si>
  <si>
    <t>NTRA</t>
  </si>
  <si>
    <t>NTRS</t>
  </si>
  <si>
    <t>NTUS</t>
  </si>
  <si>
    <t>NTWK</t>
  </si>
  <si>
    <t>NUAN</t>
  </si>
  <si>
    <t>NUE</t>
  </si>
  <si>
    <t>NURO</t>
  </si>
  <si>
    <t>NUS</t>
  </si>
  <si>
    <t>NUVA</t>
  </si>
  <si>
    <t>NVAX</t>
  </si>
  <si>
    <t>NVDA</t>
  </si>
  <si>
    <t>NVEC</t>
  </si>
  <si>
    <t>NVEE</t>
  </si>
  <si>
    <t>NVFY</t>
  </si>
  <si>
    <t>NVIV</t>
  </si>
  <si>
    <t>NVR</t>
  </si>
  <si>
    <t>NVRO</t>
  </si>
  <si>
    <t>NVT</t>
  </si>
  <si>
    <t>NVTA</t>
  </si>
  <si>
    <t>NWBI</t>
  </si>
  <si>
    <t>NWE</t>
  </si>
  <si>
    <t>NWFL</t>
  </si>
  <si>
    <t>NWHM</t>
  </si>
  <si>
    <t>NWL</t>
  </si>
  <si>
    <t>NWLI</t>
  </si>
  <si>
    <t>NWN</t>
  </si>
  <si>
    <t>NWPX</t>
  </si>
  <si>
    <t>NWS</t>
  </si>
  <si>
    <t>NWSA</t>
  </si>
  <si>
    <t>NX</t>
  </si>
  <si>
    <t>NXGN</t>
  </si>
  <si>
    <t>NXRT</t>
  </si>
  <si>
    <t>NXST</t>
  </si>
  <si>
    <t>NXTD</t>
  </si>
  <si>
    <t>NYCB</t>
  </si>
  <si>
    <t>NYMT</t>
  </si>
  <si>
    <t>NYT</t>
  </si>
  <si>
    <t>O</t>
  </si>
  <si>
    <t>OAS</t>
  </si>
  <si>
    <t>OBCI</t>
  </si>
  <si>
    <t>OBNK</t>
  </si>
  <si>
    <t>OC</t>
  </si>
  <si>
    <t>OCC</t>
  </si>
  <si>
    <t>OCFC</t>
  </si>
  <si>
    <t>OCN</t>
  </si>
  <si>
    <t>OCUL</t>
  </si>
  <si>
    <t>OCX</t>
  </si>
  <si>
    <t>ODC</t>
  </si>
  <si>
    <t>ODFL</t>
  </si>
  <si>
    <t>ODP</t>
  </si>
  <si>
    <t>ODT</t>
  </si>
  <si>
    <t>OESX</t>
  </si>
  <si>
    <t>OFED</t>
  </si>
  <si>
    <t>OFG</t>
  </si>
  <si>
    <t>OFIX</t>
  </si>
  <si>
    <t>OFLX</t>
  </si>
  <si>
    <t>OGE</t>
  </si>
  <si>
    <t>OGEN</t>
  </si>
  <si>
    <t>OGS</t>
  </si>
  <si>
    <t>OHI</t>
  </si>
  <si>
    <t>OI</t>
  </si>
  <si>
    <t>OII</t>
  </si>
  <si>
    <t>OIS</t>
  </si>
  <si>
    <t>OKE</t>
  </si>
  <si>
    <t>OKTA</t>
  </si>
  <si>
    <t>OLED</t>
  </si>
  <si>
    <t>OLLI</t>
  </si>
  <si>
    <t>OLN</t>
  </si>
  <si>
    <t>OLP</t>
  </si>
  <si>
    <t>OMC</t>
  </si>
  <si>
    <t>OMCL</t>
  </si>
  <si>
    <t>OMED</t>
  </si>
  <si>
    <t>OMER</t>
  </si>
  <si>
    <t>OMEX</t>
  </si>
  <si>
    <t>OMF</t>
  </si>
  <si>
    <t>OMI</t>
  </si>
  <si>
    <t>ON</t>
  </si>
  <si>
    <t>ONB</t>
  </si>
  <si>
    <t>ONCS</t>
  </si>
  <si>
    <t>ONCT</t>
  </si>
  <si>
    <t>ONTX</t>
  </si>
  <si>
    <t>ONVO</t>
  </si>
  <si>
    <t>OOMA</t>
  </si>
  <si>
    <t>OPGN</t>
  </si>
  <si>
    <t>OPI</t>
  </si>
  <si>
    <t>OPK</t>
  </si>
  <si>
    <t>OPOF</t>
  </si>
  <si>
    <t>OPRX</t>
  </si>
  <si>
    <t>OPTN</t>
  </si>
  <si>
    <t>OPTT</t>
  </si>
  <si>
    <t>OPY</t>
  </si>
  <si>
    <t>ORA</t>
  </si>
  <si>
    <t>ORBC</t>
  </si>
  <si>
    <t>ORC</t>
  </si>
  <si>
    <t>ORCL</t>
  </si>
  <si>
    <t>ORGO</t>
  </si>
  <si>
    <t>ORI</t>
  </si>
  <si>
    <t>ORLY</t>
  </si>
  <si>
    <t>ORN</t>
  </si>
  <si>
    <t>ORRF</t>
  </si>
  <si>
    <t>OSBC</t>
  </si>
  <si>
    <t>OSG</t>
  </si>
  <si>
    <t>OSIS</t>
  </si>
  <si>
    <t>OSK</t>
  </si>
  <si>
    <t>OSPN</t>
  </si>
  <si>
    <t>OSTK</t>
  </si>
  <si>
    <t>OSUR</t>
  </si>
  <si>
    <t>OSW</t>
  </si>
  <si>
    <t>OTEL</t>
  </si>
  <si>
    <t>OTIC</t>
  </si>
  <si>
    <t>OTTR</t>
  </si>
  <si>
    <t>OUT</t>
  </si>
  <si>
    <t>OVBC</t>
  </si>
  <si>
    <t>OVLY</t>
  </si>
  <si>
    <t>OXM</t>
  </si>
  <si>
    <t>OXY</t>
  </si>
  <si>
    <t>OZK</t>
  </si>
  <si>
    <t>PACB</t>
  </si>
  <si>
    <t>PACW</t>
  </si>
  <si>
    <t>PAG</t>
  </si>
  <si>
    <t>PAHC</t>
  </si>
  <si>
    <t>PANL</t>
  </si>
  <si>
    <t>PANW</t>
  </si>
  <si>
    <t>PAR</t>
  </si>
  <si>
    <t>PARR</t>
  </si>
  <si>
    <t>PATI</t>
  </si>
  <si>
    <t>PATK</t>
  </si>
  <si>
    <t>PAYC</t>
  </si>
  <si>
    <t>PAYS</t>
  </si>
  <si>
    <t>PAYX</t>
  </si>
  <si>
    <t>PB</t>
  </si>
  <si>
    <t>PBCT</t>
  </si>
  <si>
    <t>PBF</t>
  </si>
  <si>
    <t>PBH</t>
  </si>
  <si>
    <t>PBHC</t>
  </si>
  <si>
    <t>PBI</t>
  </si>
  <si>
    <t>PBIP</t>
  </si>
  <si>
    <t>PBPB</t>
  </si>
  <si>
    <t>PBYI</t>
  </si>
  <si>
    <t>PCAR</t>
  </si>
  <si>
    <t>PCH</t>
  </si>
  <si>
    <t>PCRX</t>
  </si>
  <si>
    <t>PCSB</t>
  </si>
  <si>
    <t>PCTI</t>
  </si>
  <si>
    <t>PCTY</t>
  </si>
  <si>
    <t>PCYG</t>
  </si>
  <si>
    <t>PCYO</t>
  </si>
  <si>
    <t>PD</t>
  </si>
  <si>
    <t>PDCE</t>
  </si>
  <si>
    <t>PDCO</t>
  </si>
  <si>
    <t>PDEX</t>
  </si>
  <si>
    <t>PDFS</t>
  </si>
  <si>
    <t>PDLB</t>
  </si>
  <si>
    <t>PDLI</t>
  </si>
  <si>
    <t>PDM</t>
  </si>
  <si>
    <t>PDSB</t>
  </si>
  <si>
    <t>PE</t>
  </si>
  <si>
    <t>PEB</t>
  </si>
  <si>
    <t>PEBK</t>
  </si>
  <si>
    <t>PEBO</t>
  </si>
  <si>
    <t>PED</t>
  </si>
  <si>
    <t>PEG</t>
  </si>
  <si>
    <t>PEGA</t>
  </si>
  <si>
    <t>PEI</t>
  </si>
  <si>
    <t>PEN</t>
  </si>
  <si>
    <t>PENN</t>
  </si>
  <si>
    <t>PEP</t>
  </si>
  <si>
    <t>PESI</t>
  </si>
  <si>
    <t>PETQ</t>
  </si>
  <si>
    <t>PETS</t>
  </si>
  <si>
    <t>PFBC</t>
  </si>
  <si>
    <t>PFBI</t>
  </si>
  <si>
    <t>PFE</t>
  </si>
  <si>
    <t>PFG</t>
  </si>
  <si>
    <t>PFGC</t>
  </si>
  <si>
    <t>PFIE</t>
  </si>
  <si>
    <t>PFIN</t>
  </si>
  <si>
    <t>PFIS</t>
  </si>
  <si>
    <t>PFMT</t>
  </si>
  <si>
    <t>PFPT</t>
  </si>
  <si>
    <t>PFS</t>
  </si>
  <si>
    <t>PFSW</t>
  </si>
  <si>
    <t>PG</t>
  </si>
  <si>
    <t>PGC</t>
  </si>
  <si>
    <t>PGR</t>
  </si>
  <si>
    <t>PGRE</t>
  </si>
  <si>
    <t>PGTI</t>
  </si>
  <si>
    <t>PH</t>
  </si>
  <si>
    <t>PHAS</t>
  </si>
  <si>
    <t>PHIO</t>
  </si>
  <si>
    <t>PHM</t>
  </si>
  <si>
    <t>PHX</t>
  </si>
  <si>
    <t>PI</t>
  </si>
  <si>
    <t>PII</t>
  </si>
  <si>
    <t>PINC</t>
  </si>
  <si>
    <t>PINS</t>
  </si>
  <si>
    <t>PJT</t>
  </si>
  <si>
    <t>PK</t>
  </si>
  <si>
    <t>PKBK</t>
  </si>
  <si>
    <t>PKE</t>
  </si>
  <si>
    <t>PKG</t>
  </si>
  <si>
    <t>PKI</t>
  </si>
  <si>
    <t>PKOH</t>
  </si>
  <si>
    <t>PLAB</t>
  </si>
  <si>
    <t>PLAN</t>
  </si>
  <si>
    <t>PLAY</t>
  </si>
  <si>
    <t>PLBC</t>
  </si>
  <si>
    <t>PLCE</t>
  </si>
  <si>
    <t>PLD</t>
  </si>
  <si>
    <t>PLNT</t>
  </si>
  <si>
    <t>PLOW</t>
  </si>
  <si>
    <t>PLPC</t>
  </si>
  <si>
    <t>PLSE</t>
  </si>
  <si>
    <t>PLUG</t>
  </si>
  <si>
    <t>PLUS</t>
  </si>
  <si>
    <t>PLXP</t>
  </si>
  <si>
    <t>PLXS</t>
  </si>
  <si>
    <t>PLYA</t>
  </si>
  <si>
    <t>PLYM</t>
  </si>
  <si>
    <t>PM</t>
  </si>
  <si>
    <t>PMBC</t>
  </si>
  <si>
    <t>PMD</t>
  </si>
  <si>
    <t>PMT</t>
  </si>
  <si>
    <t>PMTS</t>
  </si>
  <si>
    <t>PNBK</t>
  </si>
  <si>
    <t>PNC</t>
  </si>
  <si>
    <t>PNFP</t>
  </si>
  <si>
    <t>PNM</t>
  </si>
  <si>
    <t>PNR</t>
  </si>
  <si>
    <t>PNRG</t>
  </si>
  <si>
    <t>PNW</t>
  </si>
  <si>
    <t>POAI</t>
  </si>
  <si>
    <t>PODD</t>
  </si>
  <si>
    <t>POL</t>
  </si>
  <si>
    <t>POOL</t>
  </si>
  <si>
    <t>POR</t>
  </si>
  <si>
    <t>POST</t>
  </si>
  <si>
    <t>POWI</t>
  </si>
  <si>
    <t>POWL</t>
  </si>
  <si>
    <t>PPBI</t>
  </si>
  <si>
    <t>PPC</t>
  </si>
  <si>
    <t>PPG</t>
  </si>
  <si>
    <t>PPIH</t>
  </si>
  <si>
    <t>PPL</t>
  </si>
  <si>
    <t>PPSI</t>
  </si>
  <si>
    <t>PRA</t>
  </si>
  <si>
    <t>PRAA</t>
  </si>
  <si>
    <t>PRAH</t>
  </si>
  <si>
    <t>PRCP</t>
  </si>
  <si>
    <t>PRFT</t>
  </si>
  <si>
    <t>PRGO</t>
  </si>
  <si>
    <t>PRGS</t>
  </si>
  <si>
    <t>PRGX</t>
  </si>
  <si>
    <t>PRI</t>
  </si>
  <si>
    <t>PRIM</t>
  </si>
  <si>
    <t>PRK</t>
  </si>
  <si>
    <t>PRLB</t>
  </si>
  <si>
    <t>PRMW</t>
  </si>
  <si>
    <t>PRO</t>
  </si>
  <si>
    <t>PROV</t>
  </si>
  <si>
    <t>PRPH</t>
  </si>
  <si>
    <t>PRSC</t>
  </si>
  <si>
    <t>PRSP</t>
  </si>
  <si>
    <t>PRTA</t>
  </si>
  <si>
    <t>PRTK</t>
  </si>
  <si>
    <t>PRTS</t>
  </si>
  <si>
    <t>PRTY</t>
  </si>
  <si>
    <t>PRU</t>
  </si>
  <si>
    <t>PRVB</t>
  </si>
  <si>
    <t>PS</t>
  </si>
  <si>
    <t>PSA</t>
  </si>
  <si>
    <t>PSB</t>
  </si>
  <si>
    <t>PSMT</t>
  </si>
  <si>
    <t>PSN</t>
  </si>
  <si>
    <t>PSTG</t>
  </si>
  <si>
    <t>PSTV</t>
  </si>
  <si>
    <t>PSX</t>
  </si>
  <si>
    <t>PTC</t>
  </si>
  <si>
    <t>PTCT</t>
  </si>
  <si>
    <t>PTE</t>
  </si>
  <si>
    <t>PTEN</t>
  </si>
  <si>
    <t>PTGX</t>
  </si>
  <si>
    <t>PTI</t>
  </si>
  <si>
    <t>PTN</t>
  </si>
  <si>
    <t>PTSI</t>
  </si>
  <si>
    <t>PTVCA</t>
  </si>
  <si>
    <t>PTVCB</t>
  </si>
  <si>
    <t>PULM</t>
  </si>
  <si>
    <t>PUMP</t>
  </si>
  <si>
    <t>PVAC</t>
  </si>
  <si>
    <t>PVBC</t>
  </si>
  <si>
    <t>PVH</t>
  </si>
  <si>
    <t>PW</t>
  </si>
  <si>
    <t>PWOD</t>
  </si>
  <si>
    <t>PWR</t>
  </si>
  <si>
    <t>PXD</t>
  </si>
  <si>
    <t>PXLW</t>
  </si>
  <si>
    <t>PYPL</t>
  </si>
  <si>
    <t>PZG</t>
  </si>
  <si>
    <t>PZN</t>
  </si>
  <si>
    <t>PZZA</t>
  </si>
  <si>
    <t>QADA</t>
  </si>
  <si>
    <t>QADB</t>
  </si>
  <si>
    <t>QCOM</t>
  </si>
  <si>
    <t>QCRH</t>
  </si>
  <si>
    <t>QDEL</t>
  </si>
  <si>
    <t>QEP</t>
  </si>
  <si>
    <t>QLYS</t>
  </si>
  <si>
    <t>QNST</t>
  </si>
  <si>
    <t>QRHC</t>
  </si>
  <si>
    <t>QRTEA</t>
  </si>
  <si>
    <t>QRVO</t>
  </si>
  <si>
    <t>QTRX</t>
  </si>
  <si>
    <t>QTS</t>
  </si>
  <si>
    <t>QTWO</t>
  </si>
  <si>
    <t>QUAD</t>
  </si>
  <si>
    <t>QUIK</t>
  </si>
  <si>
    <t>QUMU</t>
  </si>
  <si>
    <t>QUOT</t>
  </si>
  <si>
    <t>R</t>
  </si>
  <si>
    <t>RAD</t>
  </si>
  <si>
    <t>RAIL</t>
  </si>
  <si>
    <t>RAMP</t>
  </si>
  <si>
    <t>RARE</t>
  </si>
  <si>
    <t>RAVE</t>
  </si>
  <si>
    <t>RAVN</t>
  </si>
  <si>
    <t>RBB</t>
  </si>
  <si>
    <t>RBBN</t>
  </si>
  <si>
    <t>RBC</t>
  </si>
  <si>
    <t>RBCAA</t>
  </si>
  <si>
    <t>RBCN</t>
  </si>
  <si>
    <t>RBNC</t>
  </si>
  <si>
    <t>RC</t>
  </si>
  <si>
    <t>RCKT</t>
  </si>
  <si>
    <t>RCKY</t>
  </si>
  <si>
    <t>RCL</t>
  </si>
  <si>
    <t>RCM</t>
  </si>
  <si>
    <t>RCMT</t>
  </si>
  <si>
    <t>RCUS</t>
  </si>
  <si>
    <t>RDFN</t>
  </si>
  <si>
    <t>RDI</t>
  </si>
  <si>
    <t>RDN</t>
  </si>
  <si>
    <t>RDNT</t>
  </si>
  <si>
    <t>RDUS</t>
  </si>
  <si>
    <t>RDVT</t>
  </si>
  <si>
    <t>REED</t>
  </si>
  <si>
    <t>REFR</t>
  </si>
  <si>
    <t>REG</t>
  </si>
  <si>
    <t>REGI</t>
  </si>
  <si>
    <t>REGN</t>
  </si>
  <si>
    <t>REI</t>
  </si>
  <si>
    <t>RELL</t>
  </si>
  <si>
    <t>RELV</t>
  </si>
  <si>
    <t>REPL</t>
  </si>
  <si>
    <t>RES</t>
  </si>
  <si>
    <t>RESI</t>
  </si>
  <si>
    <t>RESN</t>
  </si>
  <si>
    <t>RETA</t>
  </si>
  <si>
    <t>REV</t>
  </si>
  <si>
    <t>REVG</t>
  </si>
  <si>
    <t>REX</t>
  </si>
  <si>
    <t>REXR</t>
  </si>
  <si>
    <t>REZI</t>
  </si>
  <si>
    <t>RF</t>
  </si>
  <si>
    <t>RFIL</t>
  </si>
  <si>
    <t>RFL</t>
  </si>
  <si>
    <t>RFP</t>
  </si>
  <si>
    <t>RGA</t>
  </si>
  <si>
    <t>RGCO</t>
  </si>
  <si>
    <t>RGEN</t>
  </si>
  <si>
    <t>RGLD</t>
  </si>
  <si>
    <t>RGLS</t>
  </si>
  <si>
    <t>RGNX</t>
  </si>
  <si>
    <t>RGR</t>
  </si>
  <si>
    <t>RGS</t>
  </si>
  <si>
    <t>RH</t>
  </si>
  <si>
    <t>RHE</t>
  </si>
  <si>
    <t>RHI</t>
  </si>
  <si>
    <t>RHP</t>
  </si>
  <si>
    <t>RIBT</t>
  </si>
  <si>
    <t>RICK</t>
  </si>
  <si>
    <t>RIG</t>
  </si>
  <si>
    <t>RIGL</t>
  </si>
  <si>
    <t>RILY</t>
  </si>
  <si>
    <t>RIOT</t>
  </si>
  <si>
    <t>RJF</t>
  </si>
  <si>
    <t>RKDA</t>
  </si>
  <si>
    <t>RL</t>
  </si>
  <si>
    <t>RLGT</t>
  </si>
  <si>
    <t>RLH</t>
  </si>
  <si>
    <t>RLI</t>
  </si>
  <si>
    <t>RLJ</t>
  </si>
  <si>
    <t>RM</t>
  </si>
  <si>
    <t>RMAX</t>
  </si>
  <si>
    <t>RMBS</t>
  </si>
  <si>
    <t>RMCF</t>
  </si>
  <si>
    <t>RMD</t>
  </si>
  <si>
    <t>RMR</t>
  </si>
  <si>
    <t>RMTI</t>
  </si>
  <si>
    <t>RNDB</t>
  </si>
  <si>
    <t>RNET</t>
  </si>
  <si>
    <t>RNG</t>
  </si>
  <si>
    <t>RNR</t>
  </si>
  <si>
    <t>RNST</t>
  </si>
  <si>
    <t>RNWK</t>
  </si>
  <si>
    <t>ROAD</t>
  </si>
  <si>
    <t>ROCK</t>
  </si>
  <si>
    <t>ROG</t>
  </si>
  <si>
    <t>ROIC</t>
  </si>
  <si>
    <t>ROK</t>
  </si>
  <si>
    <t>ROKU</t>
  </si>
  <si>
    <t>ROL</t>
  </si>
  <si>
    <t>ROLL</t>
  </si>
  <si>
    <t>ROP</t>
  </si>
  <si>
    <t>ROST</t>
  </si>
  <si>
    <t>RP</t>
  </si>
  <si>
    <t>RPAI</t>
  </si>
  <si>
    <t>RPD</t>
  </si>
  <si>
    <t>RPM</t>
  </si>
  <si>
    <t>RPT</t>
  </si>
  <si>
    <t>RRC</t>
  </si>
  <si>
    <t>RRD</t>
  </si>
  <si>
    <t>RRGB</t>
  </si>
  <si>
    <t>RRR</t>
  </si>
  <si>
    <t>RRTS</t>
  </si>
  <si>
    <t>RS</t>
  </si>
  <si>
    <t>RSG</t>
  </si>
  <si>
    <t>RUBY</t>
  </si>
  <si>
    <t>RUN</t>
  </si>
  <si>
    <t>RUSHA</t>
  </si>
  <si>
    <t>RUSHB</t>
  </si>
  <si>
    <t>RUTH</t>
  </si>
  <si>
    <t>RVI</t>
  </si>
  <si>
    <t>RVNC</t>
  </si>
  <si>
    <t>RVP</t>
  </si>
  <si>
    <t>RVSB</t>
  </si>
  <si>
    <t>RWT</t>
  </si>
  <si>
    <t>RYAM</t>
  </si>
  <si>
    <t>RYI</t>
  </si>
  <si>
    <t>RYN</t>
  </si>
  <si>
    <t>RYTM</t>
  </si>
  <si>
    <t>S</t>
  </si>
  <si>
    <t>SABR</t>
  </si>
  <si>
    <t>SACH</t>
  </si>
  <si>
    <t>SAFE</t>
  </si>
  <si>
    <t>SAFM</t>
  </si>
  <si>
    <t>SAFT</t>
  </si>
  <si>
    <t>SAGE</t>
  </si>
  <si>
    <t>SAH</t>
  </si>
  <si>
    <t>SAIA</t>
  </si>
  <si>
    <t>SAIC</t>
  </si>
  <si>
    <t>SAIL</t>
  </si>
  <si>
    <t>SAL</t>
  </si>
  <si>
    <t>SALM</t>
  </si>
  <si>
    <t>SAM</t>
  </si>
  <si>
    <t>SAMG</t>
  </si>
  <si>
    <t>SANM</t>
  </si>
  <si>
    <t>SANW</t>
  </si>
  <si>
    <t>SASR</t>
  </si>
  <si>
    <t>SATS</t>
  </si>
  <si>
    <t>SAVA</t>
  </si>
  <si>
    <t>SAVE</t>
  </si>
  <si>
    <t>SBAC</t>
  </si>
  <si>
    <t>SBCF</t>
  </si>
  <si>
    <t>SBFG</t>
  </si>
  <si>
    <t>SBGI</t>
  </si>
  <si>
    <t>SBH</t>
  </si>
  <si>
    <t>SBNY</t>
  </si>
  <si>
    <t>SBOW</t>
  </si>
  <si>
    <t>SBRA</t>
  </si>
  <si>
    <t>SBSI</t>
  </si>
  <si>
    <t>SBT</t>
  </si>
  <si>
    <t>SBUX</t>
  </si>
  <si>
    <t>SC</t>
  </si>
  <si>
    <t>SCHL</t>
  </si>
  <si>
    <t>SCHW</t>
  </si>
  <si>
    <t>SCI</t>
  </si>
  <si>
    <t>SCL</t>
  </si>
  <si>
    <t>SCON</t>
  </si>
  <si>
    <t>SCOR</t>
  </si>
  <si>
    <t>SCPL</t>
  </si>
  <si>
    <t>SCS</t>
  </si>
  <si>
    <t>SCSC</t>
  </si>
  <si>
    <t>SCVL</t>
  </si>
  <si>
    <t>SCWX</t>
  </si>
  <si>
    <t>SCX</t>
  </si>
  <si>
    <t>SCYX</t>
  </si>
  <si>
    <t>SD</t>
  </si>
  <si>
    <t>SDPI</t>
  </si>
  <si>
    <t>SEAC</t>
  </si>
  <si>
    <t>SEAS</t>
  </si>
  <si>
    <t>SEB</t>
  </si>
  <si>
    <t>SEDG</t>
  </si>
  <si>
    <t>SEE</t>
  </si>
  <si>
    <t>SEEL</t>
  </si>
  <si>
    <t>SEIC</t>
  </si>
  <si>
    <t>SELB</t>
  </si>
  <si>
    <t>SELF</t>
  </si>
  <si>
    <t>SEM</t>
  </si>
  <si>
    <t>SENEA</t>
  </si>
  <si>
    <t>SENEB</t>
  </si>
  <si>
    <t>SENS</t>
  </si>
  <si>
    <t>SES</t>
  </si>
  <si>
    <t>SF</t>
  </si>
  <si>
    <t>SFBC</t>
  </si>
  <si>
    <t>SFBS</t>
  </si>
  <si>
    <t>SFE</t>
  </si>
  <si>
    <t>SFIX</t>
  </si>
  <si>
    <t>SFM</t>
  </si>
  <si>
    <t>SFNC</t>
  </si>
  <si>
    <t>SFST</t>
  </si>
  <si>
    <t>SGA</t>
  </si>
  <si>
    <t>SGC</t>
  </si>
  <si>
    <t>SGEN</t>
  </si>
  <si>
    <t>SGH</t>
  </si>
  <si>
    <t>SGMA</t>
  </si>
  <si>
    <t>SGMO</t>
  </si>
  <si>
    <t>SGRP</t>
  </si>
  <si>
    <t>SGRY</t>
  </si>
  <si>
    <t>SHAK</t>
  </si>
  <si>
    <t>SHBI</t>
  </si>
  <si>
    <t>SHEN</t>
  </si>
  <si>
    <t>SHO</t>
  </si>
  <si>
    <t>SHOO</t>
  </si>
  <si>
    <t>SHSP</t>
  </si>
  <si>
    <t>SHW</t>
  </si>
  <si>
    <t>SIBN</t>
  </si>
  <si>
    <t>SIEB</t>
  </si>
  <si>
    <t>SIEN</t>
  </si>
  <si>
    <t>SIF</t>
  </si>
  <si>
    <t>SIG</t>
  </si>
  <si>
    <t>SIGA</t>
  </si>
  <si>
    <t>SIGI</t>
  </si>
  <si>
    <t>SILK</t>
  </si>
  <si>
    <t>SINT</t>
  </si>
  <si>
    <t>SIRI</t>
  </si>
  <si>
    <t>SITC</t>
  </si>
  <si>
    <t>SITE</t>
  </si>
  <si>
    <t>SIVB</t>
  </si>
  <si>
    <t>SIX</t>
  </si>
  <si>
    <t>SJI</t>
  </si>
  <si>
    <t>SJM</t>
  </si>
  <si>
    <t>SJW</t>
  </si>
  <si>
    <t>SKT</t>
  </si>
  <si>
    <t>SKX</t>
  </si>
  <si>
    <t>SKY</t>
  </si>
  <si>
    <t>SKYW</t>
  </si>
  <si>
    <t>SLAB</t>
  </si>
  <si>
    <t>SLB</t>
  </si>
  <si>
    <t>SLCA</t>
  </si>
  <si>
    <t>SLCT</t>
  </si>
  <si>
    <t>SLDB</t>
  </si>
  <si>
    <t>SLG</t>
  </si>
  <si>
    <t>SLGN</t>
  </si>
  <si>
    <t>SLM</t>
  </si>
  <si>
    <t>SLNG</t>
  </si>
  <si>
    <t>SLNO</t>
  </si>
  <si>
    <t>SLP</t>
  </si>
  <si>
    <t>SLRX</t>
  </si>
  <si>
    <t>SLS</t>
  </si>
  <si>
    <t>SM</t>
  </si>
  <si>
    <t>SMAR</t>
  </si>
  <si>
    <t>SMBC</t>
  </si>
  <si>
    <t>SMBK</t>
  </si>
  <si>
    <t>SMED</t>
  </si>
  <si>
    <t>SMG</t>
  </si>
  <si>
    <t>SMHI</t>
  </si>
  <si>
    <t>SMIT</t>
  </si>
  <si>
    <t>SMMF</t>
  </si>
  <si>
    <t>SMP</t>
  </si>
  <si>
    <t>SMPL</t>
  </si>
  <si>
    <t>SMRT</t>
  </si>
  <si>
    <t>SMSI</t>
  </si>
  <si>
    <t>SMTC</t>
  </si>
  <si>
    <t>SNA</t>
  </si>
  <si>
    <t>SNAP</t>
  </si>
  <si>
    <t>SNBR</t>
  </si>
  <si>
    <t>SNCR</t>
  </si>
  <si>
    <t>SND</t>
  </si>
  <si>
    <t>SNDR</t>
  </si>
  <si>
    <t>SNDX</t>
  </si>
  <si>
    <t>SNFCA</t>
  </si>
  <si>
    <t>SNOA</t>
  </si>
  <si>
    <t>SNPS</t>
  </si>
  <si>
    <t>SNR</t>
  </si>
  <si>
    <t>SNV</t>
  </si>
  <si>
    <t>SNX</t>
  </si>
  <si>
    <t>SO</t>
  </si>
  <si>
    <t>SOHO</t>
  </si>
  <si>
    <t>SOI</t>
  </si>
  <si>
    <t>SOLY</t>
  </si>
  <si>
    <t>SON</t>
  </si>
  <si>
    <t>SONO</t>
  </si>
  <si>
    <t>SP</t>
  </si>
  <si>
    <t>SPB</t>
  </si>
  <si>
    <t>SPG</t>
  </si>
  <si>
    <t>SPGI</t>
  </si>
  <si>
    <t>SPLK</t>
  </si>
  <si>
    <t>SPNE</t>
  </si>
  <si>
    <t>SPOK</t>
  </si>
  <si>
    <t>SPPI</t>
  </si>
  <si>
    <t>SPR</t>
  </si>
  <si>
    <t>SPRO</t>
  </si>
  <si>
    <t>SPRT</t>
  </si>
  <si>
    <t>SPSC</t>
  </si>
  <si>
    <t>SPTN</t>
  </si>
  <si>
    <t>SPWH</t>
  </si>
  <si>
    <t>SPWR</t>
  </si>
  <si>
    <t>SPXC</t>
  </si>
  <si>
    <t>SQ</t>
  </si>
  <si>
    <t>SQBG</t>
  </si>
  <si>
    <t>SR</t>
  </si>
  <si>
    <t>SRC</t>
  </si>
  <si>
    <t>SRCE</t>
  </si>
  <si>
    <t>SRCL</t>
  </si>
  <si>
    <t>SRDX</t>
  </si>
  <si>
    <t>SRE</t>
  </si>
  <si>
    <t>SREV</t>
  </si>
  <si>
    <t>SRG</t>
  </si>
  <si>
    <t>SRI</t>
  </si>
  <si>
    <t>SRNE</t>
  </si>
  <si>
    <t>SRPT</t>
  </si>
  <si>
    <t>SRRK</t>
  </si>
  <si>
    <t>SRT</t>
  </si>
  <si>
    <t>SRTS</t>
  </si>
  <si>
    <t>SSB</t>
  </si>
  <si>
    <t>SSBI</t>
  </si>
  <si>
    <t>SSD</t>
  </si>
  <si>
    <t>SSKN</t>
  </si>
  <si>
    <t>SSNC</t>
  </si>
  <si>
    <t>SSP</t>
  </si>
  <si>
    <t>SSTI</t>
  </si>
  <si>
    <t>SSTK</t>
  </si>
  <si>
    <t>ST</t>
  </si>
  <si>
    <t>STAA</t>
  </si>
  <si>
    <t>STAG</t>
  </si>
  <si>
    <t>STAR</t>
  </si>
  <si>
    <t>STAY</t>
  </si>
  <si>
    <t>STBA</t>
  </si>
  <si>
    <t>STC</t>
  </si>
  <si>
    <t>STCN</t>
  </si>
  <si>
    <t>STE</t>
  </si>
  <si>
    <t>STFC</t>
  </si>
  <si>
    <t>STIM</t>
  </si>
  <si>
    <t>STKS</t>
  </si>
  <si>
    <t>STL</t>
  </si>
  <si>
    <t>STLD</t>
  </si>
  <si>
    <t>STMP</t>
  </si>
  <si>
    <t>STND</t>
  </si>
  <si>
    <t>STOR</t>
  </si>
  <si>
    <t>STRA</t>
  </si>
  <si>
    <t>STRL</t>
  </si>
  <si>
    <t>STRM</t>
  </si>
  <si>
    <t>STRS</t>
  </si>
  <si>
    <t>STRT</t>
  </si>
  <si>
    <t>STT</t>
  </si>
  <si>
    <t>STWD</t>
  </si>
  <si>
    <t>STX</t>
  </si>
  <si>
    <t>STXB</t>
  </si>
  <si>
    <t>STZ</t>
  </si>
  <si>
    <t>SUI</t>
  </si>
  <si>
    <t>SUM</t>
  </si>
  <si>
    <t>SUMR</t>
  </si>
  <si>
    <t>SUNW</t>
  </si>
  <si>
    <t>SUP</t>
  </si>
  <si>
    <t>SUPN</t>
  </si>
  <si>
    <t>SVBI</t>
  </si>
  <si>
    <t>SVRA</t>
  </si>
  <si>
    <t>SVT</t>
  </si>
  <si>
    <t>SWAV</t>
  </si>
  <si>
    <t>SWCH</t>
  </si>
  <si>
    <t>SWK</t>
  </si>
  <si>
    <t>SWKS</t>
  </si>
  <si>
    <t>SWN</t>
  </si>
  <si>
    <t>SWX</t>
  </si>
  <si>
    <t>SXC</t>
  </si>
  <si>
    <t>SXI</t>
  </si>
  <si>
    <t>SXT</t>
  </si>
  <si>
    <t>SYBT</t>
  </si>
  <si>
    <t>SYBX</t>
  </si>
  <si>
    <t>SYF</t>
  </si>
  <si>
    <t>SYK</t>
  </si>
  <si>
    <t>SYKE</t>
  </si>
  <si>
    <t>SYNA</t>
  </si>
  <si>
    <t>SYNC</t>
  </si>
  <si>
    <t>SYNH</t>
  </si>
  <si>
    <t>SYNL</t>
  </si>
  <si>
    <t>SYPR</t>
  </si>
  <si>
    <t>SYRS</t>
  </si>
  <si>
    <t>SYY</t>
  </si>
  <si>
    <t>T</t>
  </si>
  <si>
    <t>TACO</t>
  </si>
  <si>
    <t>TACT</t>
  </si>
  <si>
    <t>TAIT</t>
  </si>
  <si>
    <t>TALO</t>
  </si>
  <si>
    <t>TAP</t>
  </si>
  <si>
    <t>TAST</t>
  </si>
  <si>
    <t>TAT</t>
  </si>
  <si>
    <t>TAYD</t>
  </si>
  <si>
    <t>TBBK</t>
  </si>
  <si>
    <t>TBI</t>
  </si>
  <si>
    <t>TBIO</t>
  </si>
  <si>
    <t>TBNK</t>
  </si>
  <si>
    <t>TBPH</t>
  </si>
  <si>
    <t>TCBI</t>
  </si>
  <si>
    <t>TCBK</t>
  </si>
  <si>
    <t>TCDA</t>
  </si>
  <si>
    <t>TCF</t>
  </si>
  <si>
    <t>TCFC</t>
  </si>
  <si>
    <t>TCI</t>
  </si>
  <si>
    <t>TCMD</t>
  </si>
  <si>
    <t>TCO</t>
  </si>
  <si>
    <t>TCON</t>
  </si>
  <si>
    <t>TCS</t>
  </si>
  <si>
    <t>TDC</t>
  </si>
  <si>
    <t>TDG</t>
  </si>
  <si>
    <t>TDOC</t>
  </si>
  <si>
    <t>TDS</t>
  </si>
  <si>
    <t>TDW</t>
  </si>
  <si>
    <t>TDY</t>
  </si>
  <si>
    <t>TECD</t>
  </si>
  <si>
    <t>TECH</t>
  </si>
  <si>
    <t>TEL</t>
  </si>
  <si>
    <t>TELL</t>
  </si>
  <si>
    <t>TEN</t>
  </si>
  <si>
    <t>TENB</t>
  </si>
  <si>
    <t>TENX</t>
  </si>
  <si>
    <t>TER</t>
  </si>
  <si>
    <t>TESS</t>
  </si>
  <si>
    <t>TEUM</t>
  </si>
  <si>
    <t>TEX</t>
  </si>
  <si>
    <t>TFSL</t>
  </si>
  <si>
    <t>TFX</t>
  </si>
  <si>
    <t>TG</t>
  </si>
  <si>
    <t>TGEN</t>
  </si>
  <si>
    <t>TGI</t>
  </si>
  <si>
    <t>TGLS</t>
  </si>
  <si>
    <t>TGNA</t>
  </si>
  <si>
    <t>TGT</t>
  </si>
  <si>
    <t>TGTX</t>
  </si>
  <si>
    <t>TH</t>
  </si>
  <si>
    <t>THC</t>
  </si>
  <si>
    <t>THFF</t>
  </si>
  <si>
    <t>THG</t>
  </si>
  <si>
    <t>THO</t>
  </si>
  <si>
    <t>THR</t>
  </si>
  <si>
    <t>THRM</t>
  </si>
  <si>
    <t>THS</t>
  </si>
  <si>
    <t>TIF</t>
  </si>
  <si>
    <t>TILE</t>
  </si>
  <si>
    <t>TIPT</t>
  </si>
  <si>
    <t>TISI</t>
  </si>
  <si>
    <t>TITN</t>
  </si>
  <si>
    <t>TJX</t>
  </si>
  <si>
    <t>TKR</t>
  </si>
  <si>
    <t>TLF</t>
  </si>
  <si>
    <t>TLGT</t>
  </si>
  <si>
    <t>TLYS</t>
  </si>
  <si>
    <t>TMDX</t>
  </si>
  <si>
    <t>TMHC</t>
  </si>
  <si>
    <t>TMO</t>
  </si>
  <si>
    <t>TMP</t>
  </si>
  <si>
    <t>TMST</t>
  </si>
  <si>
    <t>TMUS</t>
  </si>
  <si>
    <t>TNAV</t>
  </si>
  <si>
    <t>TNC</t>
  </si>
  <si>
    <t>TNDM</t>
  </si>
  <si>
    <t>TNET</t>
  </si>
  <si>
    <t>TNXP</t>
  </si>
  <si>
    <t>TOL</t>
  </si>
  <si>
    <t>TOWN</t>
  </si>
  <si>
    <t>TPB</t>
  </si>
  <si>
    <t>TPC</t>
  </si>
  <si>
    <t>TPCO</t>
  </si>
  <si>
    <t>TPH</t>
  </si>
  <si>
    <t>TPHS</t>
  </si>
  <si>
    <t>TPIC</t>
  </si>
  <si>
    <t>TPR</t>
  </si>
  <si>
    <t>TPTX</t>
  </si>
  <si>
    <t>TPX</t>
  </si>
  <si>
    <t>TR</t>
  </si>
  <si>
    <t>TRC</t>
  </si>
  <si>
    <t>TRCH</t>
  </si>
  <si>
    <t>TREC</t>
  </si>
  <si>
    <t>TREE</t>
  </si>
  <si>
    <t>TREX</t>
  </si>
  <si>
    <t>TRGP</t>
  </si>
  <si>
    <t>TRHC</t>
  </si>
  <si>
    <t>TRIP</t>
  </si>
  <si>
    <t>TRMB</t>
  </si>
  <si>
    <t>TRMK</t>
  </si>
  <si>
    <t>TRN</t>
  </si>
  <si>
    <t>TRNO</t>
  </si>
  <si>
    <t>TRNS</t>
  </si>
  <si>
    <t>TROW</t>
  </si>
  <si>
    <t>TROX</t>
  </si>
  <si>
    <t>TRS</t>
  </si>
  <si>
    <t>TRST</t>
  </si>
  <si>
    <t>TRT</t>
  </si>
  <si>
    <t>TRTN</t>
  </si>
  <si>
    <t>TRTX</t>
  </si>
  <si>
    <t>TRU</t>
  </si>
  <si>
    <t>TRUP</t>
  </si>
  <si>
    <t>TRV</t>
  </si>
  <si>
    <t>TRVN</t>
  </si>
  <si>
    <t>TRXC</t>
  </si>
  <si>
    <t>TSBK</t>
  </si>
  <si>
    <t>TSC</t>
  </si>
  <si>
    <t>TSCO</t>
  </si>
  <si>
    <t>TSE</t>
  </si>
  <si>
    <t>TSLA</t>
  </si>
  <si>
    <t>TSN</t>
  </si>
  <si>
    <t>TSQ</t>
  </si>
  <si>
    <t>TTC</t>
  </si>
  <si>
    <t>TTD</t>
  </si>
  <si>
    <t>TTEC</t>
  </si>
  <si>
    <t>TTEK</t>
  </si>
  <si>
    <t>TTGT</t>
  </si>
  <si>
    <t>TTI</t>
  </si>
  <si>
    <t>TTMI</t>
  </si>
  <si>
    <t>TTNP</t>
  </si>
  <si>
    <t>TTOO</t>
  </si>
  <si>
    <t>TTS</t>
  </si>
  <si>
    <t>TTWO</t>
  </si>
  <si>
    <t>TUP</t>
  </si>
  <si>
    <t>TUSK</t>
  </si>
  <si>
    <t>TVTY</t>
  </si>
  <si>
    <t>TW</t>
  </si>
  <si>
    <t>TWI</t>
  </si>
  <si>
    <t>TWIN</t>
  </si>
  <si>
    <t>TWLO</t>
  </si>
  <si>
    <t>TWNK</t>
  </si>
  <si>
    <t>TWO</t>
  </si>
  <si>
    <t>TWOU</t>
  </si>
  <si>
    <t>TWST</t>
  </si>
  <si>
    <t>TWTR</t>
  </si>
  <si>
    <t>TXMD</t>
  </si>
  <si>
    <t>TXN</t>
  </si>
  <si>
    <t>TXRH</t>
  </si>
  <si>
    <t>TXT</t>
  </si>
  <si>
    <t>TYL</t>
  </si>
  <si>
    <t>TYME</t>
  </si>
  <si>
    <t>TZOO</t>
  </si>
  <si>
    <t>UA</t>
  </si>
  <si>
    <t>UAA</t>
  </si>
  <si>
    <t>UAL</t>
  </si>
  <si>
    <t>UAMY</t>
  </si>
  <si>
    <t>UBA</t>
  </si>
  <si>
    <t>UBCP</t>
  </si>
  <si>
    <t>UBER</t>
  </si>
  <si>
    <t>UBFO</t>
  </si>
  <si>
    <t>UBOH</t>
  </si>
  <si>
    <t>UBSI</t>
  </si>
  <si>
    <t>UCBI</t>
  </si>
  <si>
    <t>UCTT</t>
  </si>
  <si>
    <t>UDR</t>
  </si>
  <si>
    <t>UE</t>
  </si>
  <si>
    <t>UEC</t>
  </si>
  <si>
    <t>UEIC</t>
  </si>
  <si>
    <t>UFAB</t>
  </si>
  <si>
    <t>UFCS</t>
  </si>
  <si>
    <t>UFI</t>
  </si>
  <si>
    <t>UFPI</t>
  </si>
  <si>
    <t>UFPT</t>
  </si>
  <si>
    <t>UFS</t>
  </si>
  <si>
    <t>UG</t>
  </si>
  <si>
    <t>UGI</t>
  </si>
  <si>
    <t>UHAL</t>
  </si>
  <si>
    <t>UHS</t>
  </si>
  <si>
    <t>UHT</t>
  </si>
  <si>
    <t>UI</t>
  </si>
  <si>
    <t>UIHC</t>
  </si>
  <si>
    <t>UIS</t>
  </si>
  <si>
    <t>ULBI</t>
  </si>
  <si>
    <t>ULH</t>
  </si>
  <si>
    <t>ULTA</t>
  </si>
  <si>
    <t>UMBF</t>
  </si>
  <si>
    <t>UMH</t>
  </si>
  <si>
    <t>UMPQ</t>
  </si>
  <si>
    <t>UNAM</t>
  </si>
  <si>
    <t>UNB</t>
  </si>
  <si>
    <t>UNF</t>
  </si>
  <si>
    <t>UNFI</t>
  </si>
  <si>
    <t>UNH</t>
  </si>
  <si>
    <t>UNIT</t>
  </si>
  <si>
    <t>UNM</t>
  </si>
  <si>
    <t>UNP</t>
  </si>
  <si>
    <t>UNTY</t>
  </si>
  <si>
    <t>UNVR</t>
  </si>
  <si>
    <t>UONE</t>
  </si>
  <si>
    <t>UONEK</t>
  </si>
  <si>
    <t>UPLD</t>
  </si>
  <si>
    <t>UPS</t>
  </si>
  <si>
    <t>UPWK</t>
  </si>
  <si>
    <t>URBN</t>
  </si>
  <si>
    <t>URI</t>
  </si>
  <si>
    <t>UROV</t>
  </si>
  <si>
    <t>USAK</t>
  </si>
  <si>
    <t>USAP</t>
  </si>
  <si>
    <t>USAT</t>
  </si>
  <si>
    <t>USB</t>
  </si>
  <si>
    <t>USCR</t>
  </si>
  <si>
    <t>USD</t>
  </si>
  <si>
    <t>USEG</t>
  </si>
  <si>
    <t>USFD</t>
  </si>
  <si>
    <t>USIO</t>
  </si>
  <si>
    <t>USLM</t>
  </si>
  <si>
    <t>USM</t>
  </si>
  <si>
    <t>USNA</t>
  </si>
  <si>
    <t>USPH</t>
  </si>
  <si>
    <t>USWS</t>
  </si>
  <si>
    <t>USX</t>
  </si>
  <si>
    <t>UTHR</t>
  </si>
  <si>
    <t>UTI</t>
  </si>
  <si>
    <t>UTL</t>
  </si>
  <si>
    <t>UTMD</t>
  </si>
  <si>
    <t>UUU</t>
  </si>
  <si>
    <t>UVE</t>
  </si>
  <si>
    <t>UVSP</t>
  </si>
  <si>
    <t>UVV</t>
  </si>
  <si>
    <t>V</t>
  </si>
  <si>
    <t>VAC</t>
  </si>
  <si>
    <t>VAL</t>
  </si>
  <si>
    <t>VALU</t>
  </si>
  <si>
    <t>VAPO</t>
  </si>
  <si>
    <t>VAR</t>
  </si>
  <si>
    <t>VBFC</t>
  </si>
  <si>
    <t>VBIV</t>
  </si>
  <si>
    <t>VBTX</t>
  </si>
  <si>
    <t>VC</t>
  </si>
  <si>
    <t>VCEL</t>
  </si>
  <si>
    <t>VCRA</t>
  </si>
  <si>
    <t>VCTR</t>
  </si>
  <si>
    <t>VCYT</t>
  </si>
  <si>
    <t>VECO</t>
  </si>
  <si>
    <t>VEEV</t>
  </si>
  <si>
    <t>VER</t>
  </si>
  <si>
    <t>VERI</t>
  </si>
  <si>
    <t>VERU</t>
  </si>
  <si>
    <t>VFC</t>
  </si>
  <si>
    <t>VG</t>
  </si>
  <si>
    <t>VGR</t>
  </si>
  <si>
    <t>VHC</t>
  </si>
  <si>
    <t>VIA</t>
  </si>
  <si>
    <t>VIAV</t>
  </si>
  <si>
    <t>VICI</t>
  </si>
  <si>
    <t>VICR</t>
  </si>
  <si>
    <t>VIRC</t>
  </si>
  <si>
    <t>VIRT</t>
  </si>
  <si>
    <t>VISL</t>
  </si>
  <si>
    <t>VIVO</t>
  </si>
  <si>
    <t>VKTX</t>
  </si>
  <si>
    <t>VLGEA</t>
  </si>
  <si>
    <t>VLO</t>
  </si>
  <si>
    <t>VLY</t>
  </si>
  <si>
    <t>VMC</t>
  </si>
  <si>
    <t>VMI</t>
  </si>
  <si>
    <t>VMW</t>
  </si>
  <si>
    <t>VNCE</t>
  </si>
  <si>
    <t>VNDA</t>
  </si>
  <si>
    <t>VNE</t>
  </si>
  <si>
    <t>VNO</t>
  </si>
  <si>
    <t>VNRX</t>
  </si>
  <si>
    <t>VNTR</t>
  </si>
  <si>
    <t>VOXX</t>
  </si>
  <si>
    <t>VOYA</t>
  </si>
  <si>
    <t>VPG</t>
  </si>
  <si>
    <t>VRA</t>
  </si>
  <si>
    <t>VRAY</t>
  </si>
  <si>
    <t>VREX</t>
  </si>
  <si>
    <t>VRNS</t>
  </si>
  <si>
    <t>VRNT</t>
  </si>
  <si>
    <t>VRRM</t>
  </si>
  <si>
    <t>VRS</t>
  </si>
  <si>
    <t>VRSK</t>
  </si>
  <si>
    <t>VRSN</t>
  </si>
  <si>
    <t>VRTS</t>
  </si>
  <si>
    <t>VRTU</t>
  </si>
  <si>
    <t>VRTV</t>
  </si>
  <si>
    <t>VRTX</t>
  </si>
  <si>
    <t>VSAT</t>
  </si>
  <si>
    <t>VSEC</t>
  </si>
  <si>
    <t>VSH</t>
  </si>
  <si>
    <t>VST</t>
  </si>
  <si>
    <t>VSTM</t>
  </si>
  <si>
    <t>VSTO</t>
  </si>
  <si>
    <t>VTNR</t>
  </si>
  <si>
    <t>VTR</t>
  </si>
  <si>
    <t>VTVT</t>
  </si>
  <si>
    <t>VUZI</t>
  </si>
  <si>
    <t>VVI</t>
  </si>
  <si>
    <t>VVV</t>
  </si>
  <si>
    <t>VXRT</t>
  </si>
  <si>
    <t>VYGR</t>
  </si>
  <si>
    <t>VZ</t>
  </si>
  <si>
    <t>W</t>
  </si>
  <si>
    <t>WAB</t>
  </si>
  <si>
    <t>WABC</t>
  </si>
  <si>
    <t>WAFD</t>
  </si>
  <si>
    <t>WAL</t>
  </si>
  <si>
    <t>WASH</t>
  </si>
  <si>
    <t>WAT</t>
  </si>
  <si>
    <t>WATT</t>
  </si>
  <si>
    <t>WBA</t>
  </si>
  <si>
    <t>WBS</t>
  </si>
  <si>
    <t>WBT</t>
  </si>
  <si>
    <t>WCC</t>
  </si>
  <si>
    <t>WD</t>
  </si>
  <si>
    <t>WDAY</t>
  </si>
  <si>
    <t>WDC</t>
  </si>
  <si>
    <t>WDFC</t>
  </si>
  <si>
    <t>WDR</t>
  </si>
  <si>
    <t>WEC</t>
  </si>
  <si>
    <t>WELL</t>
  </si>
  <si>
    <t>WEN</t>
  </si>
  <si>
    <t>WERN</t>
  </si>
  <si>
    <t>WEX</t>
  </si>
  <si>
    <t>WEYS</t>
  </si>
  <si>
    <t>WFC</t>
  </si>
  <si>
    <t>WGO</t>
  </si>
  <si>
    <t>WH</t>
  </si>
  <si>
    <t>WHD</t>
  </si>
  <si>
    <t>WHG</t>
  </si>
  <si>
    <t>WHLM</t>
  </si>
  <si>
    <t>WHLR</t>
  </si>
  <si>
    <t>WHR</t>
  </si>
  <si>
    <t>WIFI</t>
  </si>
  <si>
    <t>WINA</t>
  </si>
  <si>
    <t>WING</t>
  </si>
  <si>
    <t>WIRE</t>
  </si>
  <si>
    <t>WK</t>
  </si>
  <si>
    <t>WKHS</t>
  </si>
  <si>
    <t>WLDN</t>
  </si>
  <si>
    <t>WLFC</t>
  </si>
  <si>
    <t>WLK</t>
  </si>
  <si>
    <t>WLL</t>
  </si>
  <si>
    <t>WM</t>
  </si>
  <si>
    <t>WMB</t>
  </si>
  <si>
    <t>WMC</t>
  </si>
  <si>
    <t>WMK</t>
  </si>
  <si>
    <t>WMS</t>
  </si>
  <si>
    <t>WMT</t>
  </si>
  <si>
    <t>WNC</t>
  </si>
  <si>
    <t>WNEB</t>
  </si>
  <si>
    <t>WOR</t>
  </si>
  <si>
    <t>WOW</t>
  </si>
  <si>
    <t>WPC</t>
  </si>
  <si>
    <t>WPG</t>
  </si>
  <si>
    <t>WPX</t>
  </si>
  <si>
    <t>WRB</t>
  </si>
  <si>
    <t>WRI</t>
  </si>
  <si>
    <t>WRK</t>
  </si>
  <si>
    <t>WRLD</t>
  </si>
  <si>
    <t>WRTC</t>
  </si>
  <si>
    <t>WSBC</t>
  </si>
  <si>
    <t>WSBF</t>
  </si>
  <si>
    <t>WSC</t>
  </si>
  <si>
    <t>WSFS</t>
  </si>
  <si>
    <t>WSM</t>
  </si>
  <si>
    <t>WSO</t>
  </si>
  <si>
    <t>WSR</t>
  </si>
  <si>
    <t>WST</t>
  </si>
  <si>
    <t>WSTL</t>
  </si>
  <si>
    <t>WTBA</t>
  </si>
  <si>
    <t>WTER</t>
  </si>
  <si>
    <t>WTFC</t>
  </si>
  <si>
    <t>WTI</t>
  </si>
  <si>
    <t>WTM</t>
  </si>
  <si>
    <t>WTS</t>
  </si>
  <si>
    <t>WTT</t>
  </si>
  <si>
    <t>WTTR</t>
  </si>
  <si>
    <t>WU</t>
  </si>
  <si>
    <t>WVE</t>
  </si>
  <si>
    <t>WVFC</t>
  </si>
  <si>
    <t>WVVI</t>
  </si>
  <si>
    <t>WW</t>
  </si>
  <si>
    <t>WWD</t>
  </si>
  <si>
    <t>WWE</t>
  </si>
  <si>
    <t>WWR</t>
  </si>
  <si>
    <t>WWW</t>
  </si>
  <si>
    <t>WY</t>
  </si>
  <si>
    <t>WYNN</t>
  </si>
  <si>
    <t>WYY</t>
  </si>
  <si>
    <t>X</t>
  </si>
  <si>
    <t>XBIT</t>
  </si>
  <si>
    <t>XEC</t>
  </si>
  <si>
    <t>XEL</t>
  </si>
  <si>
    <t>XELA</t>
  </si>
  <si>
    <t>XELB</t>
  </si>
  <si>
    <t>XENT</t>
  </si>
  <si>
    <t>XERS</t>
  </si>
  <si>
    <t>XFOR</t>
  </si>
  <si>
    <t>XHR</t>
  </si>
  <si>
    <t>XLNX</t>
  </si>
  <si>
    <t>XLRN</t>
  </si>
  <si>
    <t>XNCR</t>
  </si>
  <si>
    <t>XOG</t>
  </si>
  <si>
    <t>XOM</t>
  </si>
  <si>
    <t>XOMA</t>
  </si>
  <si>
    <t>XONE</t>
  </si>
  <si>
    <t>XPER</t>
  </si>
  <si>
    <t>XPL</t>
  </si>
  <si>
    <t>XPO</t>
  </si>
  <si>
    <t>XRAY</t>
  </si>
  <si>
    <t>XRX</t>
  </si>
  <si>
    <t>XTNT</t>
  </si>
  <si>
    <t>XXII</t>
  </si>
  <si>
    <t>XYL</t>
  </si>
  <si>
    <t>Y</t>
  </si>
  <si>
    <t>YELP</t>
  </si>
  <si>
    <t>YETI</t>
  </si>
  <si>
    <t>YEXT</t>
  </si>
  <si>
    <t>YMAB</t>
  </si>
  <si>
    <t>YORW</t>
  </si>
  <si>
    <t>YTEN</t>
  </si>
  <si>
    <t>YUM</t>
  </si>
  <si>
    <t>Z</t>
  </si>
  <si>
    <t>ZAGG</t>
  </si>
  <si>
    <t>ZBH</t>
  </si>
  <si>
    <t>ZBRA</t>
  </si>
  <si>
    <t>ZDGE</t>
  </si>
  <si>
    <t>ZEN</t>
  </si>
  <si>
    <t>ZEUS</t>
  </si>
  <si>
    <t>ZG</t>
  </si>
  <si>
    <t>ZGNX</t>
  </si>
  <si>
    <t>ZION</t>
  </si>
  <si>
    <t>ZIOP</t>
  </si>
  <si>
    <t>ZIXI</t>
  </si>
  <si>
    <t>ZM</t>
  </si>
  <si>
    <t>ZNGA</t>
  </si>
  <si>
    <t>ZS</t>
  </si>
  <si>
    <t>ZSAN</t>
  </si>
  <si>
    <t>ZTS</t>
  </si>
  <si>
    <t>ZUMZ</t>
  </si>
  <si>
    <t>ZUO</t>
  </si>
  <si>
    <t>ZVO</t>
  </si>
  <si>
    <t>ZYNE</t>
  </si>
  <si>
    <t>ZYXI</t>
  </si>
  <si>
    <t>TRUE</t>
  </si>
  <si>
    <t>BRMK</t>
  </si>
  <si>
    <t>CRT</t>
  </si>
  <si>
    <t>DREUF</t>
  </si>
  <si>
    <t>GAIN</t>
  </si>
  <si>
    <t>GLAD</t>
  </si>
  <si>
    <t>HCAP</t>
  </si>
  <si>
    <t>HRZN</t>
  </si>
  <si>
    <t>MAIN</t>
  </si>
  <si>
    <t>OXSQ</t>
  </si>
  <si>
    <t>PBA</t>
  </si>
  <si>
    <t>PBT</t>
  </si>
  <si>
    <t>PFLT</t>
  </si>
  <si>
    <t>PRT</t>
  </si>
  <si>
    <t>PSEC</t>
  </si>
  <si>
    <t>SBR</t>
  </si>
  <si>
    <t>SUNS</t>
  </si>
  <si>
    <t>Healthcare</t>
  </si>
  <si>
    <t>Basic Materials</t>
  </si>
  <si>
    <t>N/A</t>
  </si>
  <si>
    <t>Industrials</t>
  </si>
  <si>
    <t>Financial Services</t>
  </si>
  <si>
    <t>Technology</t>
  </si>
  <si>
    <t>Consumer Cyclical</t>
  </si>
  <si>
    <t>Real Estate</t>
  </si>
  <si>
    <t>Consumer Defensive</t>
  </si>
  <si>
    <t>Energy</t>
  </si>
  <si>
    <t>Utilities</t>
  </si>
  <si>
    <t>Communication Services</t>
  </si>
  <si>
    <t>One Month Price Return</t>
  </si>
  <si>
    <t>Three Month Price Return</t>
  </si>
  <si>
    <t>Six Month Price Return</t>
  </si>
  <si>
    <t>Year-To-Date Price Return</t>
  </si>
  <si>
    <t>One Year Price Return</t>
  </si>
  <si>
    <t>Two Year Price Return</t>
  </si>
  <si>
    <t>Five Year Price Return</t>
  </si>
  <si>
    <t>Notes</t>
  </si>
  <si>
    <t>Data Provided by IEX Cloud</t>
  </si>
  <si>
    <t>Data updated on 2023-11-03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</si>
</sst>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8"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/>
      </font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$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0.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8" formatCode="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16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10.7109375" customWidth="1"/>
    <col min="5" max="5" width="18.7109375" customWidth="1"/>
    <col min="6" max="6" width="25.7109375" customWidth="1"/>
    <col min="7" max="7" width="34.7109375" customWidth="1"/>
    <col min="8" max="8" width="22.7109375" customWidth="1"/>
    <col min="9" max="9" width="22.7109375" customWidth="1"/>
    <col min="10" max="10" width="22.7109375" customWidth="1"/>
    <col min="11" max="11" width="20.7109375" customWidth="1"/>
    <col min="12" max="12" width="15.7109375" customWidth="1"/>
    <col min="13" max="13" width="15.7109375" customWidth="1"/>
    <col min="14" max="14" width="15.7109375" customWidth="1"/>
    <col min="15" max="15" width="15.7109375" customWidth="1"/>
  </cols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14</v>
      </c>
      <c r="B2">
        <f>HYPERLINK("https://www.suredividend.com/sure-analysis-research-database/","Agilent Technologies Inc.")</f>
        <v>0</v>
      </c>
      <c r="C2" t="s">
        <v>3180</v>
      </c>
      <c r="D2">
        <v>104.47</v>
      </c>
      <c r="E2">
        <v>0.008590229616598001</v>
      </c>
      <c r="F2">
        <v>0.0714285714285714</v>
      </c>
      <c r="G2">
        <v>0.06528971483491919</v>
      </c>
      <c r="H2">
        <v>0.8974212880460301</v>
      </c>
      <c r="I2">
        <v>30566.59241</v>
      </c>
      <c r="J2">
        <v>26.97845755543689</v>
      </c>
      <c r="K2">
        <v>0.2349270387555052</v>
      </c>
      <c r="L2">
        <v>0.9936965000849971</v>
      </c>
      <c r="M2">
        <v>159.14</v>
      </c>
      <c r="N2">
        <v>96.8</v>
      </c>
    </row>
    <row r="3" spans="1:14">
      <c r="A3" s="1" t="s">
        <v>15</v>
      </c>
      <c r="B3">
        <f>HYPERLINK("https://www.suredividend.com/sure-analysis-research-database/","Alcoa Corp")</f>
        <v>0</v>
      </c>
      <c r="C3" t="s">
        <v>3181</v>
      </c>
      <c r="D3">
        <v>26.07</v>
      </c>
      <c r="E3">
        <v>0.015261095229755</v>
      </c>
      <c r="F3" t="s">
        <v>3182</v>
      </c>
      <c r="G3" t="s">
        <v>3182</v>
      </c>
      <c r="H3">
        <v>0.397856752639717</v>
      </c>
      <c r="I3">
        <v>4652.762642</v>
      </c>
      <c r="J3" t="s">
        <v>3182</v>
      </c>
      <c r="K3" t="s">
        <v>3182</v>
      </c>
      <c r="L3">
        <v>1.908598358299427</v>
      </c>
      <c r="M3">
        <v>56.93</v>
      </c>
      <c r="N3">
        <v>22.97</v>
      </c>
    </row>
    <row r="4" spans="1:14">
      <c r="A4" s="1" t="s">
        <v>16</v>
      </c>
      <c r="B4">
        <f>HYPERLINK("https://www.suredividend.com/sure-analysis-research-database/","Ares Acquisition Corporation")</f>
        <v>0</v>
      </c>
      <c r="C4" t="s">
        <v>3182</v>
      </c>
      <c r="D4">
        <v>10.77</v>
      </c>
      <c r="E4">
        <v>0</v>
      </c>
      <c r="F4" t="s">
        <v>3182</v>
      </c>
      <c r="G4" t="s">
        <v>3182</v>
      </c>
      <c r="H4">
        <v>0</v>
      </c>
      <c r="I4">
        <v>491.15788</v>
      </c>
      <c r="J4">
        <v>0</v>
      </c>
      <c r="K4" t="s">
        <v>3182</v>
      </c>
      <c r="L4">
        <v>0.08205808811295201</v>
      </c>
      <c r="M4">
        <v>10.8</v>
      </c>
      <c r="N4">
        <v>9.01</v>
      </c>
    </row>
    <row r="5" spans="1:14">
      <c r="A5" s="1" t="s">
        <v>17</v>
      </c>
      <c r="B5">
        <f>HYPERLINK("https://www.suredividend.com/sure-analysis-research-database/","American Airlines Group Inc")</f>
        <v>0</v>
      </c>
      <c r="C5" t="s">
        <v>3183</v>
      </c>
      <c r="D5">
        <v>11.4</v>
      </c>
      <c r="E5">
        <v>0</v>
      </c>
      <c r="F5" t="s">
        <v>3182</v>
      </c>
      <c r="G5" t="s">
        <v>3182</v>
      </c>
      <c r="H5">
        <v>0</v>
      </c>
      <c r="I5">
        <v>7450.36227</v>
      </c>
      <c r="J5">
        <v>4.639079869240349</v>
      </c>
      <c r="K5">
        <v>0</v>
      </c>
      <c r="L5">
        <v>1.270959832570909</v>
      </c>
      <c r="M5">
        <v>19.08</v>
      </c>
      <c r="N5">
        <v>10.86</v>
      </c>
    </row>
    <row r="6" spans="1:14">
      <c r="A6" s="1" t="s">
        <v>18</v>
      </c>
      <c r="B6">
        <f>HYPERLINK("https://www.suredividend.com/sure-analysis-research-database/","Atlantic American Corp.")</f>
        <v>0</v>
      </c>
      <c r="C6" t="s">
        <v>3184</v>
      </c>
      <c r="D6">
        <v>1.82</v>
      </c>
      <c r="E6">
        <v>0.010989010743387</v>
      </c>
      <c r="F6" t="s">
        <v>3182</v>
      </c>
      <c r="G6" t="s">
        <v>3182</v>
      </c>
      <c r="H6">
        <v>0.019999999552965</v>
      </c>
      <c r="I6">
        <v>37.132164</v>
      </c>
      <c r="J6">
        <v>0</v>
      </c>
      <c r="K6" t="s">
        <v>3182</v>
      </c>
      <c r="M6">
        <v>3.08</v>
      </c>
      <c r="N6">
        <v>1.64</v>
      </c>
    </row>
    <row r="7" spans="1:14">
      <c r="A7" s="1" t="s">
        <v>19</v>
      </c>
      <c r="B7">
        <f>HYPERLINK("https://www.suredividend.com/sure-analysis-research-database/","Aarons Company Inc (The)")</f>
        <v>0</v>
      </c>
      <c r="C7" t="s">
        <v>3183</v>
      </c>
      <c r="D7">
        <v>7.28</v>
      </c>
      <c r="E7">
        <v>0.06588726280135601</v>
      </c>
      <c r="F7" t="s">
        <v>3182</v>
      </c>
      <c r="G7" t="s">
        <v>3182</v>
      </c>
      <c r="H7">
        <v>0.479659273193876</v>
      </c>
      <c r="I7">
        <v>220.797209</v>
      </c>
      <c r="J7">
        <v>23.68052438438438</v>
      </c>
      <c r="K7">
        <v>1.58827573905257</v>
      </c>
      <c r="L7">
        <v>1.116123925679357</v>
      </c>
      <c r="M7">
        <v>15.96</v>
      </c>
      <c r="N7">
        <v>7</v>
      </c>
    </row>
    <row r="8" spans="1:14">
      <c r="A8" s="1" t="s">
        <v>20</v>
      </c>
      <c r="B8">
        <f>HYPERLINK("https://www.suredividend.com/sure-analysis-research-database/","Applied Optoelectronics Inc")</f>
        <v>0</v>
      </c>
      <c r="C8" t="s">
        <v>3185</v>
      </c>
      <c r="D8">
        <v>8.57</v>
      </c>
      <c r="E8">
        <v>0</v>
      </c>
      <c r="F8" t="s">
        <v>3182</v>
      </c>
      <c r="G8" t="s">
        <v>3182</v>
      </c>
      <c r="H8">
        <v>0</v>
      </c>
      <c r="I8">
        <v>285.255535</v>
      </c>
      <c r="J8" t="s">
        <v>3182</v>
      </c>
      <c r="K8">
        <v>-0</v>
      </c>
      <c r="L8">
        <v>1.693121523904393</v>
      </c>
      <c r="M8">
        <v>16.26</v>
      </c>
      <c r="N8">
        <v>1.6</v>
      </c>
    </row>
    <row r="9" spans="1:14">
      <c r="A9" s="1" t="s">
        <v>21</v>
      </c>
      <c r="B9">
        <f>HYPERLINK("https://www.suredividend.com/sure-analysis-research-database/","AAON Inc.")</f>
        <v>0</v>
      </c>
      <c r="C9" t="s">
        <v>3183</v>
      </c>
      <c r="D9">
        <v>56.82</v>
      </c>
      <c r="E9">
        <v>0.007011763960567001</v>
      </c>
      <c r="F9" t="s">
        <v>3182</v>
      </c>
      <c r="G9" t="s">
        <v>3182</v>
      </c>
      <c r="H9">
        <v>0.3984084282394421</v>
      </c>
      <c r="I9">
        <v>4637.050824</v>
      </c>
      <c r="J9">
        <v>31.1489505670162</v>
      </c>
      <c r="K9">
        <v>0.1470141801621558</v>
      </c>
      <c r="L9">
        <v>1.118522168617911</v>
      </c>
      <c r="M9">
        <v>71.22</v>
      </c>
      <c r="N9">
        <v>42.49</v>
      </c>
    </row>
    <row r="10" spans="1:14">
      <c r="A10" s="1" t="s">
        <v>22</v>
      </c>
      <c r="B10">
        <f>HYPERLINK("https://www.suredividend.com/sure-analysis-AAP/","Advance Auto Parts Inc")</f>
        <v>0</v>
      </c>
      <c r="C10" t="s">
        <v>3186</v>
      </c>
      <c r="D10">
        <v>52.94</v>
      </c>
      <c r="E10">
        <v>0.01888930865130336</v>
      </c>
      <c r="F10">
        <v>-0.8333333333333334</v>
      </c>
      <c r="G10">
        <v>0.3303249971309858</v>
      </c>
      <c r="H10">
        <v>3.455213417744489</v>
      </c>
      <c r="I10">
        <v>3148.355617</v>
      </c>
      <c r="J10">
        <v>9.107400857815628</v>
      </c>
      <c r="K10">
        <v>0.5988238159002581</v>
      </c>
      <c r="L10">
        <v>1.008953681414579</v>
      </c>
      <c r="M10">
        <v>183.88</v>
      </c>
      <c r="N10">
        <v>47.73</v>
      </c>
    </row>
    <row r="11" spans="1:14">
      <c r="A11" s="1" t="s">
        <v>23</v>
      </c>
      <c r="B11">
        <f>HYPERLINK("https://www.suredividend.com/sure-analysis-AAPL/","Apple Inc")</f>
        <v>0</v>
      </c>
      <c r="C11" t="s">
        <v>3185</v>
      </c>
      <c r="D11">
        <v>177.57</v>
      </c>
      <c r="E11">
        <v>0.005406318634904545</v>
      </c>
      <c r="F11">
        <v>0.4397120575884821</v>
      </c>
      <c r="G11">
        <v>-0.2079654927059653</v>
      </c>
      <c r="H11">
        <v>0.9368421399305271</v>
      </c>
      <c r="I11">
        <v>2776170.57624</v>
      </c>
      <c r="J11">
        <v>29.29686129421697</v>
      </c>
      <c r="K11">
        <v>0.1574524604925256</v>
      </c>
      <c r="L11">
        <v>1.286636771031728</v>
      </c>
      <c r="M11">
        <v>197.7</v>
      </c>
      <c r="N11">
        <v>123.48</v>
      </c>
    </row>
    <row r="12" spans="1:14">
      <c r="A12" s="1" t="s">
        <v>24</v>
      </c>
      <c r="B12">
        <f>HYPERLINK("https://www.suredividend.com/sure-analysis-AAT/","American Assets Trust Inc")</f>
        <v>0</v>
      </c>
      <c r="C12" t="s">
        <v>3187</v>
      </c>
      <c r="D12">
        <v>19.05</v>
      </c>
      <c r="E12">
        <v>0.06929133858267716</v>
      </c>
      <c r="F12">
        <v>0.03125</v>
      </c>
      <c r="G12">
        <v>0.03340648293877924</v>
      </c>
      <c r="H12">
        <v>1.279426066201472</v>
      </c>
      <c r="I12">
        <v>1156.804202</v>
      </c>
      <c r="J12">
        <v>23.35751325566369</v>
      </c>
      <c r="K12">
        <v>1.971380687521529</v>
      </c>
      <c r="L12">
        <v>1.108977003126147</v>
      </c>
      <c r="M12">
        <v>28.37</v>
      </c>
      <c r="N12">
        <v>15.52</v>
      </c>
    </row>
    <row r="13" spans="1:14">
      <c r="A13" s="1" t="s">
        <v>25</v>
      </c>
      <c r="B13">
        <f>HYPERLINK("https://www.suredividend.com/sure-analysis-research-database/","Atlas Air Worldwide Holdings Inc.")</f>
        <v>0</v>
      </c>
      <c r="C13" t="s">
        <v>3183</v>
      </c>
      <c r="D13">
        <v>102.48</v>
      </c>
      <c r="E13">
        <v>0</v>
      </c>
      <c r="F13" t="s">
        <v>3182</v>
      </c>
      <c r="G13" t="s">
        <v>3182</v>
      </c>
      <c r="H13">
        <v>0</v>
      </c>
      <c r="I13">
        <v>0</v>
      </c>
      <c r="J13">
        <v>0</v>
      </c>
      <c r="K13">
        <v>0</v>
      </c>
    </row>
    <row r="14" spans="1:14">
      <c r="A14" s="1" t="s">
        <v>26</v>
      </c>
      <c r="B14">
        <f>HYPERLINK("https://www.suredividend.com/sure-analysis-ABBV/","Abbvie Inc")</f>
        <v>0</v>
      </c>
      <c r="C14" t="s">
        <v>3180</v>
      </c>
      <c r="D14">
        <v>143.26</v>
      </c>
      <c r="E14">
        <v>0.0432779561636186</v>
      </c>
      <c r="F14">
        <v>0.04964539007092195</v>
      </c>
      <c r="G14">
        <v>0.06702743883486151</v>
      </c>
      <c r="H14">
        <v>5.830653641993896</v>
      </c>
      <c r="I14">
        <v>252860.587377</v>
      </c>
      <c r="J14">
        <v>29.25949865503356</v>
      </c>
      <c r="K14">
        <v>1.197259474742073</v>
      </c>
      <c r="L14">
        <v>0.251311288202505</v>
      </c>
      <c r="M14">
        <v>162.75</v>
      </c>
      <c r="N14">
        <v>128.24</v>
      </c>
    </row>
    <row r="15" spans="1:14">
      <c r="A15" s="1" t="s">
        <v>27</v>
      </c>
      <c r="B15">
        <f>HYPERLINK("https://www.suredividend.com/sure-analysis-research-database/","Ameris Bancorp")</f>
        <v>0</v>
      </c>
      <c r="C15" t="s">
        <v>3184</v>
      </c>
      <c r="D15">
        <v>40.48</v>
      </c>
      <c r="E15">
        <v>0.014653385962551</v>
      </c>
      <c r="F15">
        <v>0</v>
      </c>
      <c r="G15">
        <v>0.08447177119769855</v>
      </c>
      <c r="H15">
        <v>0.5931690637640801</v>
      </c>
      <c r="I15">
        <v>2798.758378</v>
      </c>
      <c r="J15">
        <v>9.397104334792768</v>
      </c>
      <c r="K15">
        <v>0.1379462938986233</v>
      </c>
      <c r="L15">
        <v>1.354074644198372</v>
      </c>
      <c r="M15">
        <v>52.94</v>
      </c>
      <c r="N15">
        <v>27.86</v>
      </c>
    </row>
    <row r="16" spans="1:14">
      <c r="A16" s="1" t="s">
        <v>28</v>
      </c>
      <c r="B16">
        <f>HYPERLINK("https://www.suredividend.com/sure-analysis-research-database/","Abeona Therapeutics Inc")</f>
        <v>0</v>
      </c>
      <c r="C16" t="s">
        <v>3180</v>
      </c>
      <c r="D16">
        <v>3.96</v>
      </c>
      <c r="E16">
        <v>0</v>
      </c>
      <c r="F16" t="s">
        <v>3182</v>
      </c>
      <c r="G16" t="s">
        <v>3182</v>
      </c>
      <c r="H16">
        <v>0</v>
      </c>
      <c r="I16">
        <v>98.03325700000001</v>
      </c>
      <c r="J16">
        <v>0</v>
      </c>
      <c r="K16" t="s">
        <v>3182</v>
      </c>
      <c r="L16">
        <v>0.9069832124818401</v>
      </c>
      <c r="M16">
        <v>5.4</v>
      </c>
      <c r="N16">
        <v>2.19</v>
      </c>
    </row>
    <row r="17" spans="1:14">
      <c r="A17" s="1" t="s">
        <v>29</v>
      </c>
      <c r="B17">
        <f>HYPERLINK("https://www.suredividend.com/sure-analysis-research-database/","Asbury Automotive Group Inc")</f>
        <v>0</v>
      </c>
      <c r="C17" t="s">
        <v>3186</v>
      </c>
      <c r="D17">
        <v>201.77</v>
      </c>
      <c r="E17">
        <v>0</v>
      </c>
      <c r="F17" t="s">
        <v>3182</v>
      </c>
      <c r="G17" t="s">
        <v>3182</v>
      </c>
      <c r="H17">
        <v>0</v>
      </c>
      <c r="I17">
        <v>4151.896348</v>
      </c>
      <c r="J17">
        <v>4.612193233103755</v>
      </c>
      <c r="K17">
        <v>0</v>
      </c>
      <c r="L17">
        <v>1.400120372019972</v>
      </c>
      <c r="M17">
        <v>256.39</v>
      </c>
      <c r="N17">
        <v>150.73</v>
      </c>
    </row>
    <row r="18" spans="1:14">
      <c r="A18" s="1" t="s">
        <v>30</v>
      </c>
      <c r="B18">
        <f>HYPERLINK("https://www.suredividend.com/sure-analysis-research-database/","ARCA biopharma Inc")</f>
        <v>0</v>
      </c>
      <c r="C18" t="s">
        <v>3180</v>
      </c>
      <c r="D18">
        <v>1.8</v>
      </c>
      <c r="E18">
        <v>0</v>
      </c>
      <c r="F18" t="s">
        <v>3182</v>
      </c>
      <c r="G18" t="s">
        <v>3182</v>
      </c>
      <c r="H18">
        <v>0</v>
      </c>
      <c r="I18">
        <v>25.938257</v>
      </c>
      <c r="J18">
        <v>0</v>
      </c>
      <c r="K18" t="s">
        <v>3182</v>
      </c>
      <c r="L18">
        <v>0.006022057463896001</v>
      </c>
      <c r="M18">
        <v>2.7</v>
      </c>
      <c r="N18">
        <v>1.76</v>
      </c>
    </row>
    <row r="19" spans="1:14">
      <c r="A19" s="1" t="s">
        <v>31</v>
      </c>
      <c r="B19">
        <f>HYPERLINK("https://www.suredividend.com/sure-analysis-ABM/","ABM Industries Inc.")</f>
        <v>0</v>
      </c>
      <c r="C19" t="s">
        <v>3183</v>
      </c>
      <c r="D19">
        <v>40.1</v>
      </c>
      <c r="E19">
        <v>0.02194513715710723</v>
      </c>
      <c r="F19">
        <v>0.1282051282051282</v>
      </c>
      <c r="G19">
        <v>0.04095039696925684</v>
      </c>
      <c r="H19">
        <v>0.8729501223367641</v>
      </c>
      <c r="I19">
        <v>2627.839375</v>
      </c>
      <c r="J19">
        <v>11.07391224357354</v>
      </c>
      <c r="K19">
        <v>0.2459014429117645</v>
      </c>
      <c r="L19">
        <v>0.8211628010553931</v>
      </c>
      <c r="M19">
        <v>48.8</v>
      </c>
      <c r="N19">
        <v>37.4</v>
      </c>
    </row>
    <row r="20" spans="1:14">
      <c r="A20" s="1" t="s">
        <v>32</v>
      </c>
      <c r="B20">
        <f>HYPERLINK("https://www.suredividend.com/sure-analysis-research-database/","Abiomed Inc.")</f>
        <v>0</v>
      </c>
      <c r="C20" t="s">
        <v>3180</v>
      </c>
      <c r="D20">
        <v>381.02</v>
      </c>
      <c r="E20">
        <v>0</v>
      </c>
      <c r="F20" t="s">
        <v>3182</v>
      </c>
      <c r="G20" t="s">
        <v>3182</v>
      </c>
      <c r="H20">
        <v>0</v>
      </c>
      <c r="I20">
        <v>0</v>
      </c>
      <c r="J20">
        <v>0</v>
      </c>
      <c r="K20">
        <v>0</v>
      </c>
    </row>
    <row r="21" spans="1:14">
      <c r="A21" s="1" t="s">
        <v>33</v>
      </c>
      <c r="B21">
        <f>HYPERLINK("https://www.suredividend.com/sure-analysis-ABR/","Arbor Realty Trust Inc.")</f>
        <v>0</v>
      </c>
      <c r="C21" t="s">
        <v>3187</v>
      </c>
      <c r="D21">
        <v>13.32</v>
      </c>
      <c r="E21">
        <v>0.1291291291291291</v>
      </c>
      <c r="F21">
        <v>0.07499999999999996</v>
      </c>
      <c r="G21">
        <v>0.09754146869121727</v>
      </c>
      <c r="H21">
        <v>1.572471669188397</v>
      </c>
      <c r="I21">
        <v>2510.841871</v>
      </c>
      <c r="J21">
        <v>7.68876124277315</v>
      </c>
      <c r="K21">
        <v>1.041371966349932</v>
      </c>
      <c r="L21">
        <v>1.214553902592661</v>
      </c>
      <c r="M21">
        <v>17.28</v>
      </c>
      <c r="N21">
        <v>9.52</v>
      </c>
    </row>
    <row r="22" spans="1:14">
      <c r="A22" s="1" t="s">
        <v>34</v>
      </c>
      <c r="B22">
        <f>HYPERLINK("https://www.suredividend.com/sure-analysis-ABT/","Abbott Laboratories")</f>
        <v>0</v>
      </c>
      <c r="C22" t="s">
        <v>3180</v>
      </c>
      <c r="D22">
        <v>95.95999999999999</v>
      </c>
      <c r="E22">
        <v>0.0212588578574406</v>
      </c>
      <c r="F22">
        <v>0.08510638297872331</v>
      </c>
      <c r="G22">
        <v>0.09770094871374502</v>
      </c>
      <c r="H22">
        <v>2.024225592166658</v>
      </c>
      <c r="I22">
        <v>166524.951761</v>
      </c>
      <c r="J22">
        <v>32.26602436752567</v>
      </c>
      <c r="K22">
        <v>0.6885121061791354</v>
      </c>
      <c r="L22">
        <v>0.6818489213297441</v>
      </c>
      <c r="M22">
        <v>115.19</v>
      </c>
      <c r="N22">
        <v>89.67</v>
      </c>
    </row>
    <row r="23" spans="1:14">
      <c r="A23" s="1" t="s">
        <v>35</v>
      </c>
      <c r="B23">
        <f>HYPERLINK("https://www.suredividend.com/sure-analysis-research-database/","Allegiance Bancshares Inc")</f>
        <v>0</v>
      </c>
      <c r="C23" t="s">
        <v>3184</v>
      </c>
      <c r="D23">
        <v>41.63</v>
      </c>
      <c r="E23">
        <v>0</v>
      </c>
      <c r="F23" t="s">
        <v>3182</v>
      </c>
      <c r="G23" t="s">
        <v>3182</v>
      </c>
      <c r="H23">
        <v>0.53999999910593</v>
      </c>
      <c r="I23">
        <v>0</v>
      </c>
      <c r="J23">
        <v>0</v>
      </c>
      <c r="K23">
        <v>0.1459459457043054</v>
      </c>
    </row>
    <row r="24" spans="1:14">
      <c r="A24" s="1" t="s">
        <v>36</v>
      </c>
      <c r="B24">
        <f>HYPERLINK("https://www.suredividend.com/sure-analysis-research-database/","Associated Capital Group Inc")</f>
        <v>0</v>
      </c>
      <c r="C24" t="s">
        <v>3184</v>
      </c>
      <c r="D24">
        <v>34.09</v>
      </c>
      <c r="E24">
        <v>0.005858599497499</v>
      </c>
      <c r="F24" t="s">
        <v>3182</v>
      </c>
      <c r="G24" t="s">
        <v>3182</v>
      </c>
      <c r="H24">
        <v>0.19971965686975</v>
      </c>
      <c r="I24">
        <v>92.93298799999999</v>
      </c>
      <c r="J24">
        <v>0</v>
      </c>
      <c r="K24" t="s">
        <v>3182</v>
      </c>
      <c r="M24">
        <v>42.85</v>
      </c>
      <c r="N24">
        <v>30.92</v>
      </c>
    </row>
    <row r="25" spans="1:14">
      <c r="A25" s="1" t="s">
        <v>37</v>
      </c>
      <c r="B25">
        <f>HYPERLINK("https://www.suredividend.com/sure-analysis-research-database/","Arcosa Inc")</f>
        <v>0</v>
      </c>
      <c r="C25" t="s">
        <v>3183</v>
      </c>
      <c r="D25">
        <v>65.14</v>
      </c>
      <c r="E25">
        <v>0.003067075002311</v>
      </c>
      <c r="F25">
        <v>0</v>
      </c>
      <c r="G25">
        <v>0</v>
      </c>
      <c r="H25">
        <v>0.199789265650549</v>
      </c>
      <c r="I25">
        <v>3176.34059</v>
      </c>
      <c r="J25">
        <v>11.25164927530995</v>
      </c>
      <c r="K25">
        <v>0.03432805251727646</v>
      </c>
      <c r="L25">
        <v>0.8202284816113971</v>
      </c>
      <c r="M25">
        <v>79.31999999999999</v>
      </c>
      <c r="N25">
        <v>51.88</v>
      </c>
    </row>
    <row r="26" spans="1:14">
      <c r="A26" s="1" t="s">
        <v>38</v>
      </c>
      <c r="B26">
        <f>HYPERLINK("https://www.suredividend.com/sure-analysis-research-database/","Acadia Pharmaceuticals Inc")</f>
        <v>0</v>
      </c>
      <c r="C26" t="s">
        <v>3180</v>
      </c>
      <c r="D26">
        <v>22.99</v>
      </c>
      <c r="E26">
        <v>0</v>
      </c>
      <c r="F26" t="s">
        <v>3182</v>
      </c>
      <c r="G26" t="s">
        <v>3182</v>
      </c>
      <c r="H26">
        <v>0</v>
      </c>
      <c r="I26">
        <v>3764.1527</v>
      </c>
      <c r="J26" t="s">
        <v>3182</v>
      </c>
      <c r="K26">
        <v>-0</v>
      </c>
      <c r="L26">
        <v>1.092740232520363</v>
      </c>
      <c r="M26">
        <v>33.99</v>
      </c>
      <c r="N26">
        <v>13.73</v>
      </c>
    </row>
    <row r="27" spans="1:14">
      <c r="A27" s="1" t="s">
        <v>39</v>
      </c>
      <c r="B27">
        <f>HYPERLINK("https://www.suredividend.com/sure-analysis-research-database/","Atlantic Capital Bancshares Inc")</f>
        <v>0</v>
      </c>
      <c r="C27" t="s">
        <v>3184</v>
      </c>
      <c r="D27">
        <v>32.34</v>
      </c>
      <c r="E27">
        <v>0</v>
      </c>
      <c r="F27" t="s">
        <v>3182</v>
      </c>
      <c r="G27" t="s">
        <v>3182</v>
      </c>
      <c r="H27">
        <v>0</v>
      </c>
      <c r="I27">
        <v>0</v>
      </c>
      <c r="J27">
        <v>0</v>
      </c>
      <c r="K27">
        <v>0</v>
      </c>
    </row>
    <row r="28" spans="1:14">
      <c r="A28" s="1" t="s">
        <v>40</v>
      </c>
      <c r="B28">
        <f>HYPERLINK("https://www.suredividend.com/sure-analysis-research-database/","American Campus Communities Inc.")</f>
        <v>0</v>
      </c>
      <c r="C28" t="s">
        <v>3187</v>
      </c>
      <c r="D28">
        <v>65.42</v>
      </c>
      <c r="E28">
        <v>0.021362831510309</v>
      </c>
      <c r="F28" t="s">
        <v>3182</v>
      </c>
      <c r="G28" t="s">
        <v>3182</v>
      </c>
      <c r="H28">
        <v>1.397556437404415</v>
      </c>
      <c r="I28">
        <v>9124.979953</v>
      </c>
      <c r="J28">
        <v>160.6821735448767</v>
      </c>
      <c r="K28">
        <v>3.447351843622139</v>
      </c>
      <c r="L28">
        <v>0.348487309616223</v>
      </c>
      <c r="M28">
        <v>65.45999999999999</v>
      </c>
      <c r="N28">
        <v>47.08</v>
      </c>
    </row>
    <row r="29" spans="1:14">
      <c r="A29" s="1" t="s">
        <v>41</v>
      </c>
      <c r="B29">
        <f>HYPERLINK("https://www.suredividend.com/sure-analysis-research-database/","Acco Brands Corporation")</f>
        <v>0</v>
      </c>
      <c r="C29" t="s">
        <v>3183</v>
      </c>
      <c r="D29">
        <v>5.18</v>
      </c>
      <c r="E29">
        <v>0.056703491899899</v>
      </c>
      <c r="F29">
        <v>0</v>
      </c>
      <c r="G29">
        <v>0.04563955259127317</v>
      </c>
      <c r="H29">
        <v>0.293724088041477</v>
      </c>
      <c r="I29">
        <v>491.582</v>
      </c>
      <c r="J29" t="s">
        <v>3182</v>
      </c>
      <c r="K29" t="s">
        <v>3182</v>
      </c>
      <c r="L29">
        <v>1.09081680679081</v>
      </c>
      <c r="M29">
        <v>6.34</v>
      </c>
      <c r="N29">
        <v>4.17</v>
      </c>
    </row>
    <row r="30" spans="1:14">
      <c r="A30" s="1" t="s">
        <v>42</v>
      </c>
      <c r="B30">
        <f>HYPERLINK("https://www.suredividend.com/sure-analysis-research-database/","Acer Therapeutics Inc")</f>
        <v>0</v>
      </c>
      <c r="C30" t="s">
        <v>3180</v>
      </c>
      <c r="D30">
        <v>0.84</v>
      </c>
      <c r="E30">
        <v>0</v>
      </c>
      <c r="F30" t="s">
        <v>3182</v>
      </c>
      <c r="G30" t="s">
        <v>3182</v>
      </c>
      <c r="H30">
        <v>0</v>
      </c>
      <c r="I30">
        <v>20.54953</v>
      </c>
      <c r="J30">
        <v>0</v>
      </c>
      <c r="K30" t="s">
        <v>3182</v>
      </c>
      <c r="M30">
        <v>4.56</v>
      </c>
      <c r="N30">
        <v>0.5515</v>
      </c>
    </row>
    <row r="31" spans="1:14">
      <c r="A31" s="1" t="s">
        <v>43</v>
      </c>
      <c r="B31">
        <f>HYPERLINK("https://www.suredividend.com/sure-analysis-research-database/","Arch Capital Group Ltd")</f>
        <v>0</v>
      </c>
      <c r="C31" t="s">
        <v>3184</v>
      </c>
      <c r="D31">
        <v>85.94</v>
      </c>
      <c r="E31">
        <v>0</v>
      </c>
      <c r="F31" t="s">
        <v>3182</v>
      </c>
      <c r="G31" t="s">
        <v>3182</v>
      </c>
      <c r="H31">
        <v>0</v>
      </c>
      <c r="I31">
        <v>32051.689362</v>
      </c>
      <c r="J31">
        <v>14.42197016776749</v>
      </c>
      <c r="K31">
        <v>0</v>
      </c>
      <c r="L31">
        <v>0.531763653375122</v>
      </c>
      <c r="M31">
        <v>90.65000000000001</v>
      </c>
      <c r="N31">
        <v>55.6</v>
      </c>
    </row>
    <row r="32" spans="1:14">
      <c r="A32" s="1" t="s">
        <v>44</v>
      </c>
      <c r="B32">
        <f>HYPERLINK("https://www.suredividend.com/sure-analysis-research-database/","Acadia Healthcare Company Inc")</f>
        <v>0</v>
      </c>
      <c r="C32" t="s">
        <v>3180</v>
      </c>
      <c r="D32">
        <v>73.23999999999999</v>
      </c>
      <c r="E32">
        <v>0</v>
      </c>
      <c r="F32" t="s">
        <v>3182</v>
      </c>
      <c r="G32" t="s">
        <v>3182</v>
      </c>
      <c r="H32">
        <v>0</v>
      </c>
      <c r="I32">
        <v>6750.659556</v>
      </c>
      <c r="J32">
        <v>24.95281442434861</v>
      </c>
      <c r="K32">
        <v>0</v>
      </c>
      <c r="L32">
        <v>0.7261600050721611</v>
      </c>
      <c r="M32">
        <v>89.84999999999999</v>
      </c>
      <c r="N32">
        <v>66.48999999999999</v>
      </c>
    </row>
    <row r="33" spans="1:14">
      <c r="A33" s="1" t="s">
        <v>45</v>
      </c>
      <c r="B33">
        <f>HYPERLINK("https://www.suredividend.com/sure-analysis-research-database/","Achison Inc")</f>
        <v>0</v>
      </c>
      <c r="C33" t="s">
        <v>3182</v>
      </c>
      <c r="D33">
        <v>0.7912</v>
      </c>
      <c r="E33">
        <v>0</v>
      </c>
      <c r="F33" t="s">
        <v>3182</v>
      </c>
      <c r="G33" t="s">
        <v>3182</v>
      </c>
      <c r="H33">
        <v>0</v>
      </c>
      <c r="I33">
        <v>23.732044</v>
      </c>
      <c r="J33">
        <v>0</v>
      </c>
      <c r="K33" t="s">
        <v>3182</v>
      </c>
      <c r="M33">
        <v>1.01</v>
      </c>
      <c r="N33">
        <v>0.023</v>
      </c>
    </row>
    <row r="34" spans="1:14">
      <c r="A34" s="1" t="s">
        <v>46</v>
      </c>
      <c r="B34">
        <f>HYPERLINK("https://www.suredividend.com/sure-analysis-research-database/","Achieve Life Sciences Inc.")</f>
        <v>0</v>
      </c>
      <c r="C34" t="s">
        <v>3180</v>
      </c>
      <c r="D34">
        <v>4.3</v>
      </c>
      <c r="E34">
        <v>0</v>
      </c>
      <c r="F34" t="s">
        <v>3182</v>
      </c>
      <c r="G34" t="s">
        <v>3182</v>
      </c>
      <c r="H34">
        <v>0</v>
      </c>
      <c r="I34">
        <v>90.754768</v>
      </c>
      <c r="J34">
        <v>0</v>
      </c>
      <c r="K34" t="s">
        <v>3182</v>
      </c>
      <c r="L34">
        <v>1.268478500062287</v>
      </c>
      <c r="M34">
        <v>10.3</v>
      </c>
      <c r="N34">
        <v>2</v>
      </c>
    </row>
    <row r="35" spans="1:14">
      <c r="A35" s="1" t="s">
        <v>47</v>
      </c>
      <c r="B35">
        <f>HYPERLINK("https://www.suredividend.com/sure-analysis-research-database/","Acacia Communications Inc")</f>
        <v>0</v>
      </c>
      <c r="C35" t="s">
        <v>3185</v>
      </c>
      <c r="D35">
        <v>114.99</v>
      </c>
      <c r="E35">
        <v>0</v>
      </c>
      <c r="F35" t="s">
        <v>3182</v>
      </c>
      <c r="G35" t="s">
        <v>3182</v>
      </c>
      <c r="H35">
        <v>0</v>
      </c>
      <c r="I35">
        <v>0</v>
      </c>
      <c r="J35">
        <v>0</v>
      </c>
      <c r="K35">
        <v>0</v>
      </c>
    </row>
    <row r="36" spans="1:14">
      <c r="A36" s="1" t="s">
        <v>48</v>
      </c>
      <c r="B36">
        <f>HYPERLINK("https://www.suredividend.com/sure-analysis-research-database/","ACI Worldwide Inc")</f>
        <v>0</v>
      </c>
      <c r="C36" t="s">
        <v>3185</v>
      </c>
      <c r="D36">
        <v>23.03</v>
      </c>
      <c r="E36">
        <v>0</v>
      </c>
      <c r="F36" t="s">
        <v>3182</v>
      </c>
      <c r="G36" t="s">
        <v>3182</v>
      </c>
      <c r="H36">
        <v>0</v>
      </c>
      <c r="I36">
        <v>2501.058</v>
      </c>
      <c r="J36">
        <v>33.64938716751652</v>
      </c>
      <c r="K36">
        <v>0</v>
      </c>
      <c r="L36">
        <v>1.252659307792027</v>
      </c>
      <c r="M36">
        <v>29.14</v>
      </c>
      <c r="N36">
        <v>19.56</v>
      </c>
    </row>
    <row r="37" spans="1:14">
      <c r="A37" s="1" t="s">
        <v>49</v>
      </c>
      <c r="B37">
        <f>HYPERLINK("https://www.suredividend.com/sure-analysis-research-database/","Axcelis Technologies Inc")</f>
        <v>0</v>
      </c>
      <c r="C37" t="s">
        <v>3185</v>
      </c>
      <c r="D37">
        <v>128.03</v>
      </c>
      <c r="E37">
        <v>0</v>
      </c>
      <c r="F37" t="s">
        <v>3182</v>
      </c>
      <c r="G37" t="s">
        <v>3182</v>
      </c>
      <c r="H37">
        <v>0</v>
      </c>
      <c r="I37">
        <v>4201.619916</v>
      </c>
      <c r="J37">
        <v>20.3417053135288</v>
      </c>
      <c r="K37">
        <v>0</v>
      </c>
      <c r="L37">
        <v>1.733915462297031</v>
      </c>
      <c r="M37">
        <v>201</v>
      </c>
      <c r="N37">
        <v>61.3</v>
      </c>
    </row>
    <row r="38" spans="1:14">
      <c r="A38" s="1" t="s">
        <v>50</v>
      </c>
      <c r="B38">
        <f>HYPERLINK("https://www.suredividend.com/sure-analysis-research-database/","AECOM")</f>
        <v>0</v>
      </c>
      <c r="C38" t="s">
        <v>3183</v>
      </c>
      <c r="D38">
        <v>77.8</v>
      </c>
      <c r="E38">
        <v>0.009224197242464</v>
      </c>
      <c r="F38" t="s">
        <v>3182</v>
      </c>
      <c r="G38" t="s">
        <v>3182</v>
      </c>
      <c r="H38">
        <v>0.7176425454637381</v>
      </c>
      <c r="I38">
        <v>10792.944418</v>
      </c>
      <c r="J38">
        <v>79.66624901348568</v>
      </c>
      <c r="K38">
        <v>0.7429780986269159</v>
      </c>
      <c r="L38">
        <v>0.8281735040069441</v>
      </c>
      <c r="M38">
        <v>91.56</v>
      </c>
      <c r="N38">
        <v>73.92</v>
      </c>
    </row>
    <row r="39" spans="1:14">
      <c r="A39" s="1" t="s">
        <v>51</v>
      </c>
      <c r="B39">
        <f>HYPERLINK("https://www.suredividend.com/sure-analysis-research-database/","ACM Research Inc")</f>
        <v>0</v>
      </c>
      <c r="C39" t="s">
        <v>3185</v>
      </c>
      <c r="D39">
        <v>14.54</v>
      </c>
      <c r="E39">
        <v>0</v>
      </c>
      <c r="F39" t="s">
        <v>3182</v>
      </c>
      <c r="G39" t="s">
        <v>3182</v>
      </c>
      <c r="H39">
        <v>0</v>
      </c>
      <c r="I39">
        <v>799.710251</v>
      </c>
      <c r="J39">
        <v>11.97475780812482</v>
      </c>
      <c r="K39">
        <v>0</v>
      </c>
      <c r="L39">
        <v>2.285616026306429</v>
      </c>
      <c r="M39">
        <v>21.07</v>
      </c>
      <c r="N39">
        <v>6.31</v>
      </c>
    </row>
    <row r="40" spans="1:14">
      <c r="A40" s="1" t="s">
        <v>52</v>
      </c>
      <c r="B40">
        <f>HYPERLINK("https://www.suredividend.com/sure-analysis-ACN/","Accenture plc")</f>
        <v>0</v>
      </c>
      <c r="C40" t="s">
        <v>3185</v>
      </c>
      <c r="D40">
        <v>308.12</v>
      </c>
      <c r="E40">
        <v>0.01674672205634169</v>
      </c>
      <c r="F40" t="s">
        <v>3182</v>
      </c>
      <c r="G40" t="s">
        <v>3182</v>
      </c>
      <c r="H40">
        <v>4.6237081569898</v>
      </c>
      <c r="I40">
        <v>204834.055511</v>
      </c>
      <c r="J40">
        <v>29.80897277156255</v>
      </c>
      <c r="K40">
        <v>0.4297126539953345</v>
      </c>
      <c r="L40">
        <v>1.208184303700193</v>
      </c>
      <c r="M40">
        <v>329.07</v>
      </c>
      <c r="N40">
        <v>239.98</v>
      </c>
    </row>
    <row r="41" spans="1:14">
      <c r="A41" s="1" t="s">
        <v>53</v>
      </c>
      <c r="B41">
        <f>HYPERLINK("https://www.suredividend.com/sure-analysis-research-database/","ACNB Corp.")</f>
        <v>0</v>
      </c>
      <c r="C41" t="s">
        <v>3184</v>
      </c>
      <c r="D41">
        <v>34.95</v>
      </c>
      <c r="E41">
        <v>0.03130114666878901</v>
      </c>
      <c r="F41">
        <v>0.07692307692307709</v>
      </c>
      <c r="G41">
        <v>0.04012620718096094</v>
      </c>
      <c r="H41">
        <v>1.093975076074198</v>
      </c>
      <c r="I41">
        <v>299.321656</v>
      </c>
      <c r="J41">
        <v>0</v>
      </c>
      <c r="K41" t="s">
        <v>3182</v>
      </c>
      <c r="L41">
        <v>0.8455476291310491</v>
      </c>
      <c r="M41">
        <v>39.56</v>
      </c>
      <c r="N41">
        <v>26.07</v>
      </c>
    </row>
    <row r="42" spans="1:14">
      <c r="A42" s="1" t="s">
        <v>54</v>
      </c>
      <c r="B42">
        <f>HYPERLINK("https://www.suredividend.com/sure-analysis-research-database/","Acorda Therapeutics Inc")</f>
        <v>0</v>
      </c>
      <c r="C42" t="s">
        <v>3180</v>
      </c>
      <c r="D42">
        <v>10.25</v>
      </c>
      <c r="E42">
        <v>0</v>
      </c>
      <c r="F42" t="s">
        <v>3182</v>
      </c>
      <c r="G42" t="s">
        <v>3182</v>
      </c>
      <c r="H42">
        <v>0</v>
      </c>
      <c r="I42">
        <v>12.731505</v>
      </c>
      <c r="J42" t="s">
        <v>3182</v>
      </c>
      <c r="K42">
        <v>-0</v>
      </c>
      <c r="L42">
        <v>-1.380604941589776</v>
      </c>
      <c r="M42">
        <v>18.2</v>
      </c>
      <c r="N42">
        <v>0.4489</v>
      </c>
    </row>
    <row r="43" spans="1:14">
      <c r="A43" s="1" t="s">
        <v>55</v>
      </c>
      <c r="B43">
        <f>HYPERLINK("https://www.suredividend.com/sure-analysis-ACRE/","Ares Commercial Real Estate Corp")</f>
        <v>0</v>
      </c>
      <c r="C43" t="s">
        <v>3187</v>
      </c>
      <c r="D43">
        <v>9.68</v>
      </c>
      <c r="E43">
        <v>0.1363636363636364</v>
      </c>
      <c r="F43">
        <v>0</v>
      </c>
      <c r="G43">
        <v>0</v>
      </c>
      <c r="H43">
        <v>1.311035606542268</v>
      </c>
      <c r="I43">
        <v>524.039123</v>
      </c>
      <c r="J43" t="s">
        <v>3182</v>
      </c>
      <c r="K43" t="s">
        <v>3182</v>
      </c>
      <c r="L43">
        <v>1.334472691162774</v>
      </c>
      <c r="M43">
        <v>11.49</v>
      </c>
      <c r="N43">
        <v>7.03</v>
      </c>
    </row>
    <row r="44" spans="1:14">
      <c r="A44" s="1" t="s">
        <v>56</v>
      </c>
      <c r="B44">
        <f>HYPERLINK("https://www.suredividend.com/sure-analysis-research-database/","Aclaris Therapeutics Inc")</f>
        <v>0</v>
      </c>
      <c r="C44" t="s">
        <v>3180</v>
      </c>
      <c r="D44">
        <v>5.07</v>
      </c>
      <c r="E44">
        <v>0</v>
      </c>
      <c r="F44" t="s">
        <v>3182</v>
      </c>
      <c r="G44" t="s">
        <v>3182</v>
      </c>
      <c r="H44">
        <v>0</v>
      </c>
      <c r="I44">
        <v>358.928835</v>
      </c>
      <c r="J44" t="s">
        <v>3182</v>
      </c>
      <c r="K44">
        <v>-0</v>
      </c>
      <c r="L44">
        <v>0.9495550739132481</v>
      </c>
      <c r="M44">
        <v>18.96</v>
      </c>
      <c r="N44">
        <v>4.33</v>
      </c>
    </row>
    <row r="45" spans="1:14">
      <c r="A45" s="1" t="s">
        <v>57</v>
      </c>
      <c r="B45">
        <f>HYPERLINK("https://www.suredividend.com/sure-analysis-research-database/","Acelrx Pharmaceuticals Inc")</f>
        <v>0</v>
      </c>
      <c r="C45" t="s">
        <v>3180</v>
      </c>
      <c r="D45">
        <v>0.5195000000000001</v>
      </c>
      <c r="E45">
        <v>0</v>
      </c>
      <c r="F45" t="s">
        <v>3182</v>
      </c>
      <c r="G45" t="s">
        <v>3182</v>
      </c>
      <c r="H45">
        <v>0</v>
      </c>
      <c r="I45">
        <v>8.488630000000001</v>
      </c>
      <c r="J45">
        <v>0</v>
      </c>
      <c r="K45" t="s">
        <v>3182</v>
      </c>
      <c r="L45">
        <v>1.056862826340491</v>
      </c>
      <c r="M45">
        <v>2.98</v>
      </c>
      <c r="N45">
        <v>0.4966</v>
      </c>
    </row>
    <row r="46" spans="1:14">
      <c r="A46" s="1" t="s">
        <v>58</v>
      </c>
      <c r="B46">
        <f>HYPERLINK("https://www.suredividend.com/sure-analysis-research-database/","Acacia Research Corp")</f>
        <v>0</v>
      </c>
      <c r="C46" t="s">
        <v>3183</v>
      </c>
      <c r="D46">
        <v>3.68</v>
      </c>
      <c r="E46">
        <v>0</v>
      </c>
      <c r="F46" t="s">
        <v>3182</v>
      </c>
      <c r="G46" t="s">
        <v>3182</v>
      </c>
      <c r="H46">
        <v>0</v>
      </c>
      <c r="I46">
        <v>367.581665</v>
      </c>
      <c r="J46" t="s">
        <v>3182</v>
      </c>
      <c r="K46">
        <v>-0</v>
      </c>
      <c r="L46">
        <v>0.658814961229043</v>
      </c>
      <c r="M46">
        <v>4.66</v>
      </c>
      <c r="N46">
        <v>3.43</v>
      </c>
    </row>
    <row r="47" spans="1:14">
      <c r="A47" s="1" t="s">
        <v>59</v>
      </c>
      <c r="B47">
        <f>HYPERLINK("https://www.suredividend.com/sure-analysis-research-database/","Acme United Corp.")</f>
        <v>0</v>
      </c>
      <c r="C47" t="s">
        <v>3188</v>
      </c>
      <c r="D47">
        <v>33.78</v>
      </c>
      <c r="E47">
        <v>0.016344765086245</v>
      </c>
      <c r="F47">
        <v>0</v>
      </c>
      <c r="G47">
        <v>0.03131030647754507</v>
      </c>
      <c r="H47">
        <v>0.552126164613373</v>
      </c>
      <c r="I47">
        <v>120.527243</v>
      </c>
      <c r="J47">
        <v>0</v>
      </c>
      <c r="K47" t="s">
        <v>3182</v>
      </c>
      <c r="L47">
        <v>0.299623655307263</v>
      </c>
      <c r="M47">
        <v>37.63</v>
      </c>
      <c r="N47">
        <v>20.58</v>
      </c>
    </row>
    <row r="48" spans="1:14">
      <c r="A48" s="1" t="s">
        <v>60</v>
      </c>
      <c r="B48">
        <f>HYPERLINK("https://www.suredividend.com/sure-analysis-research-database/","Adobe Inc")</f>
        <v>0</v>
      </c>
      <c r="C48" t="s">
        <v>3185</v>
      </c>
      <c r="D48">
        <v>558.71</v>
      </c>
      <c r="E48">
        <v>0</v>
      </c>
      <c r="F48" t="s">
        <v>3182</v>
      </c>
      <c r="G48" t="s">
        <v>3182</v>
      </c>
      <c r="H48">
        <v>0</v>
      </c>
      <c r="I48">
        <v>254380.663</v>
      </c>
      <c r="J48">
        <v>49.67402128490529</v>
      </c>
      <c r="K48">
        <v>0</v>
      </c>
      <c r="L48">
        <v>1.661468075173337</v>
      </c>
      <c r="M48">
        <v>574.4</v>
      </c>
      <c r="N48">
        <v>278.23</v>
      </c>
    </row>
    <row r="49" spans="1:14">
      <c r="A49" s="1" t="s">
        <v>61</v>
      </c>
      <c r="B49">
        <f>HYPERLINK("https://www.suredividend.com/sure-analysis-ADC/","Agree Realty Corp.")</f>
        <v>0</v>
      </c>
      <c r="C49" t="s">
        <v>3187</v>
      </c>
      <c r="D49">
        <v>58.16</v>
      </c>
      <c r="E49">
        <v>0.05089408528198074</v>
      </c>
      <c r="F49">
        <v>0.01646090534979416</v>
      </c>
      <c r="G49">
        <v>0.01703106653234965</v>
      </c>
      <c r="H49">
        <v>2.843233990035708</v>
      </c>
      <c r="I49">
        <v>5846.226741</v>
      </c>
      <c r="J49">
        <v>37.20748920108194</v>
      </c>
      <c r="K49">
        <v>1.672490582373946</v>
      </c>
      <c r="L49">
        <v>0.5181566619076591</v>
      </c>
      <c r="M49">
        <v>73.13</v>
      </c>
      <c r="N49">
        <v>52.69</v>
      </c>
    </row>
    <row r="50" spans="1:14">
      <c r="A50" s="1" t="s">
        <v>62</v>
      </c>
      <c r="B50">
        <f>HYPERLINK("https://www.suredividend.com/sure-analysis-research-database/","Advanced Emissions Solutions Inc")</f>
        <v>0</v>
      </c>
      <c r="C50" t="s">
        <v>3183</v>
      </c>
      <c r="D50">
        <v>1.76</v>
      </c>
      <c r="E50">
        <v>0</v>
      </c>
      <c r="F50" t="s">
        <v>3182</v>
      </c>
      <c r="G50" t="s">
        <v>3182</v>
      </c>
      <c r="H50">
        <v>0</v>
      </c>
      <c r="I50">
        <v>57.637372</v>
      </c>
      <c r="J50">
        <v>0</v>
      </c>
      <c r="K50" t="s">
        <v>3182</v>
      </c>
      <c r="L50">
        <v>1.053530881697834</v>
      </c>
      <c r="M50">
        <v>3.78</v>
      </c>
      <c r="N50">
        <v>1.17</v>
      </c>
    </row>
    <row r="51" spans="1:14">
      <c r="A51" s="1" t="s">
        <v>63</v>
      </c>
      <c r="B51">
        <f>HYPERLINK("https://www.suredividend.com/sure-analysis-ADI/","Analog Devices Inc.")</f>
        <v>0</v>
      </c>
      <c r="C51" t="s">
        <v>3185</v>
      </c>
      <c r="D51">
        <v>164.34</v>
      </c>
      <c r="E51">
        <v>0.02093221370329804</v>
      </c>
      <c r="F51">
        <v>0.131578947368421</v>
      </c>
      <c r="G51">
        <v>0.1237027476042598</v>
      </c>
      <c r="H51">
        <v>3.297878684321548</v>
      </c>
      <c r="I51">
        <v>81892.91552900001</v>
      </c>
      <c r="J51">
        <v>21.82428875819714</v>
      </c>
      <c r="K51">
        <v>0.4480813429784712</v>
      </c>
      <c r="L51">
        <v>1.288836537966642</v>
      </c>
      <c r="M51">
        <v>198.21</v>
      </c>
      <c r="N51">
        <v>137.2</v>
      </c>
    </row>
    <row r="52" spans="1:14">
      <c r="A52" s="1" t="s">
        <v>64</v>
      </c>
      <c r="B52">
        <f>HYPERLINK("https://www.suredividend.com/sure-analysis-ADM/","Archer Daniels Midland Co.")</f>
        <v>0</v>
      </c>
      <c r="C52" t="s">
        <v>3188</v>
      </c>
      <c r="D52">
        <v>72.42</v>
      </c>
      <c r="E52">
        <v>0.02485501242750621</v>
      </c>
      <c r="F52">
        <v>0.125</v>
      </c>
      <c r="G52">
        <v>0.06080007397849596</v>
      </c>
      <c r="H52">
        <v>1.735957532979624</v>
      </c>
      <c r="I52">
        <v>38627.470487</v>
      </c>
      <c r="J52">
        <v>9.811397126517654</v>
      </c>
      <c r="K52">
        <v>0.2414405470069018</v>
      </c>
      <c r="L52">
        <v>0.581084634543209</v>
      </c>
      <c r="M52">
        <v>96.48999999999999</v>
      </c>
      <c r="N52">
        <v>69.31</v>
      </c>
    </row>
    <row r="53" spans="1:14">
      <c r="A53" s="1" t="s">
        <v>65</v>
      </c>
      <c r="B53">
        <f>HYPERLINK("https://www.suredividend.com/sure-analysis-research-database/","Adma Biologics Inc")</f>
        <v>0</v>
      </c>
      <c r="C53" t="s">
        <v>3180</v>
      </c>
      <c r="D53">
        <v>3.45</v>
      </c>
      <c r="E53">
        <v>0</v>
      </c>
      <c r="F53" t="s">
        <v>3182</v>
      </c>
      <c r="G53" t="s">
        <v>3182</v>
      </c>
      <c r="H53">
        <v>0</v>
      </c>
      <c r="I53">
        <v>775.92717</v>
      </c>
      <c r="J53">
        <v>0</v>
      </c>
      <c r="K53" t="s">
        <v>3182</v>
      </c>
      <c r="L53">
        <v>1.504291561995379</v>
      </c>
      <c r="M53">
        <v>4.65</v>
      </c>
      <c r="N53">
        <v>2.47</v>
      </c>
    </row>
    <row r="54" spans="1:14">
      <c r="A54" s="1" t="s">
        <v>66</v>
      </c>
      <c r="B54">
        <f>HYPERLINK("https://www.suredividend.com/sure-analysis-research-database/","Adamis Pharmaceuticals Corp")</f>
        <v>0</v>
      </c>
      <c r="C54" t="s">
        <v>3180</v>
      </c>
      <c r="D54">
        <v>0.7751</v>
      </c>
      <c r="E54">
        <v>0</v>
      </c>
      <c r="F54" t="s">
        <v>3182</v>
      </c>
      <c r="G54" t="s">
        <v>3182</v>
      </c>
      <c r="H54">
        <v>0</v>
      </c>
      <c r="I54">
        <v>7.254264</v>
      </c>
      <c r="J54" t="s">
        <v>3182</v>
      </c>
      <c r="K54">
        <v>-0</v>
      </c>
      <c r="M54">
        <v>26.18</v>
      </c>
      <c r="N54">
        <v>0.75</v>
      </c>
    </row>
    <row r="55" spans="1:14">
      <c r="A55" s="1" t="s">
        <v>67</v>
      </c>
      <c r="B55">
        <f>HYPERLINK("https://www.suredividend.com/sure-analysis-research-database/","Adamas Pharmaceuticals Inc")</f>
        <v>0</v>
      </c>
      <c r="C55" t="s">
        <v>3180</v>
      </c>
      <c r="D55">
        <v>8.220000000000001</v>
      </c>
      <c r="E55">
        <v>0</v>
      </c>
      <c r="F55" t="s">
        <v>3182</v>
      </c>
      <c r="G55" t="s">
        <v>3182</v>
      </c>
      <c r="H55">
        <v>0</v>
      </c>
      <c r="I55">
        <v>0</v>
      </c>
      <c r="J55">
        <v>0</v>
      </c>
      <c r="K55">
        <v>-0</v>
      </c>
    </row>
    <row r="56" spans="1:14">
      <c r="A56" s="1" t="s">
        <v>68</v>
      </c>
      <c r="B56">
        <f>HYPERLINK("https://www.suredividend.com/sure-analysis-research-database/","Adient plc")</f>
        <v>0</v>
      </c>
      <c r="C56" t="s">
        <v>3186</v>
      </c>
      <c r="D56">
        <v>34.54</v>
      </c>
      <c r="E56">
        <v>0</v>
      </c>
      <c r="F56" t="s">
        <v>3182</v>
      </c>
      <c r="G56" t="s">
        <v>3182</v>
      </c>
      <c r="H56">
        <v>0</v>
      </c>
      <c r="I56">
        <v>3271.00708</v>
      </c>
      <c r="J56">
        <v>28.44353982608695</v>
      </c>
      <c r="K56">
        <v>0</v>
      </c>
      <c r="L56">
        <v>1.495034184469321</v>
      </c>
      <c r="M56">
        <v>47.5</v>
      </c>
      <c r="N56">
        <v>32.59</v>
      </c>
    </row>
    <row r="57" spans="1:14">
      <c r="A57" s="1" t="s">
        <v>69</v>
      </c>
      <c r="B57">
        <f>HYPERLINK("https://www.suredividend.com/sure-analysis-ADP/","Automatic Data Processing Inc.")</f>
        <v>0</v>
      </c>
      <c r="C57" t="s">
        <v>3183</v>
      </c>
      <c r="D57">
        <v>218.56</v>
      </c>
      <c r="E57">
        <v>0.02287701317715959</v>
      </c>
      <c r="F57">
        <v>0.2019230769230769</v>
      </c>
      <c r="G57">
        <v>0.09611616948779322</v>
      </c>
      <c r="H57">
        <v>4.927359950220503</v>
      </c>
      <c r="I57">
        <v>90040.603817</v>
      </c>
      <c r="J57">
        <v>26.38939150555686</v>
      </c>
      <c r="K57">
        <v>0.60016564558106</v>
      </c>
      <c r="L57">
        <v>0.9627607389682131</v>
      </c>
      <c r="M57">
        <v>267.54</v>
      </c>
      <c r="N57">
        <v>197.16</v>
      </c>
    </row>
    <row r="58" spans="1:14">
      <c r="A58" s="1" t="s">
        <v>70</v>
      </c>
      <c r="B58">
        <f>HYPERLINK("https://www.suredividend.com/sure-analysis-research-database/","Autodesk Inc.")</f>
        <v>0</v>
      </c>
      <c r="C58" t="s">
        <v>3185</v>
      </c>
      <c r="D58">
        <v>199.24</v>
      </c>
      <c r="E58">
        <v>0</v>
      </c>
      <c r="F58" t="s">
        <v>3182</v>
      </c>
      <c r="G58" t="s">
        <v>3182</v>
      </c>
      <c r="H58">
        <v>0</v>
      </c>
      <c r="I58">
        <v>42590.26604</v>
      </c>
      <c r="J58">
        <v>48.73028150993136</v>
      </c>
      <c r="K58">
        <v>0</v>
      </c>
      <c r="L58">
        <v>1.667790543019255</v>
      </c>
      <c r="M58">
        <v>233.69</v>
      </c>
      <c r="N58">
        <v>179.61</v>
      </c>
    </row>
    <row r="59" spans="1:14">
      <c r="A59" s="1" t="s">
        <v>71</v>
      </c>
      <c r="B59">
        <f>HYPERLINK("https://www.suredividend.com/sure-analysis-research-database/","ADT Inc")</f>
        <v>0</v>
      </c>
      <c r="C59" t="s">
        <v>3183</v>
      </c>
      <c r="D59">
        <v>6.5</v>
      </c>
      <c r="E59">
        <v>0.021355904753039</v>
      </c>
      <c r="F59">
        <v>0</v>
      </c>
      <c r="G59">
        <v>0</v>
      </c>
      <c r="H59">
        <v>0.138813380894753</v>
      </c>
      <c r="I59">
        <v>5632.123445</v>
      </c>
      <c r="J59" t="s">
        <v>3182</v>
      </c>
      <c r="K59" t="s">
        <v>3182</v>
      </c>
      <c r="L59">
        <v>1.296252960041058</v>
      </c>
      <c r="M59">
        <v>9.9</v>
      </c>
      <c r="N59">
        <v>4.83</v>
      </c>
    </row>
    <row r="60" spans="1:14">
      <c r="A60" s="1" t="s">
        <v>72</v>
      </c>
      <c r="B60">
        <f>HYPERLINK("https://www.suredividend.com/sure-analysis-research-database/","ADTRAN Holdings Inc")</f>
        <v>0</v>
      </c>
      <c r="C60" t="s">
        <v>3185</v>
      </c>
      <c r="D60">
        <v>7.01</v>
      </c>
      <c r="E60">
        <v>0.05034530842305401</v>
      </c>
      <c r="F60" t="s">
        <v>3182</v>
      </c>
      <c r="G60" t="s">
        <v>3182</v>
      </c>
      <c r="H60">
        <v>0.352920612045609</v>
      </c>
      <c r="I60">
        <v>551.559621</v>
      </c>
      <c r="J60">
        <v>0</v>
      </c>
      <c r="K60" t="s">
        <v>3182</v>
      </c>
      <c r="L60">
        <v>1.36741564095666</v>
      </c>
      <c r="M60">
        <v>21.5</v>
      </c>
      <c r="N60">
        <v>6.28</v>
      </c>
    </row>
    <row r="61" spans="1:14">
      <c r="A61" s="1" t="s">
        <v>73</v>
      </c>
      <c r="B61">
        <f>HYPERLINK("https://www.suredividend.com/sure-analysis-research-database/","Addus HomeCare Corporation")</f>
        <v>0</v>
      </c>
      <c r="C61" t="s">
        <v>3180</v>
      </c>
      <c r="D61">
        <v>82.09</v>
      </c>
      <c r="E61">
        <v>0</v>
      </c>
      <c r="F61" t="s">
        <v>3182</v>
      </c>
      <c r="G61" t="s">
        <v>3182</v>
      </c>
      <c r="H61">
        <v>0</v>
      </c>
      <c r="I61">
        <v>1331.060865</v>
      </c>
      <c r="J61">
        <v>23.06864583656846</v>
      </c>
      <c r="K61">
        <v>0</v>
      </c>
      <c r="L61">
        <v>0.549895824228756</v>
      </c>
      <c r="M61">
        <v>114.99</v>
      </c>
      <c r="N61">
        <v>77.3</v>
      </c>
    </row>
    <row r="62" spans="1:14">
      <c r="A62" s="1" t="s">
        <v>74</v>
      </c>
      <c r="B62">
        <f>HYPERLINK("https://www.suredividend.com/sure-analysis-research-database/","Adverum Biotechnologies Inc")</f>
        <v>0</v>
      </c>
      <c r="C62" t="s">
        <v>3180</v>
      </c>
      <c r="D62">
        <v>0.9708</v>
      </c>
      <c r="E62">
        <v>0</v>
      </c>
      <c r="F62" t="s">
        <v>3182</v>
      </c>
      <c r="G62" t="s">
        <v>3182</v>
      </c>
      <c r="H62">
        <v>0</v>
      </c>
      <c r="I62">
        <v>98.044014</v>
      </c>
      <c r="J62">
        <v>0</v>
      </c>
      <c r="K62" t="s">
        <v>3182</v>
      </c>
      <c r="L62">
        <v>0.634641802447635</v>
      </c>
      <c r="M62">
        <v>2.34</v>
      </c>
      <c r="N62">
        <v>0.531</v>
      </c>
    </row>
    <row r="63" spans="1:14">
      <c r="A63" s="1" t="s">
        <v>75</v>
      </c>
      <c r="B63">
        <f>HYPERLINK("https://www.suredividend.com/sure-analysis-research-database/","Ayala Pharmaceuticals Inc.")</f>
        <v>0</v>
      </c>
      <c r="C63" t="s">
        <v>3180</v>
      </c>
      <c r="D63">
        <v>0.88</v>
      </c>
      <c r="E63">
        <v>0</v>
      </c>
      <c r="F63" t="s">
        <v>3182</v>
      </c>
      <c r="G63" t="s">
        <v>3182</v>
      </c>
      <c r="H63">
        <v>0</v>
      </c>
      <c r="I63">
        <v>4.257722</v>
      </c>
      <c r="J63" t="s">
        <v>3182</v>
      </c>
      <c r="K63">
        <v>-0</v>
      </c>
      <c r="M63">
        <v>3.75</v>
      </c>
      <c r="N63">
        <v>0.65</v>
      </c>
    </row>
    <row r="64" spans="1:14">
      <c r="A64" s="1" t="s">
        <v>76</v>
      </c>
      <c r="B64">
        <f>HYPERLINK("https://www.suredividend.com/sure-analysis-research-database/","Adams Resources &amp; Energy Inc.")</f>
        <v>0</v>
      </c>
      <c r="C64" t="s">
        <v>3189</v>
      </c>
      <c r="D64">
        <v>32.79</v>
      </c>
      <c r="E64">
        <v>0.028759074740421</v>
      </c>
      <c r="F64">
        <v>0</v>
      </c>
      <c r="G64">
        <v>0.01755457717558762</v>
      </c>
      <c r="H64">
        <v>0.9430100607384131</v>
      </c>
      <c r="I64">
        <v>83.11232099999999</v>
      </c>
      <c r="J64">
        <v>0</v>
      </c>
      <c r="K64" t="s">
        <v>3182</v>
      </c>
      <c r="L64">
        <v>0.015334587539328</v>
      </c>
      <c r="M64">
        <v>59.93</v>
      </c>
      <c r="N64">
        <v>29.3</v>
      </c>
    </row>
    <row r="65" spans="1:14">
      <c r="A65" s="1" t="s">
        <v>77</v>
      </c>
      <c r="B65">
        <f>HYPERLINK("https://www.suredividend.com/sure-analysis-AEE/","Ameren Corp.")</f>
        <v>0</v>
      </c>
      <c r="C65" t="s">
        <v>3190</v>
      </c>
      <c r="D65">
        <v>78.12</v>
      </c>
      <c r="E65">
        <v>0.03225806451612903</v>
      </c>
      <c r="F65">
        <v>0.06779661016949157</v>
      </c>
      <c r="G65">
        <v>0.0581065138341208</v>
      </c>
      <c r="H65">
        <v>2.45177600206624</v>
      </c>
      <c r="I65">
        <v>20525.993674</v>
      </c>
      <c r="J65">
        <v>18.39246745</v>
      </c>
      <c r="K65">
        <v>0.5741864173457237</v>
      </c>
      <c r="L65">
        <v>0.5660142558721141</v>
      </c>
      <c r="M65">
        <v>90.31999999999999</v>
      </c>
      <c r="N65">
        <v>69.70999999999999</v>
      </c>
    </row>
    <row r="66" spans="1:14">
      <c r="A66" s="1" t="s">
        <v>78</v>
      </c>
      <c r="B66">
        <f>HYPERLINK("https://www.suredividend.com/sure-analysis-research-database/","Aegion Corp")</f>
        <v>0</v>
      </c>
      <c r="C66" t="s">
        <v>3183</v>
      </c>
      <c r="D66">
        <v>29.99</v>
      </c>
      <c r="E66">
        <v>0</v>
      </c>
      <c r="F66" t="s">
        <v>3182</v>
      </c>
      <c r="G66" t="s">
        <v>3182</v>
      </c>
      <c r="H66">
        <v>0</v>
      </c>
      <c r="I66">
        <v>0</v>
      </c>
      <c r="J66">
        <v>0</v>
      </c>
      <c r="K66">
        <v>-0</v>
      </c>
    </row>
    <row r="67" spans="1:14">
      <c r="A67" s="1" t="s">
        <v>79</v>
      </c>
      <c r="B67">
        <f>HYPERLINK("https://www.suredividend.com/sure-analysis-research-database/","Aehr Test Systems")</f>
        <v>0</v>
      </c>
      <c r="C67" t="s">
        <v>3185</v>
      </c>
      <c r="D67">
        <v>24.73</v>
      </c>
      <c r="E67">
        <v>0</v>
      </c>
      <c r="F67" t="s">
        <v>3182</v>
      </c>
      <c r="G67" t="s">
        <v>3182</v>
      </c>
      <c r="H67">
        <v>0</v>
      </c>
      <c r="I67">
        <v>712.20701</v>
      </c>
      <c r="J67">
        <v>0</v>
      </c>
      <c r="K67" t="s">
        <v>3182</v>
      </c>
      <c r="L67">
        <v>2.690752543767583</v>
      </c>
      <c r="M67">
        <v>54.1</v>
      </c>
      <c r="N67">
        <v>17.05</v>
      </c>
    </row>
    <row r="68" spans="1:14">
      <c r="A68" s="1" t="s">
        <v>80</v>
      </c>
      <c r="B68">
        <f>HYPERLINK("https://www.suredividend.com/sure-analysis-research-database/","Advanced Energy Industries Inc.")</f>
        <v>0</v>
      </c>
      <c r="C68" t="s">
        <v>3183</v>
      </c>
      <c r="D68">
        <v>88.27</v>
      </c>
      <c r="E68">
        <v>0.004522364156011</v>
      </c>
      <c r="F68" t="s">
        <v>3182</v>
      </c>
      <c r="G68" t="s">
        <v>3182</v>
      </c>
      <c r="H68">
        <v>0.399189084051159</v>
      </c>
      <c r="I68">
        <v>3290.763593</v>
      </c>
      <c r="J68">
        <v>24.46173328320709</v>
      </c>
      <c r="K68">
        <v>0.1121317651829098</v>
      </c>
      <c r="L68">
        <v>1.483671402442238</v>
      </c>
      <c r="M68">
        <v>126.27</v>
      </c>
      <c r="N68">
        <v>80.19</v>
      </c>
    </row>
    <row r="69" spans="1:14">
      <c r="A69" s="1" t="s">
        <v>81</v>
      </c>
      <c r="B69">
        <f>HYPERLINK("https://www.suredividend.com/sure-analysis-AEL/","American Equity Investment Life Holding Co")</f>
        <v>0</v>
      </c>
      <c r="C69" t="s">
        <v>3184</v>
      </c>
      <c r="D69">
        <v>53.6</v>
      </c>
      <c r="E69">
        <v>0.00708955223880597</v>
      </c>
      <c r="F69" t="s">
        <v>3182</v>
      </c>
      <c r="G69" t="s">
        <v>3182</v>
      </c>
      <c r="H69">
        <v>0.360000014305114</v>
      </c>
      <c r="I69">
        <v>4196.88</v>
      </c>
      <c r="J69">
        <v>9.329820934342592</v>
      </c>
      <c r="K69">
        <v>0.06741573301593896</v>
      </c>
      <c r="L69">
        <v>0.679093490729992</v>
      </c>
      <c r="M69">
        <v>54.44</v>
      </c>
      <c r="N69">
        <v>28.05</v>
      </c>
    </row>
    <row r="70" spans="1:14">
      <c r="A70" s="1" t="s">
        <v>82</v>
      </c>
      <c r="B70">
        <f>HYPERLINK("https://www.suredividend.com/sure-analysis-research-database/","Aethlon Medical Inc")</f>
        <v>0</v>
      </c>
      <c r="C70" t="s">
        <v>3180</v>
      </c>
      <c r="D70">
        <v>1.675</v>
      </c>
      <c r="E70">
        <v>0</v>
      </c>
      <c r="F70" t="s">
        <v>3182</v>
      </c>
      <c r="G70" t="s">
        <v>3182</v>
      </c>
      <c r="H70">
        <v>0</v>
      </c>
      <c r="I70">
        <v>41.599163</v>
      </c>
      <c r="J70">
        <v>0</v>
      </c>
      <c r="K70" t="s">
        <v>3182</v>
      </c>
      <c r="L70">
        <v>1.148634693044991</v>
      </c>
      <c r="M70">
        <v>8.699999999999999</v>
      </c>
      <c r="N70">
        <v>1.4</v>
      </c>
    </row>
    <row r="71" spans="1:14">
      <c r="A71" s="1" t="s">
        <v>83</v>
      </c>
      <c r="B71">
        <f>HYPERLINK("https://www.suredividend.com/sure-analysis-research-database/","American Eagle Outfitters Inc.")</f>
        <v>0</v>
      </c>
      <c r="C71" t="s">
        <v>3186</v>
      </c>
      <c r="D71">
        <v>18.31</v>
      </c>
      <c r="E71">
        <v>0.016276323931594</v>
      </c>
      <c r="F71" t="s">
        <v>3182</v>
      </c>
      <c r="G71" t="s">
        <v>3182</v>
      </c>
      <c r="H71">
        <v>0.2980194911875</v>
      </c>
      <c r="I71">
        <v>3615.923471</v>
      </c>
      <c r="J71">
        <v>17.82252739689972</v>
      </c>
      <c r="K71">
        <v>0.2990062116860641</v>
      </c>
      <c r="L71">
        <v>1.372001668088707</v>
      </c>
      <c r="M71">
        <v>18.48</v>
      </c>
      <c r="N71">
        <v>9.81</v>
      </c>
    </row>
    <row r="72" spans="1:14">
      <c r="A72" s="1" t="s">
        <v>84</v>
      </c>
      <c r="B72">
        <f>HYPERLINK("https://www.suredividend.com/sure-analysis-AEP/","American Electric Power Company Inc.")</f>
        <v>0</v>
      </c>
      <c r="C72" t="s">
        <v>3190</v>
      </c>
      <c r="D72">
        <v>79.23999999999999</v>
      </c>
      <c r="E72">
        <v>0.04442200908632005</v>
      </c>
      <c r="F72">
        <v>0.0641025641025641</v>
      </c>
      <c r="G72">
        <v>0.04376002056809547</v>
      </c>
      <c r="H72">
        <v>3.257567277931946</v>
      </c>
      <c r="I72">
        <v>40822.549727</v>
      </c>
      <c r="J72">
        <v>20.5530911925083</v>
      </c>
      <c r="K72">
        <v>0.8461213708914145</v>
      </c>
      <c r="L72">
        <v>0.573077105918906</v>
      </c>
      <c r="M72">
        <v>96.61</v>
      </c>
      <c r="N72">
        <v>69.38</v>
      </c>
    </row>
    <row r="73" spans="1:14">
      <c r="A73" s="1" t="s">
        <v>85</v>
      </c>
      <c r="B73">
        <f>HYPERLINK("https://www.suredividend.com/sure-analysis-research-database/","Aerie Pharmaceuticals Inc")</f>
        <v>0</v>
      </c>
      <c r="C73" t="s">
        <v>3180</v>
      </c>
      <c r="D73">
        <v>15.25</v>
      </c>
      <c r="E73">
        <v>0</v>
      </c>
      <c r="F73" t="s">
        <v>3182</v>
      </c>
      <c r="G73" t="s">
        <v>3182</v>
      </c>
      <c r="H73">
        <v>0</v>
      </c>
      <c r="I73">
        <v>0</v>
      </c>
      <c r="J73">
        <v>0</v>
      </c>
      <c r="K73">
        <v>-0</v>
      </c>
    </row>
    <row r="74" spans="1:14">
      <c r="A74" s="1" t="s">
        <v>86</v>
      </c>
      <c r="B74">
        <f>HYPERLINK("https://www.suredividend.com/sure-analysis-AES/","AES Corp.")</f>
        <v>0</v>
      </c>
      <c r="C74" t="s">
        <v>3190</v>
      </c>
      <c r="D74">
        <v>15.5</v>
      </c>
      <c r="E74">
        <v>0.04258064516129032</v>
      </c>
      <c r="F74">
        <v>0.05000000000000004</v>
      </c>
      <c r="G74">
        <v>0.03978308212039239</v>
      </c>
      <c r="H74">
        <v>0.6544232151378091</v>
      </c>
      <c r="I74">
        <v>10379.250043</v>
      </c>
      <c r="J74" t="s">
        <v>3182</v>
      </c>
      <c r="K74" t="s">
        <v>3182</v>
      </c>
      <c r="L74">
        <v>1.093807502424712</v>
      </c>
      <c r="M74">
        <v>28.94</v>
      </c>
      <c r="N74">
        <v>11.3</v>
      </c>
    </row>
    <row r="75" spans="1:14">
      <c r="A75" s="1" t="s">
        <v>87</v>
      </c>
      <c r="B75">
        <f>HYPERLINK("https://www.suredividend.com/sure-analysis-research-database/","Addvantage Technologies Group")</f>
        <v>0</v>
      </c>
      <c r="C75" t="s">
        <v>3185</v>
      </c>
      <c r="D75">
        <v>0.29</v>
      </c>
      <c r="E75">
        <v>0</v>
      </c>
      <c r="F75" t="s">
        <v>3182</v>
      </c>
      <c r="G75" t="s">
        <v>3182</v>
      </c>
      <c r="H75">
        <v>0</v>
      </c>
      <c r="I75">
        <v>4.344932</v>
      </c>
      <c r="J75">
        <v>0</v>
      </c>
      <c r="K75" t="s">
        <v>3182</v>
      </c>
      <c r="L75">
        <v>1.210944323437957</v>
      </c>
      <c r="M75">
        <v>2.3</v>
      </c>
      <c r="N75">
        <v>0.2192</v>
      </c>
    </row>
    <row r="76" spans="1:14">
      <c r="A76" s="1" t="s">
        <v>88</v>
      </c>
      <c r="B76">
        <f>HYPERLINK("https://www.suredividend.com/sure-analysis-AFG/","American Financial Group Inc")</f>
        <v>0</v>
      </c>
      <c r="C76" t="s">
        <v>3184</v>
      </c>
      <c r="D76">
        <v>108.8</v>
      </c>
      <c r="E76">
        <v>0.02610294117647059</v>
      </c>
      <c r="F76">
        <v>0.126984126984127</v>
      </c>
      <c r="G76">
        <v>-0.4491592478765987</v>
      </c>
      <c r="H76">
        <v>2.560095852563876</v>
      </c>
      <c r="I76">
        <v>9233.16512</v>
      </c>
      <c r="J76">
        <v>10.82434363423212</v>
      </c>
      <c r="K76">
        <v>0.2560095852563876</v>
      </c>
      <c r="L76">
        <v>0.5942960617882751</v>
      </c>
      <c r="M76">
        <v>141.49</v>
      </c>
      <c r="N76">
        <v>105.22</v>
      </c>
    </row>
    <row r="77" spans="1:14">
      <c r="A77" s="1" t="s">
        <v>89</v>
      </c>
      <c r="B77">
        <f>HYPERLINK("https://www.suredividend.com/sure-analysis-research-database/","Armstrong Flooring Inc")</f>
        <v>0</v>
      </c>
      <c r="C77" t="s">
        <v>3183</v>
      </c>
      <c r="D77">
        <v>0.3512</v>
      </c>
      <c r="E77">
        <v>0</v>
      </c>
      <c r="F77" t="s">
        <v>3182</v>
      </c>
      <c r="G77" t="s">
        <v>3182</v>
      </c>
      <c r="H77">
        <v>0</v>
      </c>
      <c r="I77">
        <v>7.648987</v>
      </c>
      <c r="J77" t="s">
        <v>3182</v>
      </c>
      <c r="K77">
        <v>-0</v>
      </c>
      <c r="L77">
        <v>-0.9879426906717531</v>
      </c>
      <c r="M77">
        <v>6.62</v>
      </c>
      <c r="N77">
        <v>0.1337</v>
      </c>
    </row>
    <row r="78" spans="1:14">
      <c r="A78" s="1" t="s">
        <v>90</v>
      </c>
      <c r="B78">
        <f>HYPERLINK("https://www.suredividend.com/sure-analysis-AFL/","Aflac Inc.")</f>
        <v>0</v>
      </c>
      <c r="C78" t="s">
        <v>3184</v>
      </c>
      <c r="D78">
        <v>81.73</v>
      </c>
      <c r="E78">
        <v>0.02055548758105958</v>
      </c>
      <c r="F78">
        <v>0.04999999999999982</v>
      </c>
      <c r="G78">
        <v>0.1006650808520966</v>
      </c>
      <c r="H78">
        <v>1.645485301088769</v>
      </c>
      <c r="I78">
        <v>48552.726327</v>
      </c>
      <c r="J78">
        <v>10.54806133542038</v>
      </c>
      <c r="K78">
        <v>0.2208705102132576</v>
      </c>
      <c r="L78">
        <v>0.672173954279205</v>
      </c>
      <c r="M78">
        <v>82.03</v>
      </c>
      <c r="N78">
        <v>59.48</v>
      </c>
    </row>
    <row r="79" spans="1:14">
      <c r="A79" s="1" t="s">
        <v>91</v>
      </c>
      <c r="B79">
        <f>HYPERLINK("https://www.suredividend.com/sure-analysis-research-database/","AGCO Corp.")</f>
        <v>0</v>
      </c>
      <c r="C79" t="s">
        <v>3183</v>
      </c>
      <c r="D79">
        <v>118.05</v>
      </c>
      <c r="E79">
        <v>0.008685098440373001</v>
      </c>
      <c r="F79">
        <v>0.2083333333333333</v>
      </c>
      <c r="G79">
        <v>0.1263039392161627</v>
      </c>
      <c r="H79">
        <v>1.025275870886074</v>
      </c>
      <c r="I79">
        <v>8839.553779</v>
      </c>
      <c r="J79">
        <v>7.949953933986869</v>
      </c>
      <c r="K79">
        <v>0.0690886705448837</v>
      </c>
      <c r="L79">
        <v>1.028054750382998</v>
      </c>
      <c r="M79">
        <v>140.14</v>
      </c>
      <c r="N79">
        <v>109.56</v>
      </c>
    </row>
    <row r="80" spans="1:14">
      <c r="A80" s="1" t="s">
        <v>92</v>
      </c>
      <c r="B80">
        <f>HYPERLINK("https://www.suredividend.com/sure-analysis-research-database/","AgeX Therapeutics Inc")</f>
        <v>0</v>
      </c>
      <c r="C80" t="s">
        <v>3180</v>
      </c>
      <c r="D80">
        <v>0.595</v>
      </c>
      <c r="E80">
        <v>0</v>
      </c>
      <c r="F80" t="s">
        <v>3182</v>
      </c>
      <c r="G80" t="s">
        <v>3182</v>
      </c>
      <c r="H80">
        <v>0</v>
      </c>
      <c r="I80">
        <v>22.581</v>
      </c>
      <c r="J80">
        <v>0</v>
      </c>
      <c r="K80" t="s">
        <v>3182</v>
      </c>
      <c r="L80">
        <v>-0.474228977374361</v>
      </c>
      <c r="M80">
        <v>1</v>
      </c>
      <c r="N80">
        <v>0.372</v>
      </c>
    </row>
    <row r="81" spans="1:14">
      <c r="A81" s="1" t="s">
        <v>93</v>
      </c>
      <c r="B81">
        <f>HYPERLINK("https://www.suredividend.com/sure-analysis-research-database/","Agenus Inc")</f>
        <v>0</v>
      </c>
      <c r="C81" t="s">
        <v>3180</v>
      </c>
      <c r="D81">
        <v>0.85</v>
      </c>
      <c r="E81">
        <v>0</v>
      </c>
      <c r="F81" t="s">
        <v>3182</v>
      </c>
      <c r="G81" t="s">
        <v>3182</v>
      </c>
      <c r="H81">
        <v>0</v>
      </c>
      <c r="I81">
        <v>322.636359</v>
      </c>
      <c r="J81" t="s">
        <v>3182</v>
      </c>
      <c r="K81">
        <v>-0</v>
      </c>
      <c r="L81">
        <v>1.882217217884615</v>
      </c>
      <c r="M81">
        <v>3.24</v>
      </c>
      <c r="N81">
        <v>0.7333000000000001</v>
      </c>
    </row>
    <row r="82" spans="1:14">
      <c r="A82" s="1" t="s">
        <v>94</v>
      </c>
      <c r="B82">
        <f>HYPERLINK("https://www.suredividend.com/sure-analysis-research-database/","AgroFresh Solutions Inc")</f>
        <v>0</v>
      </c>
      <c r="C82" t="s">
        <v>3188</v>
      </c>
      <c r="D82">
        <v>3</v>
      </c>
      <c r="E82">
        <v>0</v>
      </c>
      <c r="F82" t="s">
        <v>3182</v>
      </c>
      <c r="G82" t="s">
        <v>3182</v>
      </c>
      <c r="H82">
        <v>0</v>
      </c>
      <c r="I82">
        <v>0</v>
      </c>
      <c r="J82">
        <v>0</v>
      </c>
      <c r="K82" t="s">
        <v>3182</v>
      </c>
    </row>
    <row r="83" spans="1:14">
      <c r="A83" s="1" t="s">
        <v>95</v>
      </c>
      <c r="B83">
        <f>HYPERLINK("https://www.suredividend.com/sure-analysis-research-database/","Agios Pharmaceuticals Inc")</f>
        <v>0</v>
      </c>
      <c r="C83" t="s">
        <v>3180</v>
      </c>
      <c r="D83">
        <v>21</v>
      </c>
      <c r="E83">
        <v>0</v>
      </c>
      <c r="F83" t="s">
        <v>3182</v>
      </c>
      <c r="G83" t="s">
        <v>3182</v>
      </c>
      <c r="H83">
        <v>0</v>
      </c>
      <c r="I83">
        <v>1170.525426</v>
      </c>
      <c r="J83">
        <v>0.7308087582764401</v>
      </c>
      <c r="K83">
        <v>0</v>
      </c>
      <c r="L83">
        <v>1.266455209342762</v>
      </c>
      <c r="M83">
        <v>31.87</v>
      </c>
      <c r="N83">
        <v>19.8</v>
      </c>
    </row>
    <row r="84" spans="1:14">
      <c r="A84" s="1" t="s">
        <v>96</v>
      </c>
      <c r="B84">
        <f>HYPERLINK("https://www.suredividend.com/sure-analysis-research-database/","Aeglea BioTherapeutics Inc")</f>
        <v>0</v>
      </c>
      <c r="C84" t="s">
        <v>3180</v>
      </c>
      <c r="D84">
        <v>11.51</v>
      </c>
      <c r="E84">
        <v>0</v>
      </c>
      <c r="F84" t="s">
        <v>3182</v>
      </c>
      <c r="G84" t="s">
        <v>3182</v>
      </c>
      <c r="H84">
        <v>0</v>
      </c>
      <c r="I84">
        <v>46.600387</v>
      </c>
      <c r="J84" t="s">
        <v>3182</v>
      </c>
      <c r="K84">
        <v>-0</v>
      </c>
      <c r="L84">
        <v>0.725078865957226</v>
      </c>
      <c r="M84">
        <v>39</v>
      </c>
      <c r="N84">
        <v>2.66</v>
      </c>
    </row>
    <row r="85" spans="1:14">
      <c r="A85" s="1" t="s">
        <v>97</v>
      </c>
      <c r="B85">
        <f>HYPERLINK("https://www.suredividend.com/sure-analysis-AGM/","Federal Agricultural Mortgage Corp.")</f>
        <v>0</v>
      </c>
      <c r="C85" t="s">
        <v>3184</v>
      </c>
      <c r="D85">
        <v>158.52</v>
      </c>
      <c r="E85">
        <v>0.02775674993691648</v>
      </c>
      <c r="F85">
        <v>0.1578947368421053</v>
      </c>
      <c r="G85">
        <v>0.1365614939721804</v>
      </c>
      <c r="H85">
        <v>4.206239767178794</v>
      </c>
      <c r="I85">
        <v>1605.335117</v>
      </c>
      <c r="J85">
        <v>10.59669107344185</v>
      </c>
      <c r="K85">
        <v>0.3028250372338945</v>
      </c>
      <c r="L85">
        <v>1.058817088674592</v>
      </c>
      <c r="M85">
        <v>178.97</v>
      </c>
      <c r="N85">
        <v>108.8</v>
      </c>
    </row>
    <row r="86" spans="1:14">
      <c r="A86" s="1" t="s">
        <v>98</v>
      </c>
      <c r="B86">
        <f>HYPERLINK("https://www.suredividend.com/sure-analysis-AGNC/","AGNC Investment Corp")</f>
        <v>0</v>
      </c>
      <c r="C86" t="s">
        <v>3187</v>
      </c>
      <c r="D86">
        <v>8.16</v>
      </c>
      <c r="E86">
        <v>0.1764705882352941</v>
      </c>
      <c r="F86">
        <v>0</v>
      </c>
      <c r="G86">
        <v>0</v>
      </c>
      <c r="H86">
        <v>1.263471607270506</v>
      </c>
      <c r="I86">
        <v>4945.591339</v>
      </c>
      <c r="J86" t="s">
        <v>3182</v>
      </c>
      <c r="K86" t="s">
        <v>3182</v>
      </c>
      <c r="L86">
        <v>1.236212511732756</v>
      </c>
      <c r="M86">
        <v>9.970000000000001</v>
      </c>
      <c r="N86">
        <v>6.39</v>
      </c>
    </row>
    <row r="87" spans="1:14">
      <c r="A87" s="1" t="s">
        <v>99</v>
      </c>
      <c r="B87">
        <f>HYPERLINK("https://www.suredividend.com/sure-analysis-AGO/","Assured Guaranty Ltd")</f>
        <v>0</v>
      </c>
      <c r="C87" t="s">
        <v>3184</v>
      </c>
      <c r="D87">
        <v>64.97</v>
      </c>
      <c r="E87">
        <v>0.01723872556564568</v>
      </c>
      <c r="F87">
        <v>0.1200000000000001</v>
      </c>
      <c r="G87">
        <v>0.1184269147201447</v>
      </c>
      <c r="H87">
        <v>1.082162982415017</v>
      </c>
      <c r="I87">
        <v>3807.901056</v>
      </c>
      <c r="J87">
        <v>12.28355179251613</v>
      </c>
      <c r="K87">
        <v>0.2138662020583038</v>
      </c>
      <c r="L87">
        <v>0.7331326972395561</v>
      </c>
      <c r="M87">
        <v>66.14</v>
      </c>
      <c r="N87">
        <v>44.76</v>
      </c>
    </row>
    <row r="88" spans="1:14">
      <c r="A88" s="1" t="s">
        <v>100</v>
      </c>
      <c r="B88">
        <f>HYPERLINK("https://www.suredividend.com/sure-analysis-research-database/","Avangrid Inc")</f>
        <v>0</v>
      </c>
      <c r="C88" t="s">
        <v>3190</v>
      </c>
      <c r="D88">
        <v>31.83</v>
      </c>
      <c r="E88">
        <v>0.054302776877983</v>
      </c>
      <c r="F88">
        <v>0</v>
      </c>
      <c r="G88">
        <v>0</v>
      </c>
      <c r="H88">
        <v>1.72845738802622</v>
      </c>
      <c r="I88">
        <v>12310.918224</v>
      </c>
      <c r="J88">
        <v>22.96813101576492</v>
      </c>
      <c r="K88">
        <v>1.252505353642189</v>
      </c>
      <c r="L88">
        <v>0.741261176629717</v>
      </c>
      <c r="M88">
        <v>43.21</v>
      </c>
      <c r="N88">
        <v>27.46</v>
      </c>
    </row>
    <row r="89" spans="1:14">
      <c r="A89" s="1" t="s">
        <v>101</v>
      </c>
      <c r="B89">
        <f>HYPERLINK("https://www.suredividend.com/sure-analysis-research-database/","Agile Therapeutics Inc")</f>
        <v>0</v>
      </c>
      <c r="C89" t="s">
        <v>3180</v>
      </c>
      <c r="D89">
        <v>2.07</v>
      </c>
      <c r="E89">
        <v>0</v>
      </c>
      <c r="F89" t="s">
        <v>3182</v>
      </c>
      <c r="G89" t="s">
        <v>3182</v>
      </c>
      <c r="H89">
        <v>0</v>
      </c>
      <c r="I89">
        <v>3.987876</v>
      </c>
      <c r="J89">
        <v>0</v>
      </c>
      <c r="K89" t="s">
        <v>3182</v>
      </c>
      <c r="L89">
        <v>0.8605386224130941</v>
      </c>
      <c r="M89">
        <v>16</v>
      </c>
      <c r="N89">
        <v>1.65</v>
      </c>
    </row>
    <row r="90" spans="1:14">
      <c r="A90" s="1" t="s">
        <v>102</v>
      </c>
      <c r="B90">
        <f>HYPERLINK("https://www.suredividend.com/sure-analysis-research-database/","PlayAGS Inc")</f>
        <v>0</v>
      </c>
      <c r="C90" t="s">
        <v>3186</v>
      </c>
      <c r="D90">
        <v>7.35</v>
      </c>
      <c r="E90">
        <v>0</v>
      </c>
      <c r="F90" t="s">
        <v>3182</v>
      </c>
      <c r="G90" t="s">
        <v>3182</v>
      </c>
      <c r="H90">
        <v>0</v>
      </c>
      <c r="I90">
        <v>279.554766</v>
      </c>
      <c r="J90">
        <v>0</v>
      </c>
      <c r="K90" t="s">
        <v>3182</v>
      </c>
      <c r="L90">
        <v>1.071016356924227</v>
      </c>
      <c r="M90">
        <v>8.279999999999999</v>
      </c>
      <c r="N90">
        <v>4.38</v>
      </c>
    </row>
    <row r="91" spans="1:14">
      <c r="A91" s="1" t="s">
        <v>103</v>
      </c>
      <c r="B91">
        <f>HYPERLINK("https://www.suredividend.com/sure-analysis-research-database/","Applied Genetic Technologies Corp")</f>
        <v>0</v>
      </c>
      <c r="C91" t="s">
        <v>3180</v>
      </c>
      <c r="D91">
        <v>0.3936</v>
      </c>
      <c r="E91">
        <v>0</v>
      </c>
      <c r="F91" t="s">
        <v>3182</v>
      </c>
      <c r="G91" t="s">
        <v>3182</v>
      </c>
      <c r="H91">
        <v>0</v>
      </c>
      <c r="I91">
        <v>0</v>
      </c>
      <c r="J91">
        <v>0</v>
      </c>
      <c r="K91" t="s">
        <v>3182</v>
      </c>
    </row>
    <row r="92" spans="1:14">
      <c r="A92" s="1" t="s">
        <v>104</v>
      </c>
      <c r="B92">
        <f>HYPERLINK("https://www.suredividend.com/sure-analysis-research-database/","Argan, Inc.")</f>
        <v>0</v>
      </c>
      <c r="C92" t="s">
        <v>3183</v>
      </c>
      <c r="D92">
        <v>46.45</v>
      </c>
      <c r="E92">
        <v>0.022394772445544</v>
      </c>
      <c r="F92">
        <v>0.2000000000000002</v>
      </c>
      <c r="G92">
        <v>0.03713728933664817</v>
      </c>
      <c r="H92">
        <v>1.040237180095558</v>
      </c>
      <c r="I92">
        <v>618.651432</v>
      </c>
      <c r="J92">
        <v>17.05824666639094</v>
      </c>
      <c r="K92">
        <v>0.3910666090584805</v>
      </c>
      <c r="L92">
        <v>0.5225652455498451</v>
      </c>
      <c r="M92">
        <v>47.48</v>
      </c>
      <c r="N92">
        <v>32.12</v>
      </c>
    </row>
    <row r="93" spans="1:14">
      <c r="A93" s="1" t="s">
        <v>105</v>
      </c>
      <c r="B93">
        <f>HYPERLINK("https://www.suredividend.com/sure-analysis-research-database/","Agilysys, Inc")</f>
        <v>0</v>
      </c>
      <c r="C93" t="s">
        <v>3185</v>
      </c>
      <c r="D93">
        <v>88.95999999999999</v>
      </c>
      <c r="E93">
        <v>0</v>
      </c>
      <c r="F93" t="s">
        <v>3182</v>
      </c>
      <c r="G93" t="s">
        <v>3182</v>
      </c>
      <c r="H93">
        <v>0</v>
      </c>
      <c r="I93">
        <v>2257.206989</v>
      </c>
      <c r="J93">
        <v>184.6537130890052</v>
      </c>
      <c r="K93">
        <v>0</v>
      </c>
      <c r="L93">
        <v>0.678609631280042</v>
      </c>
      <c r="M93">
        <v>89.25</v>
      </c>
      <c r="N93">
        <v>60.21</v>
      </c>
    </row>
    <row r="94" spans="1:14">
      <c r="A94" s="1" t="s">
        <v>106</v>
      </c>
      <c r="B94">
        <f>HYPERLINK("https://www.suredividend.com/sure-analysis-research-database/","A.H. Belo Corp")</f>
        <v>0</v>
      </c>
      <c r="C94" t="s">
        <v>3191</v>
      </c>
      <c r="D94">
        <v>4.45</v>
      </c>
      <c r="E94">
        <v>0.08214878876362301</v>
      </c>
      <c r="F94" t="s">
        <v>3182</v>
      </c>
      <c r="G94" t="s">
        <v>3182</v>
      </c>
      <c r="H94">
        <v>0.62104484305299</v>
      </c>
      <c r="I94">
        <v>143.197135</v>
      </c>
      <c r="J94" t="s">
        <v>3182</v>
      </c>
      <c r="K94" t="s">
        <v>3182</v>
      </c>
      <c r="L94">
        <v>-0.07341366974298701</v>
      </c>
      <c r="M94">
        <v>12.18</v>
      </c>
      <c r="N94">
        <v>4.95</v>
      </c>
    </row>
    <row r="95" spans="1:14">
      <c r="A95" s="1" t="s">
        <v>107</v>
      </c>
      <c r="B95">
        <f>HYPERLINK("https://www.suredividend.com/sure-analysis-research-database/","Armada Hoffler Properties Inc")</f>
        <v>0</v>
      </c>
      <c r="C95" t="s">
        <v>3187</v>
      </c>
      <c r="D95">
        <v>10.2</v>
      </c>
      <c r="E95">
        <v>0.07355761801341</v>
      </c>
      <c r="F95" t="s">
        <v>3182</v>
      </c>
      <c r="G95" t="s">
        <v>3182</v>
      </c>
      <c r="H95">
        <v>0.7502877037367831</v>
      </c>
      <c r="I95">
        <v>693.0572989999999</v>
      </c>
      <c r="J95">
        <v>15.1926278837301</v>
      </c>
      <c r="K95">
        <v>1.115006247193912</v>
      </c>
      <c r="L95">
        <v>1.027504348108335</v>
      </c>
      <c r="M95">
        <v>13.04</v>
      </c>
      <c r="N95">
        <v>9.81</v>
      </c>
    </row>
    <row r="96" spans="1:14">
      <c r="A96" s="1" t="s">
        <v>108</v>
      </c>
      <c r="B96">
        <f>HYPERLINK("https://www.suredividend.com/sure-analysis-research-database/","Ashford Hospitality Trust Inc")</f>
        <v>0</v>
      </c>
      <c r="C96" t="s">
        <v>3187</v>
      </c>
      <c r="D96">
        <v>2.36</v>
      </c>
      <c r="E96">
        <v>0</v>
      </c>
      <c r="F96" t="s">
        <v>3182</v>
      </c>
      <c r="G96" t="s">
        <v>3182</v>
      </c>
      <c r="H96">
        <v>0</v>
      </c>
      <c r="I96">
        <v>81.404292</v>
      </c>
      <c r="J96" t="s">
        <v>3182</v>
      </c>
      <c r="K96">
        <v>-0</v>
      </c>
      <c r="L96">
        <v>2.080608206679971</v>
      </c>
      <c r="M96">
        <v>7.52</v>
      </c>
      <c r="N96">
        <v>1.92</v>
      </c>
    </row>
    <row r="97" spans="1:14">
      <c r="A97" s="1" t="s">
        <v>109</v>
      </c>
      <c r="B97">
        <f>HYPERLINK("https://www.suredividend.com/sure-analysis-research-database/","American International Group Inc")</f>
        <v>0</v>
      </c>
      <c r="C97" t="s">
        <v>3184</v>
      </c>
      <c r="D97">
        <v>64.36</v>
      </c>
      <c r="E97">
        <v>0.020942413694039</v>
      </c>
      <c r="F97">
        <v>0.125</v>
      </c>
      <c r="G97">
        <v>0.02383625553960966</v>
      </c>
      <c r="H97">
        <v>1.347853745348398</v>
      </c>
      <c r="I97">
        <v>45817.859801</v>
      </c>
      <c r="J97">
        <v>10.24091636134108</v>
      </c>
      <c r="K97">
        <v>0.2257711466245223</v>
      </c>
      <c r="L97">
        <v>0.9113051759163651</v>
      </c>
      <c r="M97">
        <v>64.78</v>
      </c>
      <c r="N97">
        <v>45.1</v>
      </c>
    </row>
    <row r="98" spans="1:14">
      <c r="A98" s="1" t="s">
        <v>110</v>
      </c>
      <c r="B98">
        <f>HYPERLINK("https://www.suredividend.com/sure-analysis-research-database/","Altra Industrial Motion Corp")</f>
        <v>0</v>
      </c>
      <c r="C98" t="s">
        <v>3183</v>
      </c>
      <c r="D98">
        <v>61.98</v>
      </c>
      <c r="E98">
        <v>0</v>
      </c>
      <c r="F98" t="s">
        <v>3182</v>
      </c>
      <c r="G98" t="s">
        <v>3182</v>
      </c>
      <c r="H98">
        <v>0.360000014305114</v>
      </c>
      <c r="I98">
        <v>0</v>
      </c>
      <c r="J98">
        <v>0</v>
      </c>
      <c r="K98">
        <v>0.1855670176830485</v>
      </c>
    </row>
    <row r="99" spans="1:14">
      <c r="A99" s="1" t="s">
        <v>111</v>
      </c>
      <c r="B99">
        <f>HYPERLINK("https://www.suredividend.com/sure-analysis-research-database/","Aimmune Therapeutics Inc")</f>
        <v>0</v>
      </c>
      <c r="C99" t="s">
        <v>3180</v>
      </c>
      <c r="D99">
        <v>34.49</v>
      </c>
      <c r="E99">
        <v>0</v>
      </c>
      <c r="F99" t="s">
        <v>3182</v>
      </c>
      <c r="G99" t="s">
        <v>3182</v>
      </c>
      <c r="H99">
        <v>0</v>
      </c>
      <c r="I99">
        <v>0</v>
      </c>
      <c r="J99">
        <v>0</v>
      </c>
      <c r="K99" t="s">
        <v>3182</v>
      </c>
    </row>
    <row r="100" spans="1:14">
      <c r="A100" s="1" t="s">
        <v>112</v>
      </c>
      <c r="B100">
        <f>HYPERLINK("https://www.suredividend.com/sure-analysis-research-database/","Albany International Corp.")</f>
        <v>0</v>
      </c>
      <c r="C100" t="s">
        <v>3186</v>
      </c>
      <c r="D100">
        <v>85.17</v>
      </c>
      <c r="E100">
        <v>0.011692624956952</v>
      </c>
      <c r="F100">
        <v>0.1904761904761905</v>
      </c>
      <c r="G100">
        <v>0.06790716584560208</v>
      </c>
      <c r="H100">
        <v>0.9958608675836411</v>
      </c>
      <c r="I100">
        <v>2655.554693</v>
      </c>
      <c r="J100">
        <v>32.23347324597925</v>
      </c>
      <c r="K100">
        <v>0.3772200255998641</v>
      </c>
      <c r="L100">
        <v>0.9943341481857211</v>
      </c>
      <c r="M100">
        <v>114.43</v>
      </c>
      <c r="N100">
        <v>78.2</v>
      </c>
    </row>
    <row r="101" spans="1:14">
      <c r="A101" s="1" t="s">
        <v>113</v>
      </c>
      <c r="B101">
        <f>HYPERLINK("https://www.suredividend.com/sure-analysis-research-database/","Ashford Inc")</f>
        <v>0</v>
      </c>
      <c r="C101" t="s">
        <v>3184</v>
      </c>
      <c r="D101">
        <v>5.62</v>
      </c>
      <c r="E101">
        <v>0</v>
      </c>
      <c r="F101" t="s">
        <v>3182</v>
      </c>
      <c r="G101" t="s">
        <v>3182</v>
      </c>
      <c r="H101">
        <v>0</v>
      </c>
      <c r="I101">
        <v>18.065248</v>
      </c>
      <c r="J101">
        <v>0</v>
      </c>
      <c r="K101" t="s">
        <v>3182</v>
      </c>
      <c r="M101">
        <v>17.54</v>
      </c>
      <c r="N101">
        <v>5.5</v>
      </c>
    </row>
    <row r="102" spans="1:14">
      <c r="A102" s="1" t="s">
        <v>114</v>
      </c>
      <c r="B102">
        <f>HYPERLINK("https://www.suredividend.com/sure-analysis-research-database/","AAR Corp.")</f>
        <v>0</v>
      </c>
      <c r="C102" t="s">
        <v>3183</v>
      </c>
      <c r="D102">
        <v>60.63</v>
      </c>
      <c r="E102">
        <v>0</v>
      </c>
      <c r="F102" t="s">
        <v>3182</v>
      </c>
      <c r="G102" t="s">
        <v>3182</v>
      </c>
      <c r="H102">
        <v>0</v>
      </c>
      <c r="I102">
        <v>2139.935668</v>
      </c>
      <c r="J102">
        <v>31.98708024080717</v>
      </c>
      <c r="K102">
        <v>0</v>
      </c>
      <c r="L102">
        <v>0.8893178158332591</v>
      </c>
      <c r="M102">
        <v>63.88</v>
      </c>
      <c r="N102">
        <v>41.17</v>
      </c>
    </row>
    <row r="103" spans="1:14">
      <c r="A103" s="1" t="s">
        <v>115</v>
      </c>
      <c r="B103">
        <f>HYPERLINK("https://www.suredividend.com/sure-analysis-research-database/","Airgain Inc")</f>
        <v>0</v>
      </c>
      <c r="C103" t="s">
        <v>3185</v>
      </c>
      <c r="D103">
        <v>3.12</v>
      </c>
      <c r="E103">
        <v>0</v>
      </c>
      <c r="F103" t="s">
        <v>3182</v>
      </c>
      <c r="G103" t="s">
        <v>3182</v>
      </c>
      <c r="H103">
        <v>0</v>
      </c>
      <c r="I103">
        <v>32.522768</v>
      </c>
      <c r="J103" t="s">
        <v>3182</v>
      </c>
      <c r="K103">
        <v>-0</v>
      </c>
      <c r="L103">
        <v>0.8153862786368361</v>
      </c>
      <c r="M103">
        <v>8.5</v>
      </c>
      <c r="N103">
        <v>3.12</v>
      </c>
    </row>
    <row r="104" spans="1:14">
      <c r="A104" s="1" t="s">
        <v>116</v>
      </c>
      <c r="B104">
        <f>HYPERLINK("https://www.suredividend.com/sure-analysis-research-database/","Air Industries Group")</f>
        <v>0</v>
      </c>
      <c r="C104" t="s">
        <v>3183</v>
      </c>
      <c r="D104">
        <v>3.19</v>
      </c>
      <c r="E104">
        <v>0</v>
      </c>
      <c r="F104" t="s">
        <v>3182</v>
      </c>
      <c r="G104" t="s">
        <v>3182</v>
      </c>
      <c r="H104">
        <v>0</v>
      </c>
      <c r="I104">
        <v>10.494548</v>
      </c>
      <c r="J104">
        <v>0</v>
      </c>
      <c r="K104" t="s">
        <v>3182</v>
      </c>
      <c r="M104">
        <v>7.28</v>
      </c>
      <c r="N104">
        <v>2.6</v>
      </c>
    </row>
    <row r="105" spans="1:14">
      <c r="A105" s="1" t="s">
        <v>117</v>
      </c>
      <c r="B105">
        <f>HYPERLINK("https://www.suredividend.com/sure-analysis-research-database/","Air T Inc")</f>
        <v>0</v>
      </c>
      <c r="C105" t="s">
        <v>3183</v>
      </c>
      <c r="D105">
        <v>23.7894</v>
      </c>
      <c r="E105">
        <v>0</v>
      </c>
      <c r="F105" t="s">
        <v>3182</v>
      </c>
      <c r="G105" t="s">
        <v>3182</v>
      </c>
      <c r="H105">
        <v>0</v>
      </c>
      <c r="I105">
        <v>67.03267700000001</v>
      </c>
      <c r="J105" t="s">
        <v>3182</v>
      </c>
      <c r="K105">
        <v>-0</v>
      </c>
      <c r="M105">
        <v>28.95</v>
      </c>
      <c r="N105">
        <v>18.5</v>
      </c>
    </row>
    <row r="106" spans="1:14">
      <c r="A106" s="1" t="s">
        <v>118</v>
      </c>
      <c r="B106">
        <f>HYPERLINK("https://www.suredividend.com/sure-analysis-AIT/","Applied Industrial Technologies Inc.")</f>
        <v>0</v>
      </c>
      <c r="C106" t="s">
        <v>3183</v>
      </c>
      <c r="D106">
        <v>154.87</v>
      </c>
      <c r="E106">
        <v>0.009039839865693807</v>
      </c>
      <c r="F106">
        <v>0.02941176470588247</v>
      </c>
      <c r="G106">
        <v>0.02456913836308061</v>
      </c>
      <c r="H106">
        <v>1.384903491137722</v>
      </c>
      <c r="I106">
        <v>6000.847162</v>
      </c>
      <c r="J106">
        <v>16.50012280316758</v>
      </c>
      <c r="K106">
        <v>0.1495576124338793</v>
      </c>
      <c r="L106">
        <v>0.9414767565586901</v>
      </c>
      <c r="M106">
        <v>164.82</v>
      </c>
      <c r="N106">
        <v>116.07</v>
      </c>
    </row>
    <row r="107" spans="1:14">
      <c r="A107" s="1" t="s">
        <v>119</v>
      </c>
      <c r="B107">
        <f>HYPERLINK("https://www.suredividend.com/sure-analysis-research-database/","Apartment Investment &amp; Management Co.")</f>
        <v>0</v>
      </c>
      <c r="C107" t="s">
        <v>3187</v>
      </c>
      <c r="D107">
        <v>6.01</v>
      </c>
      <c r="E107">
        <v>0</v>
      </c>
      <c r="F107" t="s">
        <v>3182</v>
      </c>
      <c r="G107" t="s">
        <v>3182</v>
      </c>
      <c r="H107">
        <v>0</v>
      </c>
      <c r="I107">
        <v>888.449537</v>
      </c>
      <c r="J107" t="s">
        <v>3182</v>
      </c>
      <c r="K107">
        <v>-0</v>
      </c>
      <c r="L107">
        <v>1.109286376307725</v>
      </c>
      <c r="M107">
        <v>8.93</v>
      </c>
      <c r="N107">
        <v>5.63</v>
      </c>
    </row>
    <row r="108" spans="1:14">
      <c r="A108" s="1" t="s">
        <v>120</v>
      </c>
      <c r="B108">
        <f>HYPERLINK("https://www.suredividend.com/sure-analysis-AIZ/","Assurant Inc")</f>
        <v>0</v>
      </c>
      <c r="C108" t="s">
        <v>3184</v>
      </c>
      <c r="D108">
        <v>163.79</v>
      </c>
      <c r="E108">
        <v>0.01709506074851945</v>
      </c>
      <c r="F108">
        <v>0.02941176470588247</v>
      </c>
      <c r="G108">
        <v>0.03131030647754507</v>
      </c>
      <c r="H108">
        <v>2.777955695884841</v>
      </c>
      <c r="I108">
        <v>8684.63717</v>
      </c>
      <c r="J108">
        <v>24.89861573967889</v>
      </c>
      <c r="K108">
        <v>0.4293594584056941</v>
      </c>
      <c r="L108">
        <v>0.6330968916270761</v>
      </c>
      <c r="M108">
        <v>167.81</v>
      </c>
      <c r="N108">
        <v>103.39</v>
      </c>
    </row>
    <row r="109" spans="1:14">
      <c r="A109" s="1" t="s">
        <v>121</v>
      </c>
      <c r="B109">
        <f>HYPERLINK("https://www.suredividend.com/sure-analysis-AJG/","Arthur J. Gallagher &amp; Co.")</f>
        <v>0</v>
      </c>
      <c r="C109" t="s">
        <v>3184</v>
      </c>
      <c r="D109">
        <v>242.2</v>
      </c>
      <c r="E109">
        <v>0.009083402146985962</v>
      </c>
      <c r="F109">
        <v>0.07843137254901977</v>
      </c>
      <c r="G109">
        <v>0.06051243834129849</v>
      </c>
      <c r="H109">
        <v>2.151774592347843</v>
      </c>
      <c r="I109">
        <v>52290.98</v>
      </c>
      <c r="J109">
        <v>45.98221948645797</v>
      </c>
      <c r="K109">
        <v>0.4122173548559086</v>
      </c>
      <c r="L109">
        <v>0.6612292594882301</v>
      </c>
      <c r="M109">
        <v>242.42</v>
      </c>
      <c r="N109">
        <v>173.55</v>
      </c>
    </row>
    <row r="110" spans="1:14">
      <c r="A110" s="1" t="s">
        <v>122</v>
      </c>
      <c r="B110">
        <f>HYPERLINK("https://www.suredividend.com/sure-analysis-research-database/","Aerojet Rocketdyne Holdings Inc")</f>
        <v>0</v>
      </c>
      <c r="C110" t="s">
        <v>3183</v>
      </c>
      <c r="D110">
        <v>57.99</v>
      </c>
      <c r="E110">
        <v>0</v>
      </c>
      <c r="F110" t="s">
        <v>3182</v>
      </c>
      <c r="G110" t="s">
        <v>3182</v>
      </c>
      <c r="H110">
        <v>0</v>
      </c>
      <c r="I110">
        <v>4683.208089</v>
      </c>
      <c r="J110">
        <v>63.45810418821138</v>
      </c>
      <c r="K110">
        <v>0</v>
      </c>
      <c r="L110">
        <v>0.4693327369242961</v>
      </c>
      <c r="M110">
        <v>58.01</v>
      </c>
      <c r="N110">
        <v>39.18</v>
      </c>
    </row>
    <row r="111" spans="1:14">
      <c r="A111" s="1" t="s">
        <v>123</v>
      </c>
      <c r="B111">
        <f>HYPERLINK("https://www.suredividend.com/sure-analysis-research-database/","Great Ajax Corp")</f>
        <v>0</v>
      </c>
      <c r="C111" t="s">
        <v>3187</v>
      </c>
      <c r="D111">
        <v>4.31</v>
      </c>
      <c r="E111">
        <v>0.202184628944481</v>
      </c>
      <c r="F111">
        <v>-0.2592592592592593</v>
      </c>
      <c r="G111">
        <v>-0.08971789848695988</v>
      </c>
      <c r="H111">
        <v>0.8714157507507141</v>
      </c>
      <c r="I111">
        <v>101.835732</v>
      </c>
      <c r="J111" t="s">
        <v>3182</v>
      </c>
      <c r="K111" t="s">
        <v>3182</v>
      </c>
      <c r="L111">
        <v>0.871956960879645</v>
      </c>
      <c r="M111">
        <v>8.33</v>
      </c>
      <c r="N111">
        <v>4.08</v>
      </c>
    </row>
    <row r="112" spans="1:14">
      <c r="A112" s="1" t="s">
        <v>124</v>
      </c>
      <c r="B112">
        <f>HYPERLINK("https://www.suredividend.com/sure-analysis-research-database/","Akamai Technologies Inc")</f>
        <v>0</v>
      </c>
      <c r="C112" t="s">
        <v>3185</v>
      </c>
      <c r="D112">
        <v>105.27</v>
      </c>
      <c r="E112">
        <v>0</v>
      </c>
      <c r="F112" t="s">
        <v>3182</v>
      </c>
      <c r="G112" t="s">
        <v>3182</v>
      </c>
      <c r="H112">
        <v>0</v>
      </c>
      <c r="I112">
        <v>15970.858775</v>
      </c>
      <c r="J112">
        <v>31.26061135028009</v>
      </c>
      <c r="K112">
        <v>0</v>
      </c>
      <c r="L112">
        <v>0.816847150215084</v>
      </c>
      <c r="M112">
        <v>109.24</v>
      </c>
      <c r="N112">
        <v>70.65000000000001</v>
      </c>
    </row>
    <row r="113" spans="1:14">
      <c r="A113" s="1" t="s">
        <v>125</v>
      </c>
      <c r="B113">
        <f>HYPERLINK("https://www.suredividend.com/sure-analysis-research-database/","Akebia Therapeutics Inc.")</f>
        <v>0</v>
      </c>
      <c r="C113" t="s">
        <v>3180</v>
      </c>
      <c r="D113">
        <v>0.8835000000000001</v>
      </c>
      <c r="E113">
        <v>0</v>
      </c>
      <c r="F113" t="s">
        <v>3182</v>
      </c>
      <c r="G113" t="s">
        <v>3182</v>
      </c>
      <c r="H113">
        <v>0</v>
      </c>
      <c r="I113">
        <v>166.375248</v>
      </c>
      <c r="J113">
        <v>0</v>
      </c>
      <c r="K113" t="s">
        <v>3182</v>
      </c>
      <c r="L113">
        <v>1.935648006133807</v>
      </c>
      <c r="M113">
        <v>1.84</v>
      </c>
      <c r="N113">
        <v>0.2425</v>
      </c>
    </row>
    <row r="114" spans="1:14">
      <c r="A114" s="1" t="s">
        <v>126</v>
      </c>
      <c r="B114">
        <f>HYPERLINK("https://www.suredividend.com/sure-analysis-research-database/","Akcea Therapeutics Inc")</f>
        <v>0</v>
      </c>
      <c r="C114" t="s">
        <v>3180</v>
      </c>
      <c r="D114">
        <v>18.17</v>
      </c>
      <c r="E114">
        <v>0</v>
      </c>
      <c r="F114" t="s">
        <v>3182</v>
      </c>
      <c r="G114" t="s">
        <v>3182</v>
      </c>
      <c r="H114">
        <v>0</v>
      </c>
      <c r="I114">
        <v>0</v>
      </c>
      <c r="J114">
        <v>0</v>
      </c>
      <c r="K114" t="s">
        <v>3182</v>
      </c>
    </row>
    <row r="115" spans="1:14">
      <c r="A115" s="1" t="s">
        <v>127</v>
      </c>
      <c r="B115">
        <f>HYPERLINK("https://www.suredividend.com/sure-analysis-AKR/","Acadia Realty Trust")</f>
        <v>0</v>
      </c>
      <c r="C115" t="s">
        <v>3187</v>
      </c>
      <c r="D115">
        <v>14.91</v>
      </c>
      <c r="E115">
        <v>0.0482897384305835</v>
      </c>
      <c r="F115" t="s">
        <v>3182</v>
      </c>
      <c r="G115" t="s">
        <v>3182</v>
      </c>
      <c r="H115">
        <v>0.706441721991051</v>
      </c>
      <c r="I115">
        <v>1421.529539</v>
      </c>
      <c r="J115">
        <v>59.09497147370609</v>
      </c>
      <c r="K115">
        <v>2.79557468140503</v>
      </c>
      <c r="L115">
        <v>1.197837571713009</v>
      </c>
      <c r="M115">
        <v>16.16</v>
      </c>
      <c r="N115">
        <v>12.06</v>
      </c>
    </row>
    <row r="116" spans="1:14">
      <c r="A116" s="1" t="s">
        <v>128</v>
      </c>
      <c r="B116">
        <f>HYPERLINK("https://www.suredividend.com/sure-analysis-research-database/","Akoustis Technologies Inc")</f>
        <v>0</v>
      </c>
      <c r="C116" t="s">
        <v>3185</v>
      </c>
      <c r="D116">
        <v>0.5491</v>
      </c>
      <c r="E116">
        <v>0</v>
      </c>
      <c r="F116" t="s">
        <v>3182</v>
      </c>
      <c r="G116" t="s">
        <v>3182</v>
      </c>
      <c r="H116">
        <v>0</v>
      </c>
      <c r="I116">
        <v>39.730036</v>
      </c>
      <c r="J116">
        <v>0</v>
      </c>
      <c r="K116" t="s">
        <v>3182</v>
      </c>
      <c r="L116">
        <v>2.415896935231429</v>
      </c>
      <c r="M116">
        <v>4.96</v>
      </c>
      <c r="N116">
        <v>0.46</v>
      </c>
    </row>
    <row r="117" spans="1:14">
      <c r="A117" s="1" t="s">
        <v>129</v>
      </c>
      <c r="B117">
        <f>HYPERLINK("https://www.suredividend.com/sure-analysis-research-database/","Air Lease Corp")</f>
        <v>0</v>
      </c>
      <c r="C117" t="s">
        <v>3183</v>
      </c>
      <c r="D117">
        <v>35.34</v>
      </c>
      <c r="E117">
        <v>0.022524688188555</v>
      </c>
      <c r="F117">
        <v>0.08108108108108114</v>
      </c>
      <c r="G117">
        <v>0.08997698704834534</v>
      </c>
      <c r="H117">
        <v>0.7960224805835341</v>
      </c>
      <c r="I117">
        <v>3923.703086</v>
      </c>
      <c r="J117">
        <v>8.258462903940746</v>
      </c>
      <c r="K117">
        <v>0.1859865608840033</v>
      </c>
      <c r="L117">
        <v>1.052342841432168</v>
      </c>
      <c r="M117">
        <v>45.74</v>
      </c>
      <c r="N117">
        <v>33.04</v>
      </c>
    </row>
    <row r="118" spans="1:14">
      <c r="A118" s="1" t="s">
        <v>130</v>
      </c>
      <c r="B118">
        <f>HYPERLINK("https://www.suredividend.com/sure-analysis-ALB/","Albemarle Corp.")</f>
        <v>0</v>
      </c>
      <c r="C118" t="s">
        <v>3181</v>
      </c>
      <c r="D118">
        <v>124.62</v>
      </c>
      <c r="E118">
        <v>0.01283903065318568</v>
      </c>
      <c r="F118">
        <v>0.01265822784810133</v>
      </c>
      <c r="G118">
        <v>0.03610325209611243</v>
      </c>
      <c r="H118">
        <v>1.590277096271799</v>
      </c>
      <c r="I118">
        <v>14624.564757</v>
      </c>
      <c r="J118">
        <v>3.732391140874713</v>
      </c>
      <c r="K118">
        <v>0.04782788259464057</v>
      </c>
      <c r="L118">
        <v>1.48454982270194</v>
      </c>
      <c r="M118">
        <v>332.08</v>
      </c>
      <c r="N118">
        <v>116.35</v>
      </c>
    </row>
    <row r="119" spans="1:14">
      <c r="A119" s="1" t="s">
        <v>131</v>
      </c>
      <c r="B119">
        <f>HYPERLINK("https://www.suredividend.com/sure-analysis-research-database/","Albireo Pharma Inc")</f>
        <v>0</v>
      </c>
      <c r="C119" t="s">
        <v>3180</v>
      </c>
      <c r="D119">
        <v>44.15</v>
      </c>
      <c r="E119">
        <v>0</v>
      </c>
      <c r="F119" t="s">
        <v>3182</v>
      </c>
      <c r="G119" t="s">
        <v>3182</v>
      </c>
      <c r="H119">
        <v>0</v>
      </c>
      <c r="I119">
        <v>0</v>
      </c>
      <c r="J119">
        <v>0</v>
      </c>
      <c r="K119">
        <v>-0</v>
      </c>
    </row>
    <row r="120" spans="1:14">
      <c r="A120" s="1" t="s">
        <v>132</v>
      </c>
      <c r="B120">
        <f>HYPERLINK("https://www.suredividend.com/sure-analysis-research-database/","Alico Inc.")</f>
        <v>0</v>
      </c>
      <c r="C120" t="s">
        <v>3188</v>
      </c>
      <c r="D120">
        <v>25.21</v>
      </c>
      <c r="E120">
        <v>0.007890208299529</v>
      </c>
      <c r="F120">
        <v>-0.9</v>
      </c>
      <c r="G120">
        <v>-0.03580749599737276</v>
      </c>
      <c r="H120">
        <v>0.19891215123115</v>
      </c>
      <c r="I120">
        <v>191.861991</v>
      </c>
      <c r="J120" t="s">
        <v>3182</v>
      </c>
      <c r="K120" t="s">
        <v>3182</v>
      </c>
      <c r="L120">
        <v>0.6974227861383111</v>
      </c>
      <c r="M120">
        <v>32.8</v>
      </c>
      <c r="N120">
        <v>22.4</v>
      </c>
    </row>
    <row r="121" spans="1:14">
      <c r="A121" s="1" t="s">
        <v>133</v>
      </c>
      <c r="B121">
        <f>HYPERLINK("https://www.suredividend.com/sure-analysis-research-database/","Aldeyra Therapeutics Inc")</f>
        <v>0</v>
      </c>
      <c r="C121" t="s">
        <v>3180</v>
      </c>
      <c r="D121">
        <v>2.09</v>
      </c>
      <c r="E121">
        <v>0</v>
      </c>
      <c r="F121" t="s">
        <v>3182</v>
      </c>
      <c r="G121" t="s">
        <v>3182</v>
      </c>
      <c r="H121">
        <v>0</v>
      </c>
      <c r="I121">
        <v>122.465327</v>
      </c>
      <c r="J121">
        <v>0</v>
      </c>
      <c r="K121" t="s">
        <v>3182</v>
      </c>
      <c r="L121">
        <v>1.033203332528669</v>
      </c>
      <c r="M121">
        <v>11.97</v>
      </c>
      <c r="N121">
        <v>1.42</v>
      </c>
    </row>
    <row r="122" spans="1:14">
      <c r="A122" s="1" t="s">
        <v>134</v>
      </c>
      <c r="B122">
        <f>HYPERLINK("https://www.suredividend.com/sure-analysis-ALE/","Allete, Inc.")</f>
        <v>0</v>
      </c>
      <c r="C122" t="s">
        <v>3190</v>
      </c>
      <c r="D122">
        <v>56.44</v>
      </c>
      <c r="E122">
        <v>0.04801559177888023</v>
      </c>
      <c r="F122">
        <v>0.04230769230769216</v>
      </c>
      <c r="G122">
        <v>0.03882945351236233</v>
      </c>
      <c r="H122">
        <v>2.637536069002229</v>
      </c>
      <c r="I122">
        <v>3239.552038</v>
      </c>
      <c r="J122">
        <v>16.60457220666325</v>
      </c>
      <c r="K122">
        <v>0.7757459026477145</v>
      </c>
      <c r="L122">
        <v>0.5000402252750791</v>
      </c>
      <c r="M122">
        <v>65.19</v>
      </c>
      <c r="N122">
        <v>49.29</v>
      </c>
    </row>
    <row r="123" spans="1:14">
      <c r="A123" s="1" t="s">
        <v>135</v>
      </c>
      <c r="B123">
        <f>HYPERLINK("https://www.suredividend.com/sure-analysis-research-database/","Alector Inc")</f>
        <v>0</v>
      </c>
      <c r="C123" t="s">
        <v>3180</v>
      </c>
      <c r="D123">
        <v>5.56</v>
      </c>
      <c r="E123">
        <v>0</v>
      </c>
      <c r="F123" t="s">
        <v>3182</v>
      </c>
      <c r="G123" t="s">
        <v>3182</v>
      </c>
      <c r="H123">
        <v>0</v>
      </c>
      <c r="I123">
        <v>466.096468</v>
      </c>
      <c r="J123" t="s">
        <v>3182</v>
      </c>
      <c r="K123">
        <v>-0</v>
      </c>
      <c r="L123">
        <v>1.611748366425546</v>
      </c>
      <c r="M123">
        <v>9.859999999999999</v>
      </c>
      <c r="N123">
        <v>4.88</v>
      </c>
    </row>
    <row r="124" spans="1:14">
      <c r="A124" s="1" t="s">
        <v>136</v>
      </c>
      <c r="B124">
        <f>HYPERLINK("https://www.suredividend.com/sure-analysis-research-database/","Alexander &amp; Baldwin Inc.")</f>
        <v>0</v>
      </c>
      <c r="C124" t="s">
        <v>3187</v>
      </c>
      <c r="D124">
        <v>16.28</v>
      </c>
      <c r="E124">
        <v>0.053062222313858</v>
      </c>
      <c r="F124" t="s">
        <v>3182</v>
      </c>
      <c r="G124" t="s">
        <v>3182</v>
      </c>
      <c r="H124">
        <v>0.863852979269613</v>
      </c>
      <c r="I124">
        <v>1182.335</v>
      </c>
      <c r="J124" t="s">
        <v>3182</v>
      </c>
      <c r="K124" t="s">
        <v>3182</v>
      </c>
      <c r="L124">
        <v>0.959147613224106</v>
      </c>
      <c r="M124">
        <v>19.77</v>
      </c>
      <c r="N124">
        <v>15.56</v>
      </c>
    </row>
    <row r="125" spans="1:14">
      <c r="A125" s="1" t="s">
        <v>137</v>
      </c>
      <c r="B125">
        <f>HYPERLINK("https://www.suredividend.com/sure-analysis-research-database/","Alamo Group Inc.")</f>
        <v>0</v>
      </c>
      <c r="C125" t="s">
        <v>3183</v>
      </c>
      <c r="D125">
        <v>162.12</v>
      </c>
      <c r="E125">
        <v>0.005418138299606</v>
      </c>
      <c r="F125">
        <v>0.2222222222222223</v>
      </c>
      <c r="G125">
        <v>0.1288813207301975</v>
      </c>
      <c r="H125">
        <v>0.8783885811321721</v>
      </c>
      <c r="I125">
        <v>1947.147448</v>
      </c>
      <c r="J125">
        <v>15.61352787561443</v>
      </c>
      <c r="K125">
        <v>0.08421750538179983</v>
      </c>
      <c r="L125">
        <v>0.8534132659567131</v>
      </c>
      <c r="M125">
        <v>200.56</v>
      </c>
      <c r="N125">
        <v>136.77</v>
      </c>
    </row>
    <row r="126" spans="1:14">
      <c r="A126" s="1" t="s">
        <v>138</v>
      </c>
      <c r="B126">
        <f>HYPERLINK("https://www.suredividend.com/sure-analysis-research-database/","Align Technology, Inc.")</f>
        <v>0</v>
      </c>
      <c r="C126" t="s">
        <v>3180</v>
      </c>
      <c r="D126">
        <v>192.32</v>
      </c>
      <c r="E126">
        <v>0</v>
      </c>
      <c r="F126" t="s">
        <v>3182</v>
      </c>
      <c r="G126" t="s">
        <v>3182</v>
      </c>
      <c r="H126">
        <v>0</v>
      </c>
      <c r="I126">
        <v>14718.961953</v>
      </c>
      <c r="J126">
        <v>46.86269076173161</v>
      </c>
      <c r="K126">
        <v>0</v>
      </c>
      <c r="L126">
        <v>1.818542192467086</v>
      </c>
      <c r="M126">
        <v>413.2</v>
      </c>
      <c r="N126">
        <v>174.13</v>
      </c>
    </row>
    <row r="127" spans="1:14">
      <c r="A127" s="1" t="s">
        <v>139</v>
      </c>
      <c r="B127">
        <f>HYPERLINK("https://www.suredividend.com/sure-analysis-research-database/","Allegiant Travel")</f>
        <v>0</v>
      </c>
      <c r="C127" t="s">
        <v>3183</v>
      </c>
      <c r="D127">
        <v>64.41</v>
      </c>
      <c r="E127">
        <v>0.009315324077656001</v>
      </c>
      <c r="F127" t="s">
        <v>3182</v>
      </c>
      <c r="G127" t="s">
        <v>3182</v>
      </c>
      <c r="H127">
        <v>0.600000023841857</v>
      </c>
      <c r="I127">
        <v>1188.178548</v>
      </c>
      <c r="J127">
        <v>8.153455079223479</v>
      </c>
      <c r="K127">
        <v>0.07371007663904877</v>
      </c>
      <c r="L127">
        <v>1.443751309980099</v>
      </c>
      <c r="M127">
        <v>129.44</v>
      </c>
      <c r="N127">
        <v>60.76</v>
      </c>
    </row>
    <row r="128" spans="1:14">
      <c r="A128" s="1" t="s">
        <v>140</v>
      </c>
      <c r="B128">
        <f>HYPERLINK("https://www.suredividend.com/sure-analysis-research-database/","Alimera Sciences Inc.")</f>
        <v>0</v>
      </c>
      <c r="C128" t="s">
        <v>3180</v>
      </c>
      <c r="D128">
        <v>3.26</v>
      </c>
      <c r="E128">
        <v>0</v>
      </c>
      <c r="F128" t="s">
        <v>3182</v>
      </c>
      <c r="G128" t="s">
        <v>3182</v>
      </c>
      <c r="H128">
        <v>0</v>
      </c>
      <c r="I128">
        <v>28.69363</v>
      </c>
      <c r="J128">
        <v>0</v>
      </c>
      <c r="K128" t="s">
        <v>3182</v>
      </c>
      <c r="L128">
        <v>0.86885812735458</v>
      </c>
      <c r="M128">
        <v>5.5</v>
      </c>
      <c r="N128">
        <v>1.3</v>
      </c>
    </row>
    <row r="129" spans="1:14">
      <c r="A129" s="1" t="s">
        <v>141</v>
      </c>
      <c r="B129">
        <f>HYPERLINK("https://www.suredividend.com/sure-analysis-research-database/","Alj Regional Holdings Inc")</f>
        <v>0</v>
      </c>
      <c r="C129" t="s">
        <v>3183</v>
      </c>
      <c r="D129">
        <v>1.92</v>
      </c>
      <c r="E129">
        <v>0</v>
      </c>
      <c r="F129" t="s">
        <v>3182</v>
      </c>
      <c r="G129" t="s">
        <v>3182</v>
      </c>
      <c r="H129">
        <v>0</v>
      </c>
      <c r="I129">
        <v>70.261404</v>
      </c>
      <c r="J129">
        <v>0</v>
      </c>
      <c r="K129" t="s">
        <v>3182</v>
      </c>
      <c r="M129">
        <v>2.1</v>
      </c>
      <c r="N129">
        <v>1.4</v>
      </c>
    </row>
    <row r="130" spans="1:14">
      <c r="A130" s="1" t="s">
        <v>142</v>
      </c>
      <c r="B130">
        <f>HYPERLINK("https://www.suredividend.com/sure-analysis-research-database/","Alaska Air Group Inc.")</f>
        <v>0</v>
      </c>
      <c r="C130" t="s">
        <v>3183</v>
      </c>
      <c r="D130">
        <v>32.12</v>
      </c>
      <c r="E130">
        <v>0</v>
      </c>
      <c r="F130" t="s">
        <v>3182</v>
      </c>
      <c r="G130" t="s">
        <v>3182</v>
      </c>
      <c r="H130">
        <v>0</v>
      </c>
      <c r="I130">
        <v>4086.448916</v>
      </c>
      <c r="J130">
        <v>25.54030572775</v>
      </c>
      <c r="K130">
        <v>0</v>
      </c>
      <c r="L130">
        <v>1.064225199210505</v>
      </c>
      <c r="M130">
        <v>57.18</v>
      </c>
      <c r="N130">
        <v>30.75</v>
      </c>
    </row>
    <row r="131" spans="1:14">
      <c r="A131" s="1" t="s">
        <v>143</v>
      </c>
      <c r="B131">
        <f>HYPERLINK("https://www.suredividend.com/sure-analysis-research-database/","Alkermes plc")</f>
        <v>0</v>
      </c>
      <c r="C131" t="s">
        <v>3180</v>
      </c>
      <c r="D131">
        <v>24.55</v>
      </c>
      <c r="E131">
        <v>0</v>
      </c>
      <c r="F131" t="s">
        <v>3182</v>
      </c>
      <c r="G131" t="s">
        <v>3182</v>
      </c>
      <c r="H131">
        <v>0</v>
      </c>
      <c r="I131">
        <v>4096.935571</v>
      </c>
      <c r="J131">
        <v>19.08000769033736</v>
      </c>
      <c r="K131">
        <v>0</v>
      </c>
      <c r="L131">
        <v>0.50045164460508</v>
      </c>
      <c r="M131">
        <v>33.71</v>
      </c>
      <c r="N131">
        <v>22.01</v>
      </c>
    </row>
    <row r="132" spans="1:14">
      <c r="A132" s="1" t="s">
        <v>144</v>
      </c>
      <c r="B132">
        <f>HYPERLINK("https://www.suredividend.com/sure-analysis-ALL/","Allstate Corp (The)")</f>
        <v>0</v>
      </c>
      <c r="C132" t="s">
        <v>3184</v>
      </c>
      <c r="D132">
        <v>131.36</v>
      </c>
      <c r="E132">
        <v>0.02710109622411693</v>
      </c>
      <c r="F132">
        <v>0.04705882352941182</v>
      </c>
      <c r="G132">
        <v>0.1411071720529757</v>
      </c>
      <c r="H132">
        <v>3.478219985909308</v>
      </c>
      <c r="I132">
        <v>34360.328325</v>
      </c>
      <c r="J132" t="s">
        <v>3182</v>
      </c>
      <c r="K132" t="s">
        <v>3182</v>
      </c>
      <c r="L132">
        <v>0.5796701270670851</v>
      </c>
      <c r="M132">
        <v>138.86</v>
      </c>
      <c r="N132">
        <v>99.73</v>
      </c>
    </row>
    <row r="133" spans="1:14">
      <c r="A133" s="1" t="s">
        <v>145</v>
      </c>
      <c r="B133">
        <f>HYPERLINK("https://www.suredividend.com/sure-analysis-research-database/","Allegion plc")</f>
        <v>0</v>
      </c>
      <c r="C133" t="s">
        <v>3183</v>
      </c>
      <c r="D133">
        <v>99.13</v>
      </c>
      <c r="E133">
        <v>0.017648096981661</v>
      </c>
      <c r="F133">
        <v>0.09756097560975596</v>
      </c>
      <c r="G133">
        <v>0.1646586157796568</v>
      </c>
      <c r="H133">
        <v>1.749455853792146</v>
      </c>
      <c r="I133">
        <v>8702.381418000001</v>
      </c>
      <c r="J133">
        <v>15.62086055928918</v>
      </c>
      <c r="K133">
        <v>0.277251323897329</v>
      </c>
      <c r="L133">
        <v>1.237427243784372</v>
      </c>
      <c r="M133">
        <v>127.82</v>
      </c>
      <c r="N133">
        <v>95.94</v>
      </c>
    </row>
    <row r="134" spans="1:14">
      <c r="A134" s="1" t="s">
        <v>146</v>
      </c>
      <c r="B134">
        <f>HYPERLINK("https://www.suredividend.com/sure-analysis-research-database/","Allakos Inc")</f>
        <v>0</v>
      </c>
      <c r="C134" t="s">
        <v>3180</v>
      </c>
      <c r="D134">
        <v>2</v>
      </c>
      <c r="E134">
        <v>0</v>
      </c>
      <c r="F134" t="s">
        <v>3182</v>
      </c>
      <c r="G134" t="s">
        <v>3182</v>
      </c>
      <c r="H134">
        <v>0</v>
      </c>
      <c r="I134">
        <v>173.835412</v>
      </c>
      <c r="J134">
        <v>0</v>
      </c>
      <c r="K134" t="s">
        <v>3182</v>
      </c>
      <c r="L134">
        <v>1.023805864695021</v>
      </c>
      <c r="M134">
        <v>8.73</v>
      </c>
      <c r="N134">
        <v>1.74</v>
      </c>
    </row>
    <row r="135" spans="1:14">
      <c r="A135" s="1" t="s">
        <v>147</v>
      </c>
      <c r="B135">
        <f>HYPERLINK("https://www.suredividend.com/sure-analysis-research-database/","Allogene Therapeutics Inc")</f>
        <v>0</v>
      </c>
      <c r="C135" t="s">
        <v>3180</v>
      </c>
      <c r="D135">
        <v>2.97</v>
      </c>
      <c r="E135">
        <v>0</v>
      </c>
      <c r="F135" t="s">
        <v>3182</v>
      </c>
      <c r="G135" t="s">
        <v>3182</v>
      </c>
      <c r="H135">
        <v>0</v>
      </c>
      <c r="I135">
        <v>497.850304</v>
      </c>
      <c r="J135" t="s">
        <v>3182</v>
      </c>
      <c r="K135">
        <v>-0</v>
      </c>
      <c r="L135">
        <v>1.444701410323404</v>
      </c>
      <c r="M135">
        <v>11.1</v>
      </c>
      <c r="N135">
        <v>2.53</v>
      </c>
    </row>
    <row r="136" spans="1:14">
      <c r="A136" s="1" t="s">
        <v>148</v>
      </c>
      <c r="B136">
        <f>HYPERLINK("https://www.suredividend.com/sure-analysis-ALLY/","Ally Financial Inc")</f>
        <v>0</v>
      </c>
      <c r="C136" t="s">
        <v>3184</v>
      </c>
      <c r="D136">
        <v>25.96</v>
      </c>
      <c r="E136">
        <v>0.04622496147919877</v>
      </c>
      <c r="F136">
        <v>0</v>
      </c>
      <c r="G136">
        <v>0.1203003371416174</v>
      </c>
      <c r="H136">
        <v>1.179380018622035</v>
      </c>
      <c r="I136">
        <v>7830.325054</v>
      </c>
      <c r="J136">
        <v>7.047997348514852</v>
      </c>
      <c r="K136">
        <v>0.3231178133211055</v>
      </c>
      <c r="L136">
        <v>1.841476293638589</v>
      </c>
      <c r="M136">
        <v>34.57</v>
      </c>
      <c r="N136">
        <v>20.86</v>
      </c>
    </row>
    <row r="137" spans="1:14">
      <c r="A137" s="1" t="s">
        <v>149</v>
      </c>
      <c r="B137">
        <f>HYPERLINK("https://www.suredividend.com/sure-analysis-research-database/","Allena Pharmaceuticals Inc")</f>
        <v>0</v>
      </c>
      <c r="C137" t="s">
        <v>3180</v>
      </c>
      <c r="D137">
        <v>0.075</v>
      </c>
      <c r="E137">
        <v>0</v>
      </c>
      <c r="F137" t="s">
        <v>3182</v>
      </c>
      <c r="G137" t="s">
        <v>3182</v>
      </c>
      <c r="H137">
        <v>0</v>
      </c>
      <c r="I137">
        <v>0</v>
      </c>
      <c r="J137">
        <v>0</v>
      </c>
      <c r="K137" t="s">
        <v>3182</v>
      </c>
    </row>
    <row r="138" spans="1:14">
      <c r="A138" s="1" t="s">
        <v>150</v>
      </c>
      <c r="B138">
        <f>HYPERLINK("https://www.suredividend.com/sure-analysis-research-database/","Alnylam Pharmaceuticals Inc")</f>
        <v>0</v>
      </c>
      <c r="C138" t="s">
        <v>3180</v>
      </c>
      <c r="D138">
        <v>161.53</v>
      </c>
      <c r="E138">
        <v>0</v>
      </c>
      <c r="F138" t="s">
        <v>3182</v>
      </c>
      <c r="G138" t="s">
        <v>3182</v>
      </c>
      <c r="H138">
        <v>0</v>
      </c>
      <c r="I138">
        <v>20191.355318</v>
      </c>
      <c r="J138" t="s">
        <v>3182</v>
      </c>
      <c r="K138">
        <v>-0</v>
      </c>
      <c r="M138">
        <v>242.97</v>
      </c>
      <c r="N138">
        <v>148.1</v>
      </c>
    </row>
    <row r="139" spans="1:14">
      <c r="A139" s="1" t="s">
        <v>151</v>
      </c>
      <c r="B139">
        <f>HYPERLINK("https://www.suredividend.com/sure-analysis-research-database/","AstroNova Inc")</f>
        <v>0</v>
      </c>
      <c r="C139" t="s">
        <v>3185</v>
      </c>
      <c r="D139">
        <v>13.5</v>
      </c>
      <c r="E139">
        <v>0</v>
      </c>
      <c r="F139" t="s">
        <v>3182</v>
      </c>
      <c r="G139" t="s">
        <v>3182</v>
      </c>
      <c r="H139">
        <v>0</v>
      </c>
      <c r="I139">
        <v>100.23291</v>
      </c>
      <c r="J139">
        <v>0</v>
      </c>
      <c r="K139" t="s">
        <v>3182</v>
      </c>
      <c r="M139">
        <v>17.21</v>
      </c>
      <c r="N139">
        <v>11.1</v>
      </c>
    </row>
    <row r="140" spans="1:14">
      <c r="A140" s="1" t="s">
        <v>152</v>
      </c>
      <c r="B140">
        <f>HYPERLINK("https://www.suredividend.com/sure-analysis-research-database/","Alpine Immune Sciences Inc")</f>
        <v>0</v>
      </c>
      <c r="C140" t="s">
        <v>3180</v>
      </c>
      <c r="D140">
        <v>14.72</v>
      </c>
      <c r="E140">
        <v>0</v>
      </c>
      <c r="F140" t="s">
        <v>3182</v>
      </c>
      <c r="G140" t="s">
        <v>3182</v>
      </c>
      <c r="H140">
        <v>0</v>
      </c>
      <c r="I140">
        <v>724.246772</v>
      </c>
      <c r="J140" t="s">
        <v>3182</v>
      </c>
      <c r="K140">
        <v>-0</v>
      </c>
      <c r="L140">
        <v>1.249743038812262</v>
      </c>
      <c r="M140">
        <v>14.92</v>
      </c>
      <c r="N140">
        <v>5.36</v>
      </c>
    </row>
    <row r="141" spans="1:14">
      <c r="A141" s="1" t="s">
        <v>153</v>
      </c>
      <c r="B141">
        <f>HYPERLINK("https://www.suredividend.com/sure-analysis-research-database/","Alarm.com Holdings Inc")</f>
        <v>0</v>
      </c>
      <c r="C141" t="s">
        <v>3185</v>
      </c>
      <c r="D141">
        <v>51.93</v>
      </c>
      <c r="E141">
        <v>0</v>
      </c>
      <c r="F141" t="s">
        <v>3182</v>
      </c>
      <c r="G141" t="s">
        <v>3182</v>
      </c>
      <c r="H141">
        <v>0</v>
      </c>
      <c r="I141">
        <v>2591.625954</v>
      </c>
      <c r="J141">
        <v>38.89461451044543</v>
      </c>
      <c r="K141">
        <v>0</v>
      </c>
      <c r="L141">
        <v>1.478420266056026</v>
      </c>
      <c r="M141">
        <v>62.64</v>
      </c>
      <c r="N141">
        <v>44.92</v>
      </c>
    </row>
    <row r="142" spans="1:14">
      <c r="A142" s="1" t="s">
        <v>154</v>
      </c>
      <c r="B142">
        <f>HYPERLINK("https://www.suredividend.com/sure-analysis-research-database/","Alaska Communications Systems Group Inc")</f>
        <v>0</v>
      </c>
      <c r="C142" t="s">
        <v>3191</v>
      </c>
      <c r="D142">
        <v>3.4</v>
      </c>
      <c r="E142">
        <v>0</v>
      </c>
      <c r="F142" t="s">
        <v>3182</v>
      </c>
      <c r="G142" t="s">
        <v>3182</v>
      </c>
      <c r="H142">
        <v>0</v>
      </c>
      <c r="I142">
        <v>0</v>
      </c>
      <c r="J142">
        <v>0</v>
      </c>
      <c r="K142">
        <v>-0</v>
      </c>
    </row>
    <row r="143" spans="1:14">
      <c r="A143" s="1" t="s">
        <v>155</v>
      </c>
      <c r="B143">
        <f>HYPERLINK("https://www.suredividend.com/sure-analysis-research-database/","Allison Transmission Holdings Inc")</f>
        <v>0</v>
      </c>
      <c r="C143" t="s">
        <v>3186</v>
      </c>
      <c r="D143">
        <v>51.37</v>
      </c>
      <c r="E143">
        <v>0.017408539139156</v>
      </c>
      <c r="F143">
        <v>0.09523809523809534</v>
      </c>
      <c r="G143">
        <v>0.08924936491294377</v>
      </c>
      <c r="H143">
        <v>0.894276655578477</v>
      </c>
      <c r="I143">
        <v>4596.829655</v>
      </c>
      <c r="J143">
        <v>7.13793424757764</v>
      </c>
      <c r="K143">
        <v>0.1266680815266965</v>
      </c>
      <c r="L143">
        <v>0.6987518396908551</v>
      </c>
      <c r="M143">
        <v>61.53</v>
      </c>
      <c r="N143">
        <v>40.53</v>
      </c>
    </row>
    <row r="144" spans="1:14">
      <c r="A144" s="1" t="s">
        <v>156</v>
      </c>
      <c r="B144">
        <f>HYPERLINK("https://www.suredividend.com/sure-analysis-research-database/","Altimmune Inc")</f>
        <v>0</v>
      </c>
      <c r="C144" t="s">
        <v>3180</v>
      </c>
      <c r="D144">
        <v>2.56</v>
      </c>
      <c r="E144">
        <v>0</v>
      </c>
      <c r="F144" t="s">
        <v>3182</v>
      </c>
      <c r="G144" t="s">
        <v>3182</v>
      </c>
      <c r="H144">
        <v>0</v>
      </c>
      <c r="I144">
        <v>134.877251</v>
      </c>
      <c r="J144">
        <v>0</v>
      </c>
      <c r="K144" t="s">
        <v>3182</v>
      </c>
      <c r="L144">
        <v>1.505344577394816</v>
      </c>
      <c r="M144">
        <v>17.17</v>
      </c>
      <c r="N144">
        <v>2.09</v>
      </c>
    </row>
    <row r="145" spans="1:14">
      <c r="A145" s="1" t="s">
        <v>157</v>
      </c>
      <c r="B145">
        <f>HYPERLINK("https://www.suredividend.com/sure-analysis-research-database/","Altair Engineering Inc")</f>
        <v>0</v>
      </c>
      <c r="C145" t="s">
        <v>3185</v>
      </c>
      <c r="D145">
        <v>59.11</v>
      </c>
      <c r="E145">
        <v>0</v>
      </c>
      <c r="F145" t="s">
        <v>3182</v>
      </c>
      <c r="G145" t="s">
        <v>3182</v>
      </c>
      <c r="H145">
        <v>0</v>
      </c>
      <c r="I145">
        <v>3196.242676</v>
      </c>
      <c r="J145" t="s">
        <v>3182</v>
      </c>
      <c r="K145">
        <v>-0</v>
      </c>
      <c r="L145">
        <v>1.166035351543314</v>
      </c>
      <c r="M145">
        <v>78.48999999999999</v>
      </c>
      <c r="N145">
        <v>43.68</v>
      </c>
    </row>
    <row r="146" spans="1:14">
      <c r="A146" s="1" t="s">
        <v>158</v>
      </c>
      <c r="B146">
        <f>HYPERLINK("https://www.suredividend.com/sure-analysis-ALV/","Autoliv Inc.")</f>
        <v>0</v>
      </c>
      <c r="C146" t="s">
        <v>3186</v>
      </c>
      <c r="D146">
        <v>93.13</v>
      </c>
      <c r="E146">
        <v>0.02834747127670998</v>
      </c>
      <c r="F146" t="s">
        <v>3182</v>
      </c>
      <c r="G146" t="s">
        <v>3182</v>
      </c>
      <c r="H146">
        <v>2.612011040263316</v>
      </c>
      <c r="I146">
        <v>7836.734159</v>
      </c>
      <c r="J146">
        <v>18.79312748</v>
      </c>
      <c r="K146">
        <v>0.5385589773738797</v>
      </c>
      <c r="L146">
        <v>1.0362158535548</v>
      </c>
      <c r="M146">
        <v>103.29</v>
      </c>
      <c r="N146">
        <v>72.09</v>
      </c>
    </row>
    <row r="147" spans="1:14">
      <c r="A147" s="1" t="s">
        <v>159</v>
      </c>
      <c r="B147">
        <f>HYPERLINK("https://www.suredividend.com/sure-analysis-research-database/","Alexander`s Inc.")</f>
        <v>0</v>
      </c>
      <c r="C147" t="s">
        <v>3187</v>
      </c>
      <c r="D147">
        <v>196.36</v>
      </c>
      <c r="E147">
        <v>0.088514184998948</v>
      </c>
      <c r="F147">
        <v>0</v>
      </c>
      <c r="G147">
        <v>0</v>
      </c>
      <c r="H147">
        <v>17.38064536639358</v>
      </c>
      <c r="I147">
        <v>1002.867464</v>
      </c>
      <c r="J147">
        <v>10.0989634294691</v>
      </c>
      <c r="K147">
        <v>0.8977606077682635</v>
      </c>
      <c r="L147">
        <v>0.6684869284873231</v>
      </c>
      <c r="M147">
        <v>231.01</v>
      </c>
      <c r="N147">
        <v>151.97</v>
      </c>
    </row>
    <row r="148" spans="1:14">
      <c r="A148" s="1" t="s">
        <v>160</v>
      </c>
      <c r="B148">
        <f>HYPERLINK("https://www.suredividend.com/sure-analysis-research-database/","Alexion Pharmaceuticals Inc.")</f>
        <v>0</v>
      </c>
      <c r="C148" t="s">
        <v>3180</v>
      </c>
      <c r="D148">
        <v>182.5</v>
      </c>
      <c r="E148">
        <v>0</v>
      </c>
      <c r="F148" t="s">
        <v>3182</v>
      </c>
      <c r="G148" t="s">
        <v>3182</v>
      </c>
      <c r="H148">
        <v>0</v>
      </c>
      <c r="I148">
        <v>0</v>
      </c>
      <c r="J148">
        <v>0</v>
      </c>
      <c r="K148">
        <v>0</v>
      </c>
    </row>
    <row r="149" spans="1:14">
      <c r="A149" s="1" t="s">
        <v>161</v>
      </c>
      <c r="B149">
        <f>HYPERLINK("https://www.suredividend.com/sure-analysis-AM/","Antero Midstream Corp")</f>
        <v>0</v>
      </c>
      <c r="C149" t="s">
        <v>3189</v>
      </c>
      <c r="D149">
        <v>12.95</v>
      </c>
      <c r="E149">
        <v>0.0694980694980695</v>
      </c>
      <c r="F149" t="s">
        <v>3182</v>
      </c>
      <c r="G149" t="s">
        <v>3182</v>
      </c>
      <c r="H149">
        <v>0.8747532513418761</v>
      </c>
      <c r="I149">
        <v>6212.28335</v>
      </c>
      <c r="J149">
        <v>17.56956901086594</v>
      </c>
      <c r="K149">
        <v>1.191437280498333</v>
      </c>
      <c r="L149">
        <v>0.9524408821312321</v>
      </c>
      <c r="M149">
        <v>12.96</v>
      </c>
      <c r="N149">
        <v>9.01</v>
      </c>
    </row>
    <row r="150" spans="1:14">
      <c r="A150" s="1" t="s">
        <v>162</v>
      </c>
      <c r="B150">
        <f>HYPERLINK("https://www.suredividend.com/sure-analysis-research-database/","Amalgamated Financial Corp")</f>
        <v>0</v>
      </c>
      <c r="C150" t="s">
        <v>3184</v>
      </c>
      <c r="D150">
        <v>18.5</v>
      </c>
      <c r="E150">
        <v>0.021373898042213</v>
      </c>
      <c r="F150">
        <v>0</v>
      </c>
      <c r="G150">
        <v>0.1075663432482901</v>
      </c>
      <c r="H150">
        <v>0.395417113780948</v>
      </c>
      <c r="I150">
        <v>563.439867</v>
      </c>
      <c r="J150">
        <v>6.213565064678701</v>
      </c>
      <c r="K150">
        <v>0.1349546463416205</v>
      </c>
      <c r="L150">
        <v>0.767825273055997</v>
      </c>
      <c r="M150">
        <v>26.72</v>
      </c>
      <c r="N150">
        <v>13.93</v>
      </c>
    </row>
    <row r="151" spans="1:14">
      <c r="A151" s="1" t="s">
        <v>163</v>
      </c>
      <c r="B151">
        <f>HYPERLINK("https://www.suredividend.com/sure-analysis-AMAT/","Applied Materials Inc.")</f>
        <v>0</v>
      </c>
      <c r="C151" t="s">
        <v>3185</v>
      </c>
      <c r="D151">
        <v>138.51</v>
      </c>
      <c r="E151">
        <v>0.009241210020937118</v>
      </c>
      <c r="F151">
        <v>0.2307692307692308</v>
      </c>
      <c r="G151">
        <v>0.09856054330611763</v>
      </c>
      <c r="H151">
        <v>1.154435179772251</v>
      </c>
      <c r="I151">
        <v>116283.833841</v>
      </c>
      <c r="J151">
        <v>18.04808844335248</v>
      </c>
      <c r="K151">
        <v>0.1523001556427772</v>
      </c>
      <c r="L151">
        <v>1.692207330508901</v>
      </c>
      <c r="M151">
        <v>155.26</v>
      </c>
      <c r="N151">
        <v>87.81</v>
      </c>
    </row>
    <row r="152" spans="1:14">
      <c r="A152" s="1" t="s">
        <v>164</v>
      </c>
      <c r="B152">
        <f>HYPERLINK("https://www.suredividend.com/sure-analysis-research-database/","AMBAC Financial Group Inc.")</f>
        <v>0</v>
      </c>
      <c r="C152" t="s">
        <v>3184</v>
      </c>
      <c r="D152">
        <v>12.45</v>
      </c>
      <c r="E152">
        <v>0</v>
      </c>
      <c r="F152" t="s">
        <v>3182</v>
      </c>
      <c r="G152" t="s">
        <v>3182</v>
      </c>
      <c r="H152">
        <v>0</v>
      </c>
      <c r="I152">
        <v>564.034775</v>
      </c>
      <c r="J152">
        <v>1.19498893029661</v>
      </c>
      <c r="K152">
        <v>0</v>
      </c>
      <c r="L152">
        <v>0.7744634905415481</v>
      </c>
      <c r="M152">
        <v>17.75</v>
      </c>
      <c r="N152">
        <v>11.26</v>
      </c>
    </row>
    <row r="153" spans="1:14">
      <c r="A153" s="1" t="s">
        <v>165</v>
      </c>
      <c r="B153">
        <f>HYPERLINK("https://www.suredividend.com/sure-analysis-research-database/","AMC Entertainment Holdings Inc")</f>
        <v>0</v>
      </c>
      <c r="C153" t="s">
        <v>3191</v>
      </c>
      <c r="D153">
        <v>10.49</v>
      </c>
      <c r="E153">
        <v>0</v>
      </c>
      <c r="F153" t="s">
        <v>3182</v>
      </c>
      <c r="G153" t="s">
        <v>3182</v>
      </c>
      <c r="H153">
        <v>0</v>
      </c>
      <c r="I153">
        <v>5446.328161</v>
      </c>
      <c r="J153" t="s">
        <v>3182</v>
      </c>
      <c r="K153">
        <v>-0</v>
      </c>
      <c r="L153">
        <v>1.903629240008781</v>
      </c>
      <c r="M153">
        <v>80.73999999999999</v>
      </c>
      <c r="N153">
        <v>7.05</v>
      </c>
    </row>
    <row r="154" spans="1:14">
      <c r="A154" s="1" t="s">
        <v>166</v>
      </c>
      <c r="B154">
        <f>HYPERLINK("https://www.suredividend.com/sure-analysis-AMCR/","Amcor Plc")</f>
        <v>0</v>
      </c>
      <c r="C154" t="s">
        <v>3186</v>
      </c>
      <c r="D154">
        <v>8.81</v>
      </c>
      <c r="E154">
        <v>0.05561861520998865</v>
      </c>
      <c r="F154" t="s">
        <v>3182</v>
      </c>
      <c r="G154" t="s">
        <v>3182</v>
      </c>
      <c r="H154">
        <v>0.4810749787445091</v>
      </c>
      <c r="I154">
        <v>12733.473698</v>
      </c>
      <c r="J154">
        <v>12.15026116194656</v>
      </c>
      <c r="K154">
        <v>0.6775703925979001</v>
      </c>
      <c r="L154">
        <v>0.8549963982144411</v>
      </c>
      <c r="M154">
        <v>12.33</v>
      </c>
      <c r="N154">
        <v>8.449999999999999</v>
      </c>
    </row>
    <row r="155" spans="1:14">
      <c r="A155" s="1" t="s">
        <v>167</v>
      </c>
      <c r="B155">
        <f>HYPERLINK("https://www.suredividend.com/sure-analysis-research-database/","AMC Networks Inc")</f>
        <v>0</v>
      </c>
      <c r="C155" t="s">
        <v>3191</v>
      </c>
      <c r="D155">
        <v>13.18</v>
      </c>
      <c r="E155">
        <v>0</v>
      </c>
      <c r="F155" t="s">
        <v>3182</v>
      </c>
      <c r="G155" t="s">
        <v>3182</v>
      </c>
      <c r="H155">
        <v>0</v>
      </c>
      <c r="I155">
        <v>422.027159</v>
      </c>
      <c r="J155" t="s">
        <v>3182</v>
      </c>
      <c r="K155">
        <v>-0</v>
      </c>
      <c r="L155">
        <v>1.783391238023047</v>
      </c>
      <c r="M155">
        <v>27.46</v>
      </c>
      <c r="N155">
        <v>9.960000000000001</v>
      </c>
    </row>
    <row r="156" spans="1:14">
      <c r="A156" s="1" t="s">
        <v>168</v>
      </c>
      <c r="B156">
        <f>HYPERLINK("https://www.suredividend.com/sure-analysis-research-database/","Advanced Micro Devices Inc.")</f>
        <v>0</v>
      </c>
      <c r="C156" t="s">
        <v>3185</v>
      </c>
      <c r="D156">
        <v>107.83</v>
      </c>
      <c r="E156">
        <v>0</v>
      </c>
      <c r="F156" t="s">
        <v>3182</v>
      </c>
      <c r="G156" t="s">
        <v>3182</v>
      </c>
      <c r="H156">
        <v>0</v>
      </c>
      <c r="I156">
        <v>174217.844905</v>
      </c>
      <c r="J156" t="s">
        <v>3182</v>
      </c>
      <c r="K156">
        <v>-0</v>
      </c>
      <c r="L156">
        <v>2.043471726093264</v>
      </c>
      <c r="M156">
        <v>132.83</v>
      </c>
      <c r="N156">
        <v>59.8</v>
      </c>
    </row>
    <row r="157" spans="1:14">
      <c r="A157" s="1" t="s">
        <v>169</v>
      </c>
      <c r="B157">
        <f>HYPERLINK("https://www.suredividend.com/sure-analysis-research-database/","Ametek Inc")</f>
        <v>0</v>
      </c>
      <c r="C157" t="s">
        <v>3183</v>
      </c>
      <c r="D157">
        <v>143.7</v>
      </c>
      <c r="E157">
        <v>0.006733777562907</v>
      </c>
      <c r="F157">
        <v>0.1363636363636365</v>
      </c>
      <c r="G157">
        <v>0.1229551070568209</v>
      </c>
      <c r="H157">
        <v>0.9676438357897891</v>
      </c>
      <c r="I157">
        <v>33165.767011</v>
      </c>
      <c r="J157">
        <v>25.96339219816738</v>
      </c>
      <c r="K157">
        <v>0.1752977963387299</v>
      </c>
      <c r="L157">
        <v>0.857407602789056</v>
      </c>
      <c r="M157">
        <v>164.48</v>
      </c>
      <c r="N157">
        <v>131.09</v>
      </c>
    </row>
    <row r="158" spans="1:14">
      <c r="A158" s="1" t="s">
        <v>170</v>
      </c>
      <c r="B158">
        <f>HYPERLINK("https://www.suredividend.com/sure-analysis-research-database/","Amedisys Inc.")</f>
        <v>0</v>
      </c>
      <c r="C158" t="s">
        <v>3180</v>
      </c>
      <c r="D158">
        <v>91.90000000000001</v>
      </c>
      <c r="E158">
        <v>0</v>
      </c>
      <c r="F158" t="s">
        <v>3182</v>
      </c>
      <c r="G158" t="s">
        <v>3182</v>
      </c>
      <c r="H158">
        <v>0</v>
      </c>
      <c r="I158">
        <v>2999.004589</v>
      </c>
      <c r="J158">
        <v>1132.55460320997</v>
      </c>
      <c r="K158">
        <v>0</v>
      </c>
      <c r="L158">
        <v>0.486968693322642</v>
      </c>
      <c r="M158">
        <v>106.02</v>
      </c>
      <c r="N158">
        <v>69.36</v>
      </c>
    </row>
    <row r="159" spans="1:14">
      <c r="A159" s="1" t="s">
        <v>171</v>
      </c>
      <c r="B159">
        <f>HYPERLINK("https://www.suredividend.com/sure-analysis-research-database/","Apollo Medical Holdings Inc")</f>
        <v>0</v>
      </c>
      <c r="C159" t="s">
        <v>3180</v>
      </c>
      <c r="D159">
        <v>30.74</v>
      </c>
      <c r="E159">
        <v>0</v>
      </c>
      <c r="F159" t="s">
        <v>3182</v>
      </c>
      <c r="G159" t="s">
        <v>3182</v>
      </c>
      <c r="H159">
        <v>0</v>
      </c>
      <c r="I159">
        <v>1769.461967</v>
      </c>
      <c r="J159">
        <v>39.17252145225919</v>
      </c>
      <c r="K159">
        <v>0</v>
      </c>
      <c r="L159">
        <v>1.111064480249035</v>
      </c>
      <c r="M159">
        <v>40.81</v>
      </c>
      <c r="N159">
        <v>26.89</v>
      </c>
    </row>
    <row r="160" spans="1:14">
      <c r="A160" s="1" t="s">
        <v>172</v>
      </c>
      <c r="B160">
        <f>HYPERLINK("https://www.suredividend.com/sure-analysis-research-database/","Affiliated Managers Group Inc.")</f>
        <v>0</v>
      </c>
      <c r="C160" t="s">
        <v>3184</v>
      </c>
      <c r="D160">
        <v>124.9</v>
      </c>
      <c r="E160">
        <v>0.000320222378718</v>
      </c>
      <c r="F160">
        <v>0</v>
      </c>
      <c r="G160">
        <v>-0.4935043158878818</v>
      </c>
      <c r="H160">
        <v>0.039995775101968</v>
      </c>
      <c r="I160">
        <v>4377.361557</v>
      </c>
      <c r="J160">
        <v>3.805408638616013</v>
      </c>
      <c r="K160">
        <v>0.001621888690266342</v>
      </c>
      <c r="L160">
        <v>1.137991579068008</v>
      </c>
      <c r="M160">
        <v>180.59</v>
      </c>
      <c r="N160">
        <v>120.22</v>
      </c>
    </row>
    <row r="161" spans="1:14">
      <c r="A161" s="1" t="s">
        <v>173</v>
      </c>
      <c r="B161">
        <f>HYPERLINK("https://www.suredividend.com/sure-analysis-AMGN/","AMGEN Inc.")</f>
        <v>0</v>
      </c>
      <c r="C161" t="s">
        <v>3180</v>
      </c>
      <c r="D161">
        <v>266.59</v>
      </c>
      <c r="E161">
        <v>0.03195918826662666</v>
      </c>
      <c r="F161">
        <v>0.09793814432989678</v>
      </c>
      <c r="G161">
        <v>0.07994669631882489</v>
      </c>
      <c r="H161">
        <v>8.225768155141774</v>
      </c>
      <c r="I161">
        <v>142673.110218</v>
      </c>
      <c r="J161">
        <v>18.85713854321041</v>
      </c>
      <c r="K161">
        <v>0.5846317096760322</v>
      </c>
      <c r="L161">
        <v>0.3917794533110051</v>
      </c>
      <c r="M161">
        <v>288.46</v>
      </c>
      <c r="N161">
        <v>210.01</v>
      </c>
    </row>
    <row r="162" spans="1:14">
      <c r="A162" s="1" t="s">
        <v>174</v>
      </c>
      <c r="B162">
        <f>HYPERLINK("https://www.suredividend.com/sure-analysis-AMH/","American Homes 4 Rent")</f>
        <v>0</v>
      </c>
      <c r="C162" t="s">
        <v>3187</v>
      </c>
      <c r="D162">
        <v>33.49</v>
      </c>
      <c r="E162">
        <v>0.02627650044789489</v>
      </c>
      <c r="F162">
        <v>0.2222222222222223</v>
      </c>
      <c r="G162">
        <v>0.3449016775452185</v>
      </c>
      <c r="H162">
        <v>0.8324028106324821</v>
      </c>
      <c r="I162">
        <v>12102.155947</v>
      </c>
      <c r="J162">
        <v>34.3265144852791</v>
      </c>
      <c r="K162">
        <v>0.8421720059009329</v>
      </c>
      <c r="L162">
        <v>1.060343323273532</v>
      </c>
      <c r="M162">
        <v>37.74</v>
      </c>
      <c r="N162">
        <v>28.43</v>
      </c>
    </row>
    <row r="163" spans="1:14">
      <c r="A163" s="1" t="s">
        <v>175</v>
      </c>
      <c r="B163">
        <f>HYPERLINK("https://www.suredividend.com/sure-analysis-research-database/","AMKOR Technology Inc.")</f>
        <v>0</v>
      </c>
      <c r="C163" t="s">
        <v>3185</v>
      </c>
      <c r="D163">
        <v>22.6</v>
      </c>
      <c r="E163">
        <v>0.013237803573427</v>
      </c>
      <c r="F163" t="s">
        <v>3182</v>
      </c>
      <c r="G163" t="s">
        <v>3182</v>
      </c>
      <c r="H163">
        <v>0.299174360759464</v>
      </c>
      <c r="I163">
        <v>5554.237336</v>
      </c>
      <c r="J163">
        <v>9.57595757449325</v>
      </c>
      <c r="K163">
        <v>0.1273082386210485</v>
      </c>
      <c r="L163">
        <v>1.643790813014304</v>
      </c>
      <c r="M163">
        <v>31.2</v>
      </c>
      <c r="N163">
        <v>17.58</v>
      </c>
    </row>
    <row r="164" spans="1:14">
      <c r="A164" s="1" t="s">
        <v>176</v>
      </c>
      <c r="B164">
        <f>HYPERLINK("https://www.suredividend.com/sure-analysis-research-database/","AMN Healthcare Services Inc.")</f>
        <v>0</v>
      </c>
      <c r="C164" t="s">
        <v>3180</v>
      </c>
      <c r="D164">
        <v>72.75</v>
      </c>
      <c r="E164">
        <v>0</v>
      </c>
      <c r="F164" t="s">
        <v>3182</v>
      </c>
      <c r="G164" t="s">
        <v>3182</v>
      </c>
      <c r="H164">
        <v>0</v>
      </c>
      <c r="I164">
        <v>2763.636312</v>
      </c>
      <c r="J164">
        <v>8.656435585012748</v>
      </c>
      <c r="K164">
        <v>0</v>
      </c>
      <c r="L164">
        <v>0.52225316285752</v>
      </c>
      <c r="M164">
        <v>127.9</v>
      </c>
      <c r="N164">
        <v>70.33</v>
      </c>
    </row>
    <row r="165" spans="1:14">
      <c r="A165" s="1" t="s">
        <v>177</v>
      </c>
      <c r="B165">
        <f>HYPERLINK("https://www.suredividend.com/sure-analysis-research-database/","American National Bankshares Inc.")</f>
        <v>0</v>
      </c>
      <c r="C165" t="s">
        <v>3184</v>
      </c>
      <c r="D165">
        <v>40.59</v>
      </c>
      <c r="E165">
        <v>0.028847898595297</v>
      </c>
      <c r="F165">
        <v>0.0714285714285714</v>
      </c>
      <c r="G165">
        <v>0.03713728933664817</v>
      </c>
      <c r="H165">
        <v>1.170936203983135</v>
      </c>
      <c r="I165">
        <v>431.435615</v>
      </c>
      <c r="J165">
        <v>12.84569807330435</v>
      </c>
      <c r="K165">
        <v>0.3705494316402326</v>
      </c>
      <c r="L165">
        <v>0.878520348107636</v>
      </c>
      <c r="M165">
        <v>43.27</v>
      </c>
      <c r="N165">
        <v>24.34</v>
      </c>
    </row>
    <row r="166" spans="1:14">
      <c r="A166" s="1" t="s">
        <v>178</v>
      </c>
      <c r="B166">
        <f>HYPERLINK("https://www.suredividend.com/sure-analysis-AMP/","Ameriprise Financial Inc")</f>
        <v>0</v>
      </c>
      <c r="C166" t="s">
        <v>3184</v>
      </c>
      <c r="D166">
        <v>331.37</v>
      </c>
      <c r="E166">
        <v>0.01629598334188369</v>
      </c>
      <c r="F166">
        <v>0.08000000000000007</v>
      </c>
      <c r="G166">
        <v>0.08447177119769855</v>
      </c>
      <c r="H166">
        <v>5.168941585567798</v>
      </c>
      <c r="I166">
        <v>34007.211751</v>
      </c>
      <c r="J166">
        <v>14.47731449600255</v>
      </c>
      <c r="K166">
        <v>0.2434734614021572</v>
      </c>
      <c r="L166">
        <v>1.230949214395673</v>
      </c>
      <c r="M166">
        <v>356.65</v>
      </c>
      <c r="N166">
        <v>272.72</v>
      </c>
    </row>
    <row r="167" spans="1:14">
      <c r="A167" s="1" t="s">
        <v>179</v>
      </c>
      <c r="B167">
        <f>HYPERLINK("https://www.suredividend.com/sure-analysis-research-database/","Ampio Pharmaceuticals Inc")</f>
        <v>0</v>
      </c>
      <c r="C167" t="s">
        <v>3180</v>
      </c>
      <c r="D167">
        <v>2.54</v>
      </c>
      <c r="E167">
        <v>0</v>
      </c>
      <c r="F167" t="s">
        <v>3182</v>
      </c>
      <c r="G167" t="s">
        <v>3182</v>
      </c>
      <c r="H167">
        <v>0</v>
      </c>
      <c r="I167">
        <v>1.917924</v>
      </c>
      <c r="J167">
        <v>0</v>
      </c>
      <c r="K167" t="s">
        <v>3182</v>
      </c>
      <c r="M167">
        <v>13.2</v>
      </c>
      <c r="N167">
        <v>2.35</v>
      </c>
    </row>
    <row r="168" spans="1:14">
      <c r="A168" s="1" t="s">
        <v>180</v>
      </c>
      <c r="B168">
        <f>HYPERLINK("https://www.suredividend.com/sure-analysis-research-database/","Amphastar Pharmaceuticals Inc")</f>
        <v>0</v>
      </c>
      <c r="C168" t="s">
        <v>3180</v>
      </c>
      <c r="D168">
        <v>45.45</v>
      </c>
      <c r="E168">
        <v>0</v>
      </c>
      <c r="F168" t="s">
        <v>3182</v>
      </c>
      <c r="G168" t="s">
        <v>3182</v>
      </c>
      <c r="H168">
        <v>0</v>
      </c>
      <c r="I168">
        <v>2193.8715</v>
      </c>
      <c r="J168">
        <v>21.52057031870752</v>
      </c>
      <c r="K168">
        <v>0</v>
      </c>
      <c r="L168">
        <v>0.59524634335497</v>
      </c>
      <c r="M168">
        <v>67.66</v>
      </c>
      <c r="N168">
        <v>26.76</v>
      </c>
    </row>
    <row r="169" spans="1:14">
      <c r="A169" s="1" t="s">
        <v>181</v>
      </c>
      <c r="B169">
        <f>HYPERLINK("https://www.suredividend.com/sure-analysis-research-database/","Alpha Metallurgical Resources Inc")</f>
        <v>0</v>
      </c>
      <c r="C169" t="s">
        <v>3182</v>
      </c>
      <c r="D169">
        <v>218.01</v>
      </c>
      <c r="E169">
        <v>0.00849061503392</v>
      </c>
      <c r="F169" t="s">
        <v>3182</v>
      </c>
      <c r="G169" t="s">
        <v>3182</v>
      </c>
      <c r="H169">
        <v>1.851038983545021</v>
      </c>
      <c r="I169">
        <v>3307.310023</v>
      </c>
      <c r="J169">
        <v>3.573063787859636</v>
      </c>
      <c r="K169">
        <v>0.0325028794301145</v>
      </c>
      <c r="L169">
        <v>0.854368510843143</v>
      </c>
      <c r="M169">
        <v>267.6</v>
      </c>
      <c r="N169">
        <v>129.46</v>
      </c>
    </row>
    <row r="170" spans="1:14">
      <c r="A170" s="1" t="s">
        <v>182</v>
      </c>
      <c r="B170">
        <f>HYPERLINK("https://www.suredividend.com/sure-analysis-research-database/","American River Bancshares")</f>
        <v>0</v>
      </c>
      <c r="C170" t="s">
        <v>3184</v>
      </c>
      <c r="D170">
        <v>20.91</v>
      </c>
      <c r="E170">
        <v>0</v>
      </c>
      <c r="F170" t="s">
        <v>3182</v>
      </c>
      <c r="G170" t="s">
        <v>3182</v>
      </c>
      <c r="H170">
        <v>0.210000000894069</v>
      </c>
      <c r="I170">
        <v>0</v>
      </c>
      <c r="J170">
        <v>0</v>
      </c>
      <c r="K170" t="s">
        <v>3182</v>
      </c>
    </row>
    <row r="171" spans="1:14">
      <c r="A171" s="1" t="s">
        <v>183</v>
      </c>
      <c r="B171">
        <f>HYPERLINK("https://www.suredividend.com/sure-analysis-research-database/","Ameresco Inc.")</f>
        <v>0</v>
      </c>
      <c r="C171" t="s">
        <v>3183</v>
      </c>
      <c r="D171">
        <v>27.14</v>
      </c>
      <c r="E171">
        <v>0</v>
      </c>
      <c r="F171" t="s">
        <v>3182</v>
      </c>
      <c r="G171" t="s">
        <v>3182</v>
      </c>
      <c r="H171">
        <v>0</v>
      </c>
      <c r="I171">
        <v>928.188</v>
      </c>
      <c r="J171">
        <v>0</v>
      </c>
      <c r="K171" t="s">
        <v>3182</v>
      </c>
      <c r="L171">
        <v>2.060450577813287</v>
      </c>
      <c r="M171">
        <v>68.75</v>
      </c>
      <c r="N171">
        <v>24.95</v>
      </c>
    </row>
    <row r="172" spans="1:14">
      <c r="A172" s="1" t="s">
        <v>184</v>
      </c>
      <c r="B172">
        <f>HYPERLINK("https://www.suredividend.com/sure-analysis-research-database/","A-Mark Precious Metals Inc")</f>
        <v>0</v>
      </c>
      <c r="C172" t="s">
        <v>3184</v>
      </c>
      <c r="D172">
        <v>26.83</v>
      </c>
      <c r="E172">
        <v>0.028092020934929</v>
      </c>
      <c r="F172" t="s">
        <v>3182</v>
      </c>
      <c r="G172" t="s">
        <v>3182</v>
      </c>
      <c r="H172">
        <v>0.753708921684163</v>
      </c>
      <c r="I172">
        <v>630.691254</v>
      </c>
      <c r="J172">
        <v>0</v>
      </c>
      <c r="K172" t="s">
        <v>3182</v>
      </c>
      <c r="L172">
        <v>0.7208957878127731</v>
      </c>
      <c r="M172">
        <v>39.27</v>
      </c>
      <c r="N172">
        <v>24.41</v>
      </c>
    </row>
    <row r="173" spans="1:14">
      <c r="A173" s="1" t="s">
        <v>185</v>
      </c>
      <c r="B173">
        <f>HYPERLINK("https://www.suredividend.com/sure-analysis-research-database/","Amyris Inc")</f>
        <v>0</v>
      </c>
      <c r="C173" t="s">
        <v>3181</v>
      </c>
      <c r="D173">
        <v>0.05</v>
      </c>
      <c r="E173">
        <v>0</v>
      </c>
      <c r="F173" t="s">
        <v>3182</v>
      </c>
      <c r="G173" t="s">
        <v>3182</v>
      </c>
      <c r="H173">
        <v>0</v>
      </c>
      <c r="I173">
        <v>0</v>
      </c>
      <c r="J173">
        <v>0</v>
      </c>
      <c r="K173" t="s">
        <v>3182</v>
      </c>
    </row>
    <row r="174" spans="1:14">
      <c r="A174" s="1" t="s">
        <v>186</v>
      </c>
      <c r="B174">
        <f>HYPERLINK("https://www.suredividend.com/sure-analysis-research-database/","Amneal Pharmaceuticals Inc")</f>
        <v>0</v>
      </c>
      <c r="C174" t="s">
        <v>3180</v>
      </c>
      <c r="D174">
        <v>4.15</v>
      </c>
      <c r="E174">
        <v>0</v>
      </c>
      <c r="F174" t="s">
        <v>3182</v>
      </c>
      <c r="G174" t="s">
        <v>3182</v>
      </c>
      <c r="H174">
        <v>0</v>
      </c>
      <c r="I174">
        <v>639.909084</v>
      </c>
      <c r="J174" t="s">
        <v>3182</v>
      </c>
      <c r="K174">
        <v>-0</v>
      </c>
      <c r="L174">
        <v>1.522567641247704</v>
      </c>
      <c r="M174">
        <v>4.74</v>
      </c>
      <c r="N174">
        <v>1.24</v>
      </c>
    </row>
    <row r="175" spans="1:14">
      <c r="A175" s="1" t="s">
        <v>187</v>
      </c>
      <c r="B175">
        <f>HYPERLINK("https://www.suredividend.com/sure-analysis-research-database/","American Shared Hospital Services")</f>
        <v>0</v>
      </c>
      <c r="C175" t="s">
        <v>3180</v>
      </c>
      <c r="D175">
        <v>2.33</v>
      </c>
      <c r="E175">
        <v>0</v>
      </c>
      <c r="F175" t="s">
        <v>3182</v>
      </c>
      <c r="G175" t="s">
        <v>3182</v>
      </c>
      <c r="H175">
        <v>0</v>
      </c>
      <c r="I175">
        <v>14.54852</v>
      </c>
      <c r="J175">
        <v>0</v>
      </c>
      <c r="K175" t="s">
        <v>3182</v>
      </c>
      <c r="L175">
        <v>0.413934542499478</v>
      </c>
      <c r="M175">
        <v>3.75</v>
      </c>
      <c r="N175">
        <v>2.28</v>
      </c>
    </row>
    <row r="176" spans="1:14">
      <c r="A176" s="1" t="s">
        <v>188</v>
      </c>
      <c r="B176">
        <f>HYPERLINK("https://www.suredividend.com/sure-analysis-research-database/","American Superconductor Corp.")</f>
        <v>0</v>
      </c>
      <c r="C176" t="s">
        <v>3183</v>
      </c>
      <c r="D176">
        <v>7.26</v>
      </c>
      <c r="E176">
        <v>0</v>
      </c>
      <c r="F176" t="s">
        <v>3182</v>
      </c>
      <c r="G176" t="s">
        <v>3182</v>
      </c>
      <c r="H176">
        <v>0</v>
      </c>
      <c r="I176">
        <v>219.869811</v>
      </c>
      <c r="J176" t="s">
        <v>3182</v>
      </c>
      <c r="K176">
        <v>-0</v>
      </c>
      <c r="L176">
        <v>2.118468863971541</v>
      </c>
      <c r="M176">
        <v>17.37</v>
      </c>
      <c r="N176">
        <v>3.2</v>
      </c>
    </row>
    <row r="177" spans="1:14">
      <c r="A177" s="1" t="s">
        <v>189</v>
      </c>
      <c r="B177">
        <f>HYPERLINK("https://www.suredividend.com/sure-analysis-research-database/","Amerisafe Inc")</f>
        <v>0</v>
      </c>
      <c r="C177" t="s">
        <v>3184</v>
      </c>
      <c r="D177">
        <v>51.04</v>
      </c>
      <c r="E177">
        <v>0.025604575242315</v>
      </c>
      <c r="F177">
        <v>0.09677419354838723</v>
      </c>
      <c r="G177">
        <v>-0.3726900522567038</v>
      </c>
      <c r="H177">
        <v>1.306857520367791</v>
      </c>
      <c r="I177">
        <v>979.036469</v>
      </c>
      <c r="J177">
        <v>15.36828300698532</v>
      </c>
      <c r="K177">
        <v>0.3948210031322631</v>
      </c>
      <c r="L177">
        <v>0.5282115875103081</v>
      </c>
      <c r="M177">
        <v>57.3</v>
      </c>
      <c r="N177">
        <v>46.31</v>
      </c>
    </row>
    <row r="178" spans="1:14">
      <c r="A178" s="1" t="s">
        <v>190</v>
      </c>
      <c r="B178">
        <f>HYPERLINK("https://www.suredividend.com/sure-analysis-research-database/","American Software Inc.")</f>
        <v>0</v>
      </c>
      <c r="C178" t="s">
        <v>3185</v>
      </c>
      <c r="D178">
        <v>10.86</v>
      </c>
      <c r="E178">
        <v>0.039967829982126</v>
      </c>
      <c r="F178">
        <v>0</v>
      </c>
      <c r="G178">
        <v>0</v>
      </c>
      <c r="H178">
        <v>0.434050633605891</v>
      </c>
      <c r="I178">
        <v>351.265212</v>
      </c>
      <c r="J178">
        <v>0</v>
      </c>
      <c r="K178" t="s">
        <v>3182</v>
      </c>
      <c r="L178">
        <v>0.800190961063529</v>
      </c>
      <c r="M178">
        <v>16.96</v>
      </c>
      <c r="N178">
        <v>10.01</v>
      </c>
    </row>
    <row r="179" spans="1:14">
      <c r="A179" s="1" t="s">
        <v>191</v>
      </c>
      <c r="B179">
        <f>HYPERLINK("https://www.suredividend.com/sure-analysis-AMT/","American Tower Corp.")</f>
        <v>0</v>
      </c>
      <c r="C179" t="s">
        <v>3187</v>
      </c>
      <c r="D179">
        <v>184.15</v>
      </c>
      <c r="E179">
        <v>0.03518870486016834</v>
      </c>
      <c r="F179">
        <v>0.1020408163265307</v>
      </c>
      <c r="G179">
        <v>0.1403735763502532</v>
      </c>
      <c r="H179">
        <v>6.226669572393653</v>
      </c>
      <c r="I179">
        <v>85844.30648</v>
      </c>
      <c r="J179">
        <v>120.1291722357962</v>
      </c>
      <c r="K179">
        <v>4.069718674767093</v>
      </c>
      <c r="L179">
        <v>0.9937393071207381</v>
      </c>
      <c r="M179">
        <v>229.61</v>
      </c>
      <c r="N179">
        <v>153.03</v>
      </c>
    </row>
    <row r="180" spans="1:14">
      <c r="A180" s="1" t="s">
        <v>192</v>
      </c>
      <c r="B180">
        <f>HYPERLINK("https://www.suredividend.com/sure-analysis-research-database/","AMTD IDEA Group")</f>
        <v>0</v>
      </c>
      <c r="C180" t="s">
        <v>3184</v>
      </c>
      <c r="D180">
        <v>0.745</v>
      </c>
      <c r="E180">
        <v>0</v>
      </c>
      <c r="F180" t="s">
        <v>3182</v>
      </c>
      <c r="G180" t="s">
        <v>3182</v>
      </c>
      <c r="H180">
        <v>0</v>
      </c>
      <c r="I180">
        <v>91.49027599999999</v>
      </c>
      <c r="J180">
        <v>0</v>
      </c>
      <c r="K180" t="s">
        <v>3182</v>
      </c>
      <c r="L180">
        <v>0.262913041020354</v>
      </c>
      <c r="M180">
        <v>2.56</v>
      </c>
      <c r="N180">
        <v>0.7049000000000001</v>
      </c>
    </row>
    <row r="181" spans="1:14">
      <c r="A181" s="1" t="s">
        <v>193</v>
      </c>
      <c r="B181">
        <f>HYPERLINK("https://www.suredividend.com/sure-analysis-research-database/","Aemetis Inc")</f>
        <v>0</v>
      </c>
      <c r="C181" t="s">
        <v>3189</v>
      </c>
      <c r="D181">
        <v>4.85</v>
      </c>
      <c r="E181">
        <v>0</v>
      </c>
      <c r="F181" t="s">
        <v>3182</v>
      </c>
      <c r="G181" t="s">
        <v>3182</v>
      </c>
      <c r="H181">
        <v>0</v>
      </c>
      <c r="I181">
        <v>188.4225</v>
      </c>
      <c r="J181">
        <v>0</v>
      </c>
      <c r="K181" t="s">
        <v>3182</v>
      </c>
      <c r="L181">
        <v>3.110388279007376</v>
      </c>
      <c r="M181">
        <v>8.99</v>
      </c>
      <c r="N181">
        <v>1.16</v>
      </c>
    </row>
    <row r="182" spans="1:14">
      <c r="A182" s="1" t="s">
        <v>194</v>
      </c>
      <c r="B182">
        <f>HYPERLINK("https://www.suredividend.com/sure-analysis-research-database/","American Woodmark Corp.")</f>
        <v>0</v>
      </c>
      <c r="C182" t="s">
        <v>3186</v>
      </c>
      <c r="D182">
        <v>70.86</v>
      </c>
      <c r="E182">
        <v>0</v>
      </c>
      <c r="F182" t="s">
        <v>3182</v>
      </c>
      <c r="G182" t="s">
        <v>3182</v>
      </c>
      <c r="H182">
        <v>0</v>
      </c>
      <c r="I182">
        <v>1163.564991</v>
      </c>
      <c r="J182">
        <v>10.43527969184686</v>
      </c>
      <c r="K182">
        <v>0</v>
      </c>
      <c r="L182">
        <v>1.481048857200235</v>
      </c>
      <c r="M182">
        <v>80.27</v>
      </c>
      <c r="N182">
        <v>43.27</v>
      </c>
    </row>
    <row r="183" spans="1:14">
      <c r="A183" s="1" t="s">
        <v>195</v>
      </c>
      <c r="B183">
        <f>HYPERLINK("https://www.suredividend.com/sure-analysis-research-database/","Amazon.com Inc.")</f>
        <v>0</v>
      </c>
      <c r="C183" t="s">
        <v>3186</v>
      </c>
      <c r="D183">
        <v>138.07</v>
      </c>
      <c r="E183">
        <v>0</v>
      </c>
      <c r="F183" t="s">
        <v>3182</v>
      </c>
      <c r="G183" t="s">
        <v>3182</v>
      </c>
      <c r="H183">
        <v>0</v>
      </c>
      <c r="I183">
        <v>1426819.603009</v>
      </c>
      <c r="J183">
        <v>71.06029199706259</v>
      </c>
      <c r="K183">
        <v>0</v>
      </c>
      <c r="L183">
        <v>1.652951146531733</v>
      </c>
      <c r="M183">
        <v>145.86</v>
      </c>
      <c r="N183">
        <v>81.43000000000001</v>
      </c>
    </row>
    <row r="184" spans="1:14">
      <c r="A184" s="1" t="s">
        <v>196</v>
      </c>
      <c r="B184">
        <f>HYPERLINK("https://www.suredividend.com/sure-analysis-research-database/","Autonation Inc.")</f>
        <v>0</v>
      </c>
      <c r="C184" t="s">
        <v>3186</v>
      </c>
      <c r="D184">
        <v>135.12</v>
      </c>
      <c r="E184">
        <v>0</v>
      </c>
      <c r="F184" t="s">
        <v>3182</v>
      </c>
      <c r="G184" t="s">
        <v>3182</v>
      </c>
      <c r="H184">
        <v>0</v>
      </c>
      <c r="I184">
        <v>5745.365771</v>
      </c>
      <c r="J184">
        <v>5.264698773279575</v>
      </c>
      <c r="K184">
        <v>0</v>
      </c>
      <c r="L184">
        <v>1.045693510008999</v>
      </c>
      <c r="M184">
        <v>182.08</v>
      </c>
      <c r="N184">
        <v>99.72</v>
      </c>
    </row>
    <row r="185" spans="1:14">
      <c r="A185" s="1" t="s">
        <v>197</v>
      </c>
      <c r="B185">
        <f>HYPERLINK("https://www.suredividend.com/sure-analysis-research-database/","AnaptysBio Inc")</f>
        <v>0</v>
      </c>
      <c r="C185" t="s">
        <v>3180</v>
      </c>
      <c r="D185">
        <v>16.2</v>
      </c>
      <c r="E185">
        <v>0</v>
      </c>
      <c r="F185" t="s">
        <v>3182</v>
      </c>
      <c r="G185" t="s">
        <v>3182</v>
      </c>
      <c r="H185">
        <v>0</v>
      </c>
      <c r="I185">
        <v>430.038364</v>
      </c>
      <c r="J185" t="s">
        <v>3182</v>
      </c>
      <c r="K185">
        <v>-0</v>
      </c>
      <c r="L185">
        <v>0.428888107898502</v>
      </c>
      <c r="M185">
        <v>32.44</v>
      </c>
      <c r="N185">
        <v>15.88</v>
      </c>
    </row>
    <row r="186" spans="1:14">
      <c r="A186" s="1" t="s">
        <v>198</v>
      </c>
      <c r="B186">
        <f>HYPERLINK("https://www.suredividend.com/sure-analysis-research-database/","American National Group Inc")</f>
        <v>0</v>
      </c>
      <c r="C186" t="s">
        <v>3184</v>
      </c>
      <c r="D186">
        <v>190.02</v>
      </c>
      <c r="E186">
        <v>0</v>
      </c>
      <c r="F186" t="s">
        <v>3182</v>
      </c>
      <c r="G186" t="s">
        <v>3182</v>
      </c>
      <c r="H186">
        <v>2.459999978542328</v>
      </c>
      <c r="I186">
        <v>0</v>
      </c>
      <c r="J186">
        <v>0</v>
      </c>
      <c r="K186">
        <v>0.1036662443549232</v>
      </c>
    </row>
    <row r="187" spans="1:14">
      <c r="A187" s="1" t="s">
        <v>199</v>
      </c>
      <c r="B187">
        <f>HYPERLINK("https://www.suredividend.com/sure-analysis-ANDE/","Andersons Inc.")</f>
        <v>0</v>
      </c>
      <c r="C187" t="s">
        <v>3188</v>
      </c>
      <c r="D187">
        <v>51.98</v>
      </c>
      <c r="E187">
        <v>0.01423624470950366</v>
      </c>
      <c r="F187">
        <v>0.0277777777777779</v>
      </c>
      <c r="G187">
        <v>0.01705528617103536</v>
      </c>
      <c r="H187">
        <v>0.732306276353739</v>
      </c>
      <c r="I187">
        <v>1754.438628</v>
      </c>
      <c r="J187">
        <v>20.38433132267509</v>
      </c>
      <c r="K187">
        <v>0.2905977287118012</v>
      </c>
      <c r="L187">
        <v>0.8989645517119731</v>
      </c>
      <c r="M187">
        <v>53.08</v>
      </c>
      <c r="N187">
        <v>32.38</v>
      </c>
    </row>
    <row r="188" spans="1:14">
      <c r="A188" s="1" t="s">
        <v>200</v>
      </c>
      <c r="B188">
        <f>HYPERLINK("https://www.suredividend.com/sure-analysis-research-database/","Arista Networks Inc")</f>
        <v>0</v>
      </c>
      <c r="C188" t="s">
        <v>3185</v>
      </c>
      <c r="D188">
        <v>211.68</v>
      </c>
      <c r="E188">
        <v>0</v>
      </c>
      <c r="F188" t="s">
        <v>3182</v>
      </c>
      <c r="G188" t="s">
        <v>3182</v>
      </c>
      <c r="H188">
        <v>0</v>
      </c>
      <c r="I188">
        <v>65853.678059</v>
      </c>
      <c r="J188">
        <v>34.64571698611197</v>
      </c>
      <c r="K188">
        <v>0</v>
      </c>
      <c r="L188">
        <v>1.327322916347722</v>
      </c>
      <c r="M188">
        <v>214.26</v>
      </c>
      <c r="N188">
        <v>107.57</v>
      </c>
    </row>
    <row r="189" spans="1:14">
      <c r="A189" s="1" t="s">
        <v>201</v>
      </c>
      <c r="B189">
        <f>HYPERLINK("https://www.suredividend.com/sure-analysis-research-database/","Abercrombie &amp; Fitch Co.")</f>
        <v>0</v>
      </c>
      <c r="C189" t="s">
        <v>3186</v>
      </c>
      <c r="D189">
        <v>63.31</v>
      </c>
      <c r="E189">
        <v>0</v>
      </c>
      <c r="F189" t="s">
        <v>3182</v>
      </c>
      <c r="G189" t="s">
        <v>3182</v>
      </c>
      <c r="H189">
        <v>0</v>
      </c>
      <c r="I189">
        <v>3188.106165</v>
      </c>
      <c r="J189">
        <v>29.0928070248394</v>
      </c>
      <c r="K189">
        <v>0</v>
      </c>
      <c r="L189">
        <v>1.403717895589042</v>
      </c>
      <c r="M189">
        <v>64.84999999999999</v>
      </c>
      <c r="N189">
        <v>16.77</v>
      </c>
    </row>
    <row r="190" spans="1:14">
      <c r="A190" s="1" t="s">
        <v>202</v>
      </c>
      <c r="B190">
        <f>HYPERLINK("https://www.suredividend.com/sure-analysis-research-database/","Angi Inc")</f>
        <v>0</v>
      </c>
      <c r="C190" t="s">
        <v>3191</v>
      </c>
      <c r="D190">
        <v>1.6</v>
      </c>
      <c r="E190">
        <v>0</v>
      </c>
      <c r="F190" t="s">
        <v>3182</v>
      </c>
      <c r="G190" t="s">
        <v>3182</v>
      </c>
      <c r="H190">
        <v>0</v>
      </c>
      <c r="I190">
        <v>134.822845</v>
      </c>
      <c r="J190" t="s">
        <v>3182</v>
      </c>
      <c r="K190">
        <v>-0</v>
      </c>
      <c r="L190">
        <v>1.563164710086878</v>
      </c>
      <c r="M190">
        <v>4.18</v>
      </c>
      <c r="N190">
        <v>1.55</v>
      </c>
    </row>
    <row r="191" spans="1:14">
      <c r="A191" s="1" t="s">
        <v>203</v>
      </c>
      <c r="B191">
        <f>HYPERLINK("https://www.suredividend.com/sure-analysis-research-database/","Angiodynamic Inc")</f>
        <v>0</v>
      </c>
      <c r="C191" t="s">
        <v>3180</v>
      </c>
      <c r="D191">
        <v>6.49</v>
      </c>
      <c r="E191">
        <v>0</v>
      </c>
      <c r="F191" t="s">
        <v>3182</v>
      </c>
      <c r="G191" t="s">
        <v>3182</v>
      </c>
      <c r="H191">
        <v>0</v>
      </c>
      <c r="I191">
        <v>258.6047</v>
      </c>
      <c r="J191">
        <v>40.11863172354949</v>
      </c>
      <c r="K191">
        <v>0</v>
      </c>
      <c r="L191">
        <v>0.634971562051711</v>
      </c>
      <c r="M191">
        <v>15.96</v>
      </c>
      <c r="N191">
        <v>6.06</v>
      </c>
    </row>
    <row r="192" spans="1:14">
      <c r="A192" s="1" t="s">
        <v>204</v>
      </c>
      <c r="B192">
        <f>HYPERLINK("https://www.suredividend.com/sure-analysis-research-database/","Anworth Mortgage Asset Corp.")</f>
        <v>0</v>
      </c>
      <c r="C192" t="s">
        <v>3187</v>
      </c>
      <c r="D192">
        <v>2.98</v>
      </c>
      <c r="E192">
        <v>0.077325378967178</v>
      </c>
      <c r="F192" t="s">
        <v>3182</v>
      </c>
      <c r="G192" t="s">
        <v>3182</v>
      </c>
      <c r="H192">
        <v>0.23042962932219</v>
      </c>
      <c r="I192">
        <v>295.925866</v>
      </c>
      <c r="J192" t="s">
        <v>3182</v>
      </c>
      <c r="K192" t="s">
        <v>3182</v>
      </c>
      <c r="L192">
        <v>1.59387389050198</v>
      </c>
      <c r="M192">
        <v>3.19</v>
      </c>
      <c r="N192">
        <v>0.6996</v>
      </c>
    </row>
    <row r="193" spans="1:14">
      <c r="A193" s="1" t="s">
        <v>205</v>
      </c>
      <c r="B193">
        <f>HYPERLINK("https://www.suredividend.com/sure-analysis-research-database/","Anika Therapeutics Inc.")</f>
        <v>0</v>
      </c>
      <c r="C193" t="s">
        <v>3180</v>
      </c>
      <c r="D193">
        <v>18.99</v>
      </c>
      <c r="E193">
        <v>0</v>
      </c>
      <c r="F193" t="s">
        <v>3182</v>
      </c>
      <c r="G193" t="s">
        <v>3182</v>
      </c>
      <c r="H193">
        <v>0</v>
      </c>
      <c r="I193">
        <v>277.844817</v>
      </c>
      <c r="J193" t="s">
        <v>3182</v>
      </c>
      <c r="K193">
        <v>-0</v>
      </c>
      <c r="L193">
        <v>0.8066606564981781</v>
      </c>
      <c r="M193">
        <v>32.51</v>
      </c>
      <c r="N193">
        <v>16.54</v>
      </c>
    </row>
    <row r="194" spans="1:14">
      <c r="A194" s="1" t="s">
        <v>206</v>
      </c>
      <c r="B194">
        <f>HYPERLINK("https://www.suredividend.com/sure-analysis-research-database/","ANI Pharmaceuticals Inc")</f>
        <v>0</v>
      </c>
      <c r="C194" t="s">
        <v>3180</v>
      </c>
      <c r="D194">
        <v>62.56</v>
      </c>
      <c r="E194">
        <v>0</v>
      </c>
      <c r="F194" t="s">
        <v>3182</v>
      </c>
      <c r="G194" t="s">
        <v>3182</v>
      </c>
      <c r="H194">
        <v>0</v>
      </c>
      <c r="I194">
        <v>1268.766723</v>
      </c>
      <c r="J194" t="s">
        <v>3182</v>
      </c>
      <c r="K194">
        <v>-0</v>
      </c>
      <c r="L194">
        <v>0.9405249722495871</v>
      </c>
      <c r="M194">
        <v>65.89</v>
      </c>
      <c r="N194">
        <v>32.16</v>
      </c>
    </row>
    <row r="195" spans="1:14">
      <c r="A195" s="1" t="s">
        <v>207</v>
      </c>
      <c r="B195">
        <f>HYPERLINK("https://www.suredividend.com/sure-analysis-research-database/","Anixa Biosciences Inc")</f>
        <v>0</v>
      </c>
      <c r="C195" t="s">
        <v>3180</v>
      </c>
      <c r="D195">
        <v>3.2</v>
      </c>
      <c r="E195">
        <v>0</v>
      </c>
      <c r="F195" t="s">
        <v>3182</v>
      </c>
      <c r="G195" t="s">
        <v>3182</v>
      </c>
      <c r="H195">
        <v>0</v>
      </c>
      <c r="I195">
        <v>99.42407</v>
      </c>
      <c r="J195">
        <v>0</v>
      </c>
      <c r="K195" t="s">
        <v>3182</v>
      </c>
      <c r="L195">
        <v>0.9844640571841621</v>
      </c>
      <c r="M195">
        <v>6.45</v>
      </c>
      <c r="N195">
        <v>2.84</v>
      </c>
    </row>
    <row r="196" spans="1:14">
      <c r="A196" s="1" t="s">
        <v>208</v>
      </c>
      <c r="B196">
        <f>HYPERLINK("https://www.suredividend.com/sure-analysis-research-database/","Ansys Inc.")</f>
        <v>0</v>
      </c>
      <c r="C196" t="s">
        <v>3185</v>
      </c>
      <c r="D196">
        <v>272.85</v>
      </c>
      <c r="E196">
        <v>0</v>
      </c>
      <c r="F196" t="s">
        <v>3182</v>
      </c>
      <c r="G196" t="s">
        <v>3182</v>
      </c>
      <c r="H196">
        <v>0</v>
      </c>
      <c r="I196">
        <v>23703.244299</v>
      </c>
      <c r="J196">
        <v>45.22915698007901</v>
      </c>
      <c r="K196">
        <v>0</v>
      </c>
      <c r="L196">
        <v>1.449027321998094</v>
      </c>
      <c r="M196">
        <v>351.23</v>
      </c>
      <c r="N196">
        <v>207.85</v>
      </c>
    </row>
    <row r="197" spans="1:14">
      <c r="A197" s="1" t="s">
        <v>209</v>
      </c>
      <c r="B197">
        <f>HYPERLINK("https://www.suredividend.com/sure-analysis-AON/","Aon plc.")</f>
        <v>0</v>
      </c>
      <c r="C197" t="s">
        <v>3184</v>
      </c>
      <c r="D197">
        <v>321.25</v>
      </c>
      <c r="E197">
        <v>0.007657587548638132</v>
      </c>
      <c r="F197" t="s">
        <v>3182</v>
      </c>
      <c r="G197" t="s">
        <v>3182</v>
      </c>
      <c r="H197">
        <v>2.398149443469958</v>
      </c>
      <c r="I197">
        <v>64319.500831</v>
      </c>
      <c r="J197">
        <v>0</v>
      </c>
      <c r="K197" t="s">
        <v>3182</v>
      </c>
      <c r="L197">
        <v>0.669501613623508</v>
      </c>
      <c r="M197">
        <v>346.01</v>
      </c>
      <c r="N197">
        <v>272.28</v>
      </c>
    </row>
    <row r="198" spans="1:14">
      <c r="A198" s="1" t="s">
        <v>210</v>
      </c>
      <c r="B198">
        <f>HYPERLINK("https://www.suredividend.com/sure-analysis-AOS/","A.O. Smith Corp.")</f>
        <v>0</v>
      </c>
      <c r="C198" t="s">
        <v>3183</v>
      </c>
      <c r="D198">
        <v>71.34999999999999</v>
      </c>
      <c r="E198">
        <v>0.01793973370707779</v>
      </c>
      <c r="F198">
        <v>0.06666666666666643</v>
      </c>
      <c r="G198">
        <v>0.07781806771272581</v>
      </c>
      <c r="H198">
        <v>1.211999629045216</v>
      </c>
      <c r="I198">
        <v>10900.533851</v>
      </c>
      <c r="J198">
        <v>29.29062393917112</v>
      </c>
      <c r="K198">
        <v>0.6152282380940183</v>
      </c>
      <c r="L198">
        <v>1.05121804053473</v>
      </c>
      <c r="M198">
        <v>76.27</v>
      </c>
      <c r="N198">
        <v>53.98</v>
      </c>
    </row>
    <row r="199" spans="1:14">
      <c r="A199" s="1" t="s">
        <v>211</v>
      </c>
      <c r="B199">
        <f>HYPERLINK("https://www.suredividend.com/sure-analysis-research-database/","Alpha &amp; Omega Semiconductor Ltd")</f>
        <v>0</v>
      </c>
      <c r="C199" t="s">
        <v>3185</v>
      </c>
      <c r="D199">
        <v>24.85</v>
      </c>
      <c r="E199">
        <v>0</v>
      </c>
      <c r="F199" t="s">
        <v>3182</v>
      </c>
      <c r="G199" t="s">
        <v>3182</v>
      </c>
      <c r="H199">
        <v>0</v>
      </c>
      <c r="I199">
        <v>688.5024989999999</v>
      </c>
      <c r="J199">
        <v>55.68606432384342</v>
      </c>
      <c r="K199">
        <v>0</v>
      </c>
      <c r="L199">
        <v>1.81142284658222</v>
      </c>
      <c r="M199">
        <v>38.87</v>
      </c>
      <c r="N199">
        <v>20.64</v>
      </c>
    </row>
    <row r="200" spans="1:14">
      <c r="A200" s="1" t="s">
        <v>212</v>
      </c>
      <c r="B200">
        <f>HYPERLINK("https://www.suredividend.com/sure-analysis-research-database/","Ampco-Pittsburgh Corp.")</f>
        <v>0</v>
      </c>
      <c r="C200" t="s">
        <v>3183</v>
      </c>
      <c r="D200">
        <v>2.81</v>
      </c>
      <c r="E200">
        <v>0</v>
      </c>
      <c r="F200" t="s">
        <v>3182</v>
      </c>
      <c r="G200" t="s">
        <v>3182</v>
      </c>
      <c r="H200">
        <v>0</v>
      </c>
      <c r="I200">
        <v>55.822755</v>
      </c>
      <c r="J200">
        <v>22.62778868666397</v>
      </c>
      <c r="K200">
        <v>0</v>
      </c>
      <c r="L200">
        <v>0.6898141190652061</v>
      </c>
      <c r="M200">
        <v>4</v>
      </c>
      <c r="N200">
        <v>2.15</v>
      </c>
    </row>
    <row r="201" spans="1:14">
      <c r="A201" s="1" t="s">
        <v>213</v>
      </c>
      <c r="B201">
        <f>HYPERLINK("https://www.suredividend.com/sure-analysis-APA/","APA Corporation")</f>
        <v>0</v>
      </c>
      <c r="C201" t="s">
        <v>3189</v>
      </c>
      <c r="D201">
        <v>39.69</v>
      </c>
      <c r="E201">
        <v>0.02519526329050139</v>
      </c>
      <c r="F201">
        <v>0</v>
      </c>
      <c r="G201">
        <v>0</v>
      </c>
      <c r="H201">
        <v>0.983321158459261</v>
      </c>
      <c r="I201">
        <v>12195.363885</v>
      </c>
      <c r="J201">
        <v>8.195809062338709</v>
      </c>
      <c r="K201">
        <v>0.2087730697365735</v>
      </c>
      <c r="L201">
        <v>1.170193359058106</v>
      </c>
      <c r="M201">
        <v>48.75</v>
      </c>
      <c r="N201">
        <v>29.92</v>
      </c>
    </row>
    <row r="202" spans="1:14">
      <c r="A202" s="1" t="s">
        <v>214</v>
      </c>
      <c r="B202">
        <f>HYPERLINK("https://www.suredividend.com/sure-analysis-APAM/","Artisan Partners Asset Management Inc")</f>
        <v>0</v>
      </c>
      <c r="C202" t="s">
        <v>3184</v>
      </c>
      <c r="D202">
        <v>35.85</v>
      </c>
      <c r="E202">
        <v>0.07252440725244072</v>
      </c>
      <c r="F202">
        <v>0.08928571428571419</v>
      </c>
      <c r="G202">
        <v>-0.01262234262166806</v>
      </c>
      <c r="H202">
        <v>2.171672030580569</v>
      </c>
      <c r="I202">
        <v>2454.563711</v>
      </c>
      <c r="J202">
        <v>13.34712896515536</v>
      </c>
      <c r="K202">
        <v>0.7437232981440306</v>
      </c>
      <c r="L202">
        <v>1.381805192116369</v>
      </c>
      <c r="M202">
        <v>42.27</v>
      </c>
      <c r="N202">
        <v>27.07</v>
      </c>
    </row>
    <row r="203" spans="1:14">
      <c r="A203" s="1" t="s">
        <v>215</v>
      </c>
      <c r="B203">
        <f>HYPERLINK("https://www.suredividend.com/sure-analysis-APD/","Air Products &amp; Chemicals Inc.")</f>
        <v>0</v>
      </c>
      <c r="C203" t="s">
        <v>3181</v>
      </c>
      <c r="D203">
        <v>289.62</v>
      </c>
      <c r="E203">
        <v>0.0241696015468545</v>
      </c>
      <c r="F203">
        <v>0.08024691358024683</v>
      </c>
      <c r="G203">
        <v>0.09730933214999515</v>
      </c>
      <c r="H203">
        <v>6.808866844667215</v>
      </c>
      <c r="I203">
        <v>64338.724161</v>
      </c>
      <c r="J203">
        <v>29.36902549907336</v>
      </c>
      <c r="K203">
        <v>0.6919580126694325</v>
      </c>
      <c r="L203">
        <v>0.755731558148204</v>
      </c>
      <c r="M203">
        <v>320.91</v>
      </c>
      <c r="N203">
        <v>259.09</v>
      </c>
    </row>
    <row r="204" spans="1:14">
      <c r="A204" s="1" t="s">
        <v>216</v>
      </c>
      <c r="B204">
        <f>HYPERLINK("https://www.suredividend.com/sure-analysis-research-database/","Applied Dna Sciences Inc")</f>
        <v>0</v>
      </c>
      <c r="C204" t="s">
        <v>3183</v>
      </c>
      <c r="D204">
        <v>0.8200000000000001</v>
      </c>
      <c r="E204">
        <v>0</v>
      </c>
      <c r="F204" t="s">
        <v>3182</v>
      </c>
      <c r="G204" t="s">
        <v>3182</v>
      </c>
      <c r="H204">
        <v>0</v>
      </c>
      <c r="I204">
        <v>11.199986</v>
      </c>
      <c r="J204">
        <v>0</v>
      </c>
      <c r="K204" t="s">
        <v>3182</v>
      </c>
      <c r="L204">
        <v>0.204285506078661</v>
      </c>
      <c r="M204">
        <v>1.93</v>
      </c>
      <c r="N204">
        <v>0.75</v>
      </c>
    </row>
    <row r="205" spans="1:14">
      <c r="A205" s="1" t="s">
        <v>217</v>
      </c>
      <c r="B205">
        <f>HYPERLINK("https://www.suredividend.com/sure-analysis-research-database/","American Public Education Inc")</f>
        <v>0</v>
      </c>
      <c r="C205" t="s">
        <v>3188</v>
      </c>
      <c r="D205">
        <v>4.21</v>
      </c>
      <c r="E205">
        <v>0</v>
      </c>
      <c r="F205" t="s">
        <v>3182</v>
      </c>
      <c r="G205" t="s">
        <v>3182</v>
      </c>
      <c r="H205">
        <v>0</v>
      </c>
      <c r="I205">
        <v>74.83022</v>
      </c>
      <c r="J205" t="s">
        <v>3182</v>
      </c>
      <c r="K205">
        <v>-0</v>
      </c>
      <c r="L205">
        <v>0.7025701640022951</v>
      </c>
      <c r="M205">
        <v>14.22</v>
      </c>
      <c r="N205">
        <v>3.76</v>
      </c>
    </row>
    <row r="206" spans="1:14">
      <c r="A206" s="1" t="s">
        <v>218</v>
      </c>
      <c r="B206">
        <f>HYPERLINK("https://www.suredividend.com/sure-analysis-research-database/","Apollo Endosurgery Inc")</f>
        <v>0</v>
      </c>
      <c r="C206" t="s">
        <v>3180</v>
      </c>
      <c r="D206">
        <v>10</v>
      </c>
      <c r="E206">
        <v>0</v>
      </c>
      <c r="F206" t="s">
        <v>3182</v>
      </c>
      <c r="G206" t="s">
        <v>3182</v>
      </c>
      <c r="H206">
        <v>0</v>
      </c>
      <c r="I206">
        <v>0</v>
      </c>
      <c r="J206">
        <v>0</v>
      </c>
      <c r="K206" t="s">
        <v>3182</v>
      </c>
    </row>
    <row r="207" spans="1:14">
      <c r="A207" s="1" t="s">
        <v>219</v>
      </c>
      <c r="B207">
        <f>HYPERLINK("https://www.suredividend.com/sure-analysis-research-database/","Apex Global Brands Inc")</f>
        <v>0</v>
      </c>
      <c r="C207" t="s">
        <v>3186</v>
      </c>
      <c r="D207">
        <v>6.89</v>
      </c>
      <c r="E207">
        <v>0</v>
      </c>
      <c r="F207" t="s">
        <v>3182</v>
      </c>
      <c r="G207" t="s">
        <v>3182</v>
      </c>
      <c r="H207">
        <v>0</v>
      </c>
      <c r="I207">
        <v>0</v>
      </c>
      <c r="J207">
        <v>0</v>
      </c>
      <c r="K207">
        <v>-0</v>
      </c>
    </row>
    <row r="208" spans="1:14">
      <c r="A208" s="1" t="s">
        <v>220</v>
      </c>
      <c r="B208">
        <f>HYPERLINK("https://www.suredividend.com/sure-analysis-APH/","Amphenol Corp.")</f>
        <v>0</v>
      </c>
      <c r="C208" t="s">
        <v>3185</v>
      </c>
      <c r="D208">
        <v>83.09999999999999</v>
      </c>
      <c r="E208">
        <v>0.01010830324909747</v>
      </c>
      <c r="F208">
        <v>0</v>
      </c>
      <c r="G208">
        <v>-0.01802983762992094</v>
      </c>
      <c r="H208">
        <v>0.836810315386156</v>
      </c>
      <c r="I208">
        <v>49719.580196</v>
      </c>
      <c r="J208">
        <v>25.8807871511634</v>
      </c>
      <c r="K208">
        <v>0.269938811414889</v>
      </c>
      <c r="L208">
        <v>1.03803624933355</v>
      </c>
      <c r="M208">
        <v>90.06</v>
      </c>
      <c r="N208">
        <v>71.64</v>
      </c>
    </row>
    <row r="209" spans="1:14">
      <c r="A209" s="1" t="s">
        <v>221</v>
      </c>
      <c r="B209">
        <f>HYPERLINK("https://www.suredividend.com/sure-analysis-APLE/","Apple Hospitality REIT Inc")</f>
        <v>0</v>
      </c>
      <c r="C209" t="s">
        <v>3187</v>
      </c>
      <c r="D209">
        <v>16.66</v>
      </c>
      <c r="E209">
        <v>0.05762304921968787</v>
      </c>
      <c r="F209">
        <v>0</v>
      </c>
      <c r="G209">
        <v>0.09856054330611763</v>
      </c>
      <c r="H209">
        <v>0.9325402108151091</v>
      </c>
      <c r="I209">
        <v>3811.792873</v>
      </c>
      <c r="J209">
        <v>23.87294340026304</v>
      </c>
      <c r="K209">
        <v>1.33774237672516</v>
      </c>
      <c r="L209">
        <v>0.9870409112078701</v>
      </c>
      <c r="M209">
        <v>17.37</v>
      </c>
      <c r="N209">
        <v>13.08</v>
      </c>
    </row>
    <row r="210" spans="1:14">
      <c r="A210" s="1" t="s">
        <v>222</v>
      </c>
      <c r="B210">
        <f>HYPERLINK("https://www.suredividend.com/sure-analysis-research-database/","Apellis Pharmaceuticals Inc")</f>
        <v>0</v>
      </c>
      <c r="C210" t="s">
        <v>3180</v>
      </c>
      <c r="D210">
        <v>49.32</v>
      </c>
      <c r="E210">
        <v>0</v>
      </c>
      <c r="F210" t="s">
        <v>3182</v>
      </c>
      <c r="G210" t="s">
        <v>3182</v>
      </c>
      <c r="H210">
        <v>0</v>
      </c>
      <c r="I210">
        <v>5844.417287</v>
      </c>
      <c r="J210">
        <v>0</v>
      </c>
      <c r="K210" t="s">
        <v>3182</v>
      </c>
      <c r="L210">
        <v>0.749548309616615</v>
      </c>
      <c r="M210">
        <v>94.75</v>
      </c>
      <c r="N210">
        <v>19.83</v>
      </c>
    </row>
    <row r="211" spans="1:14">
      <c r="A211" s="1" t="s">
        <v>223</v>
      </c>
      <c r="B211">
        <f>HYPERLINK("https://www.suredividend.com/sure-analysis-APOG/","Apogee Enterprises Inc.")</f>
        <v>0</v>
      </c>
      <c r="C211" t="s">
        <v>3183</v>
      </c>
      <c r="D211">
        <v>43.57</v>
      </c>
      <c r="E211">
        <v>0.02203350929538673</v>
      </c>
      <c r="F211">
        <v>0.09090909090909083</v>
      </c>
      <c r="G211">
        <v>0.06520853753344791</v>
      </c>
      <c r="H211">
        <v>0.9465989810313181</v>
      </c>
      <c r="I211">
        <v>961.692594</v>
      </c>
      <c r="J211">
        <v>9.53209034086629</v>
      </c>
      <c r="K211">
        <v>0.2089622474682821</v>
      </c>
      <c r="L211">
        <v>1.037160034754901</v>
      </c>
      <c r="M211">
        <v>51.1</v>
      </c>
      <c r="N211">
        <v>36.02</v>
      </c>
    </row>
    <row r="212" spans="1:14">
      <c r="A212" s="1" t="s">
        <v>224</v>
      </c>
      <c r="B212">
        <f>HYPERLINK("https://www.suredividend.com/sure-analysis-research-database/","Appfolio Inc")</f>
        <v>0</v>
      </c>
      <c r="C212" t="s">
        <v>3185</v>
      </c>
      <c r="D212">
        <v>187.94</v>
      </c>
      <c r="E212">
        <v>0</v>
      </c>
      <c r="F212" t="s">
        <v>3182</v>
      </c>
      <c r="G212" t="s">
        <v>3182</v>
      </c>
      <c r="H212">
        <v>0</v>
      </c>
      <c r="I212">
        <v>4068.090979</v>
      </c>
      <c r="J212" t="s">
        <v>3182</v>
      </c>
      <c r="K212">
        <v>-0</v>
      </c>
      <c r="L212">
        <v>1.404283780009575</v>
      </c>
      <c r="M212">
        <v>207.4</v>
      </c>
      <c r="N212">
        <v>100.2</v>
      </c>
    </row>
    <row r="213" spans="1:14">
      <c r="A213" s="1" t="s">
        <v>225</v>
      </c>
      <c r="B213">
        <f>HYPERLINK("https://www.suredividend.com/sure-analysis-research-database/","Appian Corp")</f>
        <v>0</v>
      </c>
      <c r="C213" t="s">
        <v>3185</v>
      </c>
      <c r="D213">
        <v>41.72</v>
      </c>
      <c r="E213">
        <v>0</v>
      </c>
      <c r="F213" t="s">
        <v>3182</v>
      </c>
      <c r="G213" t="s">
        <v>3182</v>
      </c>
      <c r="H213">
        <v>0</v>
      </c>
      <c r="I213">
        <v>1736.359115</v>
      </c>
      <c r="J213" t="s">
        <v>3182</v>
      </c>
      <c r="K213">
        <v>-0</v>
      </c>
      <c r="L213">
        <v>1.776565686478691</v>
      </c>
      <c r="M213">
        <v>54.26</v>
      </c>
      <c r="N213">
        <v>29.8</v>
      </c>
    </row>
    <row r="214" spans="1:14">
      <c r="A214" s="1" t="s">
        <v>226</v>
      </c>
      <c r="B214">
        <f>HYPERLINK("https://www.suredividend.com/sure-analysis-research-database/","Digital Turbine Inc")</f>
        <v>0</v>
      </c>
      <c r="C214" t="s">
        <v>3185</v>
      </c>
      <c r="D214">
        <v>4.83</v>
      </c>
      <c r="E214">
        <v>0</v>
      </c>
      <c r="F214" t="s">
        <v>3182</v>
      </c>
      <c r="G214" t="s">
        <v>3182</v>
      </c>
      <c r="H214">
        <v>0</v>
      </c>
      <c r="I214">
        <v>485.497796</v>
      </c>
      <c r="J214" t="s">
        <v>3182</v>
      </c>
      <c r="K214">
        <v>-0</v>
      </c>
      <c r="L214">
        <v>3.683646717388609</v>
      </c>
      <c r="M214">
        <v>20.4</v>
      </c>
      <c r="N214">
        <v>4.34</v>
      </c>
    </row>
    <row r="215" spans="1:14">
      <c r="A215" s="1" t="s">
        <v>227</v>
      </c>
      <c r="B215">
        <f>HYPERLINK("https://www.suredividend.com/sure-analysis-research-database/","Blue Apron Holdings Inc")</f>
        <v>0</v>
      </c>
      <c r="C215" t="s">
        <v>3186</v>
      </c>
      <c r="D215">
        <v>12.96</v>
      </c>
      <c r="E215">
        <v>0</v>
      </c>
      <c r="F215" t="s">
        <v>3182</v>
      </c>
      <c r="G215" t="s">
        <v>3182</v>
      </c>
      <c r="H215">
        <v>0</v>
      </c>
      <c r="I215">
        <v>82.616682</v>
      </c>
      <c r="J215" t="s">
        <v>3182</v>
      </c>
      <c r="K215">
        <v>-0</v>
      </c>
      <c r="L215">
        <v>0.7964195747250291</v>
      </c>
      <c r="M215">
        <v>26</v>
      </c>
      <c r="N215">
        <v>4.7</v>
      </c>
    </row>
    <row r="216" spans="1:14">
      <c r="A216" s="1" t="s">
        <v>228</v>
      </c>
      <c r="B216">
        <f>HYPERLINK("https://www.suredividend.com/sure-analysis-research-database/","Alpha Pro Tech Ltd.")</f>
        <v>0</v>
      </c>
      <c r="C216" t="s">
        <v>3183</v>
      </c>
      <c r="D216">
        <v>3.99</v>
      </c>
      <c r="E216">
        <v>0</v>
      </c>
      <c r="F216" t="s">
        <v>3182</v>
      </c>
      <c r="G216" t="s">
        <v>3182</v>
      </c>
      <c r="H216">
        <v>0</v>
      </c>
      <c r="I216">
        <v>47.533692</v>
      </c>
      <c r="J216">
        <v>0</v>
      </c>
      <c r="K216" t="s">
        <v>3182</v>
      </c>
      <c r="L216">
        <v>0.470768178632205</v>
      </c>
      <c r="M216">
        <v>5.24</v>
      </c>
      <c r="N216">
        <v>3.68</v>
      </c>
    </row>
    <row r="217" spans="1:14">
      <c r="A217" s="1" t="s">
        <v>229</v>
      </c>
      <c r="B217">
        <f>HYPERLINK("https://www.suredividend.com/sure-analysis-research-database/","Preferred Apartment Communities Inc")</f>
        <v>0</v>
      </c>
      <c r="C217" t="s">
        <v>3187</v>
      </c>
      <c r="D217">
        <v>25</v>
      </c>
      <c r="E217">
        <v>0.020817931770079</v>
      </c>
      <c r="F217" t="s">
        <v>3182</v>
      </c>
      <c r="G217" t="s">
        <v>3182</v>
      </c>
      <c r="H217">
        <v>0.520448294251993</v>
      </c>
      <c r="I217">
        <v>1611.074075</v>
      </c>
      <c r="J217" t="s">
        <v>3182</v>
      </c>
      <c r="K217" t="s">
        <v>3182</v>
      </c>
      <c r="L217">
        <v>0.182588529607265</v>
      </c>
      <c r="M217">
        <v>25.62</v>
      </c>
      <c r="N217">
        <v>9.32</v>
      </c>
    </row>
    <row r="218" spans="1:14">
      <c r="A218" s="1" t="s">
        <v>230</v>
      </c>
      <c r="B218">
        <f>HYPERLINK("https://www.suredividend.com/sure-analysis-research-database/","Aptiv PLC")</f>
        <v>0</v>
      </c>
      <c r="C218" t="s">
        <v>3186</v>
      </c>
      <c r="D218">
        <v>77.2</v>
      </c>
      <c r="E218">
        <v>0</v>
      </c>
      <c r="F218" t="s">
        <v>3182</v>
      </c>
      <c r="G218" t="s">
        <v>3182</v>
      </c>
      <c r="H218">
        <v>0</v>
      </c>
      <c r="I218">
        <v>21834.034802</v>
      </c>
      <c r="J218">
        <v>24.42285772035794</v>
      </c>
      <c r="K218">
        <v>0</v>
      </c>
      <c r="L218">
        <v>1.388083680278823</v>
      </c>
      <c r="M218">
        <v>124.88</v>
      </c>
      <c r="N218">
        <v>71.01000000000001</v>
      </c>
    </row>
    <row r="219" spans="1:14">
      <c r="A219" s="1" t="s">
        <v>231</v>
      </c>
      <c r="B219">
        <f>HYPERLINK("https://www.suredividend.com/sure-analysis-research-database/","Aptevo Therapeutics Inc")</f>
        <v>0</v>
      </c>
      <c r="C219" t="s">
        <v>3180</v>
      </c>
      <c r="D219">
        <v>0.2691</v>
      </c>
      <c r="E219">
        <v>0</v>
      </c>
      <c r="F219" t="s">
        <v>3182</v>
      </c>
      <c r="G219" t="s">
        <v>3182</v>
      </c>
      <c r="H219">
        <v>0</v>
      </c>
      <c r="I219">
        <v>3.101032</v>
      </c>
      <c r="J219">
        <v>0</v>
      </c>
      <c r="K219" t="s">
        <v>3182</v>
      </c>
      <c r="L219">
        <v>0.5968079534407961</v>
      </c>
      <c r="M219">
        <v>7.2</v>
      </c>
      <c r="N219">
        <v>0.2503</v>
      </c>
    </row>
    <row r="220" spans="1:14">
      <c r="A220" s="1" t="s">
        <v>232</v>
      </c>
      <c r="B220">
        <f>HYPERLINK("https://www.suredividend.com/sure-analysis-research-database/","Apyx Medical Corp")</f>
        <v>0</v>
      </c>
      <c r="C220" t="s">
        <v>3180</v>
      </c>
      <c r="D220">
        <v>2.5</v>
      </c>
      <c r="E220">
        <v>0</v>
      </c>
      <c r="F220" t="s">
        <v>3182</v>
      </c>
      <c r="G220" t="s">
        <v>3182</v>
      </c>
      <c r="H220">
        <v>0</v>
      </c>
      <c r="I220">
        <v>86.609638</v>
      </c>
      <c r="J220">
        <v>0</v>
      </c>
      <c r="K220" t="s">
        <v>3182</v>
      </c>
      <c r="L220">
        <v>-0.110844213476369</v>
      </c>
      <c r="M220">
        <v>7.97</v>
      </c>
      <c r="N220">
        <v>1.31</v>
      </c>
    </row>
    <row r="221" spans="1:14">
      <c r="A221" s="1" t="s">
        <v>233</v>
      </c>
      <c r="B221">
        <f>HYPERLINK("https://www.suredividend.com/sure-analysis-research-database/","AquaBounty Technologies Inc")</f>
        <v>0</v>
      </c>
      <c r="C221" t="s">
        <v>3188</v>
      </c>
      <c r="D221">
        <v>2.75</v>
      </c>
      <c r="E221">
        <v>0</v>
      </c>
      <c r="F221" t="s">
        <v>3182</v>
      </c>
      <c r="G221" t="s">
        <v>3182</v>
      </c>
      <c r="H221">
        <v>0</v>
      </c>
      <c r="I221">
        <v>196.235185</v>
      </c>
      <c r="J221">
        <v>0</v>
      </c>
      <c r="K221" t="s">
        <v>3182</v>
      </c>
      <c r="L221">
        <v>0.9805352422193571</v>
      </c>
      <c r="M221">
        <v>23.6</v>
      </c>
      <c r="N221">
        <v>2.2</v>
      </c>
    </row>
    <row r="222" spans="1:14">
      <c r="A222" s="1" t="s">
        <v>234</v>
      </c>
      <c r="B222">
        <f>HYPERLINK("https://www.suredividend.com/sure-analysis-research-database/","Aqua Metals Inc")</f>
        <v>0</v>
      </c>
      <c r="C222" t="s">
        <v>3183</v>
      </c>
      <c r="D222">
        <v>0.9039</v>
      </c>
      <c r="E222">
        <v>0</v>
      </c>
      <c r="F222" t="s">
        <v>3182</v>
      </c>
      <c r="G222" t="s">
        <v>3182</v>
      </c>
      <c r="H222">
        <v>0</v>
      </c>
      <c r="I222">
        <v>93.268794</v>
      </c>
      <c r="J222">
        <v>0</v>
      </c>
      <c r="K222" t="s">
        <v>3182</v>
      </c>
      <c r="L222">
        <v>1.17700429103063</v>
      </c>
      <c r="M222">
        <v>1.77</v>
      </c>
      <c r="N222">
        <v>0.5</v>
      </c>
    </row>
    <row r="223" spans="1:14">
      <c r="A223" s="1" t="s">
        <v>235</v>
      </c>
      <c r="B223">
        <f>HYPERLINK("https://www.suredividend.com/sure-analysis-research-database/","Evoqua Water Technologies Corp")</f>
        <v>0</v>
      </c>
      <c r="C223" t="s">
        <v>3183</v>
      </c>
      <c r="D223">
        <v>49.88</v>
      </c>
      <c r="E223">
        <v>0</v>
      </c>
      <c r="F223" t="s">
        <v>3182</v>
      </c>
      <c r="G223" t="s">
        <v>3182</v>
      </c>
      <c r="H223">
        <v>0</v>
      </c>
      <c r="I223">
        <v>6103.836949</v>
      </c>
      <c r="J223">
        <v>77.47854112844468</v>
      </c>
      <c r="K223">
        <v>0</v>
      </c>
      <c r="L223">
        <v>1.363793607468413</v>
      </c>
      <c r="M223">
        <v>52.3</v>
      </c>
      <c r="N223">
        <v>30.44</v>
      </c>
    </row>
    <row r="224" spans="1:14">
      <c r="A224" s="1" t="s">
        <v>236</v>
      </c>
      <c r="B224">
        <f>HYPERLINK("https://www.suredividend.com/sure-analysis-research-database/","Antero Resources Corp")</f>
        <v>0</v>
      </c>
      <c r="C224" t="s">
        <v>3189</v>
      </c>
      <c r="D224">
        <v>30.43</v>
      </c>
      <c r="E224">
        <v>0</v>
      </c>
      <c r="F224" t="s">
        <v>3182</v>
      </c>
      <c r="G224" t="s">
        <v>3182</v>
      </c>
      <c r="H224">
        <v>0</v>
      </c>
      <c r="I224">
        <v>9145.55392</v>
      </c>
      <c r="J224">
        <v>10.41100063634739</v>
      </c>
      <c r="K224">
        <v>0</v>
      </c>
      <c r="L224">
        <v>1.292672661699848</v>
      </c>
      <c r="M224">
        <v>40.19</v>
      </c>
      <c r="N224">
        <v>19.91</v>
      </c>
    </row>
    <row r="225" spans="1:14">
      <c r="A225" s="1" t="s">
        <v>237</v>
      </c>
      <c r="B225">
        <f>HYPERLINK("https://www.suredividend.com/sure-analysis-research-database/","American Renal Associates Holdings Inc.")</f>
        <v>0</v>
      </c>
      <c r="C225" t="s">
        <v>3180</v>
      </c>
      <c r="D225">
        <v>11.5</v>
      </c>
      <c r="E225">
        <v>0</v>
      </c>
      <c r="F225" t="s">
        <v>3182</v>
      </c>
      <c r="G225" t="s">
        <v>3182</v>
      </c>
      <c r="H225">
        <v>0</v>
      </c>
      <c r="I225">
        <v>397.247893</v>
      </c>
      <c r="J225">
        <v>0</v>
      </c>
      <c r="K225" t="s">
        <v>3182</v>
      </c>
      <c r="L225">
        <v>0.754764657166842</v>
      </c>
      <c r="M225">
        <v>11.79</v>
      </c>
      <c r="N225">
        <v>5.78</v>
      </c>
    </row>
    <row r="226" spans="1:14">
      <c r="A226" s="1" t="s">
        <v>238</v>
      </c>
      <c r="B226">
        <f>HYPERLINK("https://www.suredividend.com/sure-analysis-research-database/","Aravive Inc")</f>
        <v>0</v>
      </c>
      <c r="C226" t="s">
        <v>3180</v>
      </c>
      <c r="D226">
        <v>0.1271</v>
      </c>
      <c r="E226">
        <v>0</v>
      </c>
      <c r="F226" t="s">
        <v>3182</v>
      </c>
      <c r="G226" t="s">
        <v>3182</v>
      </c>
      <c r="H226">
        <v>0</v>
      </c>
      <c r="I226">
        <v>9.349812999999999</v>
      </c>
      <c r="J226" t="s">
        <v>3182</v>
      </c>
      <c r="K226">
        <v>-0</v>
      </c>
      <c r="L226">
        <v>2.067215555057556</v>
      </c>
      <c r="M226">
        <v>2.46</v>
      </c>
      <c r="N226">
        <v>0.11</v>
      </c>
    </row>
    <row r="227" spans="1:14">
      <c r="A227" s="1" t="s">
        <v>239</v>
      </c>
      <c r="B227">
        <f>HYPERLINK("https://www.suredividend.com/sure-analysis-research-database/","Accuray Inc")</f>
        <v>0</v>
      </c>
      <c r="C227" t="s">
        <v>3180</v>
      </c>
      <c r="D227">
        <v>2.62</v>
      </c>
      <c r="E227">
        <v>0</v>
      </c>
      <c r="F227" t="s">
        <v>3182</v>
      </c>
      <c r="G227" t="s">
        <v>3182</v>
      </c>
      <c r="H227">
        <v>0</v>
      </c>
      <c r="I227">
        <v>253.065886</v>
      </c>
      <c r="J227" t="s">
        <v>3182</v>
      </c>
      <c r="K227">
        <v>-0</v>
      </c>
      <c r="L227">
        <v>1.527118990803644</v>
      </c>
      <c r="M227">
        <v>4.3</v>
      </c>
      <c r="N227">
        <v>1.85</v>
      </c>
    </row>
    <row r="228" spans="1:14">
      <c r="A228" s="1" t="s">
        <v>240</v>
      </c>
      <c r="B228">
        <f>HYPERLINK("https://www.suredividend.com/sure-analysis-research-database/","ARC Document Solutions Inc")</f>
        <v>0</v>
      </c>
      <c r="C228" t="s">
        <v>3183</v>
      </c>
      <c r="D228">
        <v>2.88</v>
      </c>
      <c r="E228">
        <v>0.06777042241915</v>
      </c>
      <c r="F228" t="s">
        <v>3182</v>
      </c>
      <c r="G228" t="s">
        <v>3182</v>
      </c>
      <c r="H228">
        <v>0.195178816567153</v>
      </c>
      <c r="I228">
        <v>124.514528</v>
      </c>
      <c r="J228">
        <v>10.53600674225757</v>
      </c>
      <c r="K228">
        <v>0.7154648701141973</v>
      </c>
      <c r="L228">
        <v>0.9233435180856561</v>
      </c>
      <c r="M228">
        <v>3.69</v>
      </c>
      <c r="N228">
        <v>2.35</v>
      </c>
    </row>
    <row r="229" spans="1:14">
      <c r="A229" s="1" t="s">
        <v>241</v>
      </c>
      <c r="B229">
        <f>HYPERLINK("https://www.suredividend.com/sure-analysis-research-database/","ArcBest Corp")</f>
        <v>0</v>
      </c>
      <c r="C229" t="s">
        <v>3183</v>
      </c>
      <c r="D229">
        <v>117.41</v>
      </c>
      <c r="E229">
        <v>0.004073234942559001</v>
      </c>
      <c r="F229">
        <v>0</v>
      </c>
      <c r="G229">
        <v>0.08447177119769855</v>
      </c>
      <c r="H229">
        <v>0.478238514605888</v>
      </c>
      <c r="I229">
        <v>2820.769967</v>
      </c>
      <c r="J229">
        <v>11.85670736869759</v>
      </c>
      <c r="K229">
        <v>0.05039394252959831</v>
      </c>
      <c r="L229">
        <v>1.525886441551433</v>
      </c>
      <c r="M229">
        <v>122.6</v>
      </c>
      <c r="N229">
        <v>67.59</v>
      </c>
    </row>
    <row r="230" spans="1:14">
      <c r="A230" s="1" t="s">
        <v>242</v>
      </c>
      <c r="B230">
        <f>HYPERLINK("https://www.suredividend.com/sure-analysis-research-database/","Arch Resources Inc")</f>
        <v>0</v>
      </c>
      <c r="C230" t="s">
        <v>3189</v>
      </c>
      <c r="D230">
        <v>151.32</v>
      </c>
      <c r="E230">
        <v>0.133494245278362</v>
      </c>
      <c r="F230">
        <v>0</v>
      </c>
      <c r="G230">
        <v>-0.08971789848695988</v>
      </c>
      <c r="H230">
        <v>20.20034919552181</v>
      </c>
      <c r="I230">
        <v>2779.666687</v>
      </c>
      <c r="J230">
        <v>3.391392500951655</v>
      </c>
      <c r="K230">
        <v>0.4809606951314717</v>
      </c>
      <c r="L230">
        <v>0.6982925746319331</v>
      </c>
      <c r="M230">
        <v>175.1</v>
      </c>
      <c r="N230">
        <v>102.23</v>
      </c>
    </row>
    <row r="231" spans="1:14">
      <c r="A231" s="1" t="s">
        <v>243</v>
      </c>
      <c r="B231">
        <f>HYPERLINK("https://www.suredividend.com/sure-analysis-research-database/","Ardelyx Inc")</f>
        <v>0</v>
      </c>
      <c r="C231" t="s">
        <v>3180</v>
      </c>
      <c r="D231">
        <v>4.01</v>
      </c>
      <c r="E231">
        <v>0</v>
      </c>
      <c r="F231" t="s">
        <v>3182</v>
      </c>
      <c r="G231" t="s">
        <v>3182</v>
      </c>
      <c r="H231">
        <v>0</v>
      </c>
      <c r="I231">
        <v>930.872213</v>
      </c>
      <c r="J231">
        <v>0</v>
      </c>
      <c r="K231" t="s">
        <v>3182</v>
      </c>
      <c r="M231">
        <v>5.13</v>
      </c>
      <c r="N231">
        <v>1.16</v>
      </c>
    </row>
    <row r="232" spans="1:14">
      <c r="A232" s="1" t="s">
        <v>244</v>
      </c>
      <c r="B232">
        <f>HYPERLINK("https://www.suredividend.com/sure-analysis-ARE/","Alexandria Real Estate Equities Inc.")</f>
        <v>0</v>
      </c>
      <c r="C232" t="s">
        <v>3187</v>
      </c>
      <c r="D232">
        <v>97.87</v>
      </c>
      <c r="E232">
        <v>0.04945335649330745</v>
      </c>
      <c r="F232">
        <v>0.05084745762711873</v>
      </c>
      <c r="G232">
        <v>0.05034020601589084</v>
      </c>
      <c r="H232">
        <v>4.816153060377202</v>
      </c>
      <c r="I232">
        <v>17007.403879</v>
      </c>
      <c r="J232">
        <v>71.28894613203673</v>
      </c>
      <c r="K232">
        <v>3.415711390338441</v>
      </c>
      <c r="L232">
        <v>1.210112051732442</v>
      </c>
      <c r="M232">
        <v>166.95</v>
      </c>
      <c r="N232">
        <v>90.73</v>
      </c>
    </row>
    <row r="233" spans="1:14">
      <c r="A233" s="1" t="s">
        <v>245</v>
      </c>
      <c r="B233">
        <f>HYPERLINK("https://www.suredividend.com/sure-analysis-research-database/","Ares Management Corp")</f>
        <v>0</v>
      </c>
      <c r="C233" t="s">
        <v>3184</v>
      </c>
      <c r="D233">
        <v>103.53</v>
      </c>
      <c r="E233">
        <v>0.027885160906063</v>
      </c>
      <c r="F233" t="s">
        <v>3182</v>
      </c>
      <c r="G233" t="s">
        <v>3182</v>
      </c>
      <c r="H233">
        <v>2.886950708604765</v>
      </c>
      <c r="I233">
        <v>18775.68315</v>
      </c>
      <c r="J233">
        <v>62.00278432732316</v>
      </c>
      <c r="K233">
        <v>1.72871299916453</v>
      </c>
      <c r="L233">
        <v>1.382949481768989</v>
      </c>
      <c r="M233">
        <v>112.15</v>
      </c>
      <c r="N233">
        <v>64.36</v>
      </c>
    </row>
    <row r="234" spans="1:14">
      <c r="A234" s="1" t="s">
        <v>246</v>
      </c>
      <c r="B234">
        <f>HYPERLINK("https://www.suredividend.com/sure-analysis-research-database/","Argo Group International Holdings Ltd")</f>
        <v>0</v>
      </c>
      <c r="C234" t="s">
        <v>3184</v>
      </c>
      <c r="D234">
        <v>29.93</v>
      </c>
      <c r="E234">
        <v>0.010357500914941</v>
      </c>
      <c r="F234" t="s">
        <v>3182</v>
      </c>
      <c r="G234" t="s">
        <v>3182</v>
      </c>
      <c r="H234">
        <v>0.310000002384185</v>
      </c>
      <c r="I234">
        <v>1053.485089</v>
      </c>
      <c r="J234" t="s">
        <v>3182</v>
      </c>
      <c r="K234" t="s">
        <v>3182</v>
      </c>
      <c r="L234">
        <v>0.37636190413418</v>
      </c>
      <c r="M234">
        <v>30.13</v>
      </c>
      <c r="N234">
        <v>23.29</v>
      </c>
    </row>
    <row r="235" spans="1:14">
      <c r="A235" s="1" t="s">
        <v>247</v>
      </c>
      <c r="B235">
        <f>HYPERLINK("https://www.suredividend.com/sure-analysis-ARI/","Apollo Commercial Real Estate Finance Inc")</f>
        <v>0</v>
      </c>
      <c r="C235" t="s">
        <v>3187</v>
      </c>
      <c r="D235">
        <v>10.51</v>
      </c>
      <c r="E235">
        <v>0.1332064700285442</v>
      </c>
      <c r="F235">
        <v>0</v>
      </c>
      <c r="G235">
        <v>-0.05319173028852708</v>
      </c>
      <c r="H235">
        <v>1.33142967911009</v>
      </c>
      <c r="I235">
        <v>1485.678939</v>
      </c>
      <c r="J235" t="s">
        <v>3182</v>
      </c>
      <c r="K235" t="s">
        <v>3182</v>
      </c>
      <c r="L235">
        <v>1.42481913350449</v>
      </c>
      <c r="M235">
        <v>11.78</v>
      </c>
      <c r="N235">
        <v>7.84</v>
      </c>
    </row>
    <row r="236" spans="1:14">
      <c r="A236" s="1" t="s">
        <v>248</v>
      </c>
      <c r="B236">
        <f>HYPERLINK("https://www.suredividend.com/sure-analysis-research-database/","Ark Restaurants Corp.")</f>
        <v>0</v>
      </c>
      <c r="C236" t="s">
        <v>3186</v>
      </c>
      <c r="D236">
        <v>15.45</v>
      </c>
      <c r="E236">
        <v>0.039430808736981</v>
      </c>
      <c r="F236" t="s">
        <v>3182</v>
      </c>
      <c r="G236" t="s">
        <v>3182</v>
      </c>
      <c r="H236">
        <v>0.6092059949863571</v>
      </c>
      <c r="I236">
        <v>55.684226</v>
      </c>
      <c r="J236">
        <v>0</v>
      </c>
      <c r="K236" t="s">
        <v>3182</v>
      </c>
      <c r="M236">
        <v>19.28</v>
      </c>
      <c r="N236">
        <v>14.73</v>
      </c>
    </row>
    <row r="237" spans="1:14">
      <c r="A237" s="1" t="s">
        <v>249</v>
      </c>
      <c r="B237">
        <f>HYPERLINK("https://www.suredividend.com/sure-analysis-research-database/","American Realty Investors Inc.")</f>
        <v>0</v>
      </c>
      <c r="C237" t="s">
        <v>3187</v>
      </c>
      <c r="D237">
        <v>12.9</v>
      </c>
      <c r="E237">
        <v>0</v>
      </c>
      <c r="F237" t="s">
        <v>3182</v>
      </c>
      <c r="G237" t="s">
        <v>3182</v>
      </c>
      <c r="H237">
        <v>0</v>
      </c>
      <c r="I237">
        <v>208.361355</v>
      </c>
      <c r="J237">
        <v>0.5973217440787091</v>
      </c>
      <c r="K237">
        <v>0</v>
      </c>
      <c r="L237">
        <v>0.305763065564439</v>
      </c>
      <c r="M237">
        <v>31.59</v>
      </c>
      <c r="N237">
        <v>11.69</v>
      </c>
    </row>
    <row r="238" spans="1:14">
      <c r="A238" s="1" t="s">
        <v>250</v>
      </c>
      <c r="B238">
        <f>HYPERLINK("https://www.suredividend.com/sure-analysis-research-database/","Arlo Technologies Inc")</f>
        <v>0</v>
      </c>
      <c r="C238" t="s">
        <v>3183</v>
      </c>
      <c r="D238">
        <v>8.890000000000001</v>
      </c>
      <c r="E238">
        <v>0</v>
      </c>
      <c r="F238" t="s">
        <v>3182</v>
      </c>
      <c r="G238" t="s">
        <v>3182</v>
      </c>
      <c r="H238">
        <v>0</v>
      </c>
      <c r="I238">
        <v>836.148443</v>
      </c>
      <c r="J238" t="s">
        <v>3182</v>
      </c>
      <c r="K238">
        <v>-0</v>
      </c>
      <c r="L238">
        <v>1.823028148021225</v>
      </c>
      <c r="M238">
        <v>11.54</v>
      </c>
      <c r="N238">
        <v>2.93</v>
      </c>
    </row>
    <row r="239" spans="1:14">
      <c r="A239" s="1" t="s">
        <v>251</v>
      </c>
      <c r="B239">
        <f>HYPERLINK("https://www.suredividend.com/sure-analysis-research-database/","Aramark")</f>
        <v>0</v>
      </c>
      <c r="C239" t="s">
        <v>3186</v>
      </c>
      <c r="D239">
        <v>27.87</v>
      </c>
      <c r="E239">
        <v>0.015719239639652</v>
      </c>
      <c r="F239">
        <v>0</v>
      </c>
      <c r="G239">
        <v>0</v>
      </c>
      <c r="H239">
        <v>0.438095208757123</v>
      </c>
      <c r="I239">
        <v>7275.470607</v>
      </c>
      <c r="J239">
        <v>13.36243297515758</v>
      </c>
      <c r="K239">
        <v>0.2920634725047487</v>
      </c>
      <c r="M239">
        <v>45.32</v>
      </c>
      <c r="N239">
        <v>23.95</v>
      </c>
    </row>
    <row r="240" spans="1:14">
      <c r="A240" s="1" t="s">
        <v>252</v>
      </c>
      <c r="B240">
        <f>HYPERLINK("https://www.suredividend.com/sure-analysis-research-database/","Armata Pharmaceuticals Inc")</f>
        <v>0</v>
      </c>
      <c r="C240" t="s">
        <v>3180</v>
      </c>
      <c r="D240">
        <v>2.2901</v>
      </c>
      <c r="E240">
        <v>0</v>
      </c>
      <c r="F240" t="s">
        <v>3182</v>
      </c>
      <c r="G240" t="s">
        <v>3182</v>
      </c>
      <c r="H240">
        <v>0</v>
      </c>
      <c r="I240">
        <v>82.73514299999999</v>
      </c>
      <c r="J240">
        <v>0</v>
      </c>
      <c r="K240" t="s">
        <v>3182</v>
      </c>
      <c r="M240">
        <v>5.26</v>
      </c>
      <c r="N240">
        <v>0.8311000000000001</v>
      </c>
    </row>
    <row r="241" spans="1:14">
      <c r="A241" s="1" t="s">
        <v>253</v>
      </c>
      <c r="B241">
        <f>HYPERLINK("https://www.suredividend.com/sure-analysis-research-database/","Arena Pharmaceuticals Inc")</f>
        <v>0</v>
      </c>
      <c r="C241" t="s">
        <v>3180</v>
      </c>
      <c r="D241">
        <v>99.98999999999999</v>
      </c>
      <c r="E241">
        <v>0</v>
      </c>
      <c r="F241" t="s">
        <v>3182</v>
      </c>
      <c r="G241" t="s">
        <v>3182</v>
      </c>
      <c r="H241">
        <v>0</v>
      </c>
      <c r="I241">
        <v>0</v>
      </c>
      <c r="J241">
        <v>0</v>
      </c>
      <c r="K241">
        <v>-0</v>
      </c>
    </row>
    <row r="242" spans="1:14">
      <c r="A242" s="1" t="s">
        <v>254</v>
      </c>
      <c r="B242">
        <f>HYPERLINK("https://www.suredividend.com/sure-analysis-research-database/","Arconic Corporation")</f>
        <v>0</v>
      </c>
      <c r="C242" t="s">
        <v>3183</v>
      </c>
      <c r="D242">
        <v>29.99</v>
      </c>
      <c r="E242">
        <v>0</v>
      </c>
      <c r="F242" t="s">
        <v>3182</v>
      </c>
      <c r="G242" t="s">
        <v>3182</v>
      </c>
      <c r="H242">
        <v>0</v>
      </c>
      <c r="I242">
        <v>3009.390455</v>
      </c>
      <c r="J242" t="s">
        <v>3182</v>
      </c>
      <c r="K242">
        <v>-0</v>
      </c>
      <c r="L242">
        <v>1.237765426568983</v>
      </c>
      <c r="M242">
        <v>30.02</v>
      </c>
      <c r="N242">
        <v>16.33</v>
      </c>
    </row>
    <row r="243" spans="1:14">
      <c r="A243" s="1" t="s">
        <v>255</v>
      </c>
      <c r="B243">
        <f>HYPERLINK("https://www.suredividend.com/sure-analysis-research-database/","Archrock Inc")</f>
        <v>0</v>
      </c>
      <c r="C243" t="s">
        <v>3189</v>
      </c>
      <c r="D243">
        <v>13.78</v>
      </c>
      <c r="E243">
        <v>0.042674990079185</v>
      </c>
      <c r="F243">
        <v>0.06896551724137945</v>
      </c>
      <c r="G243">
        <v>0.03264620513703265</v>
      </c>
      <c r="H243">
        <v>0.5880613632911731</v>
      </c>
      <c r="I243">
        <v>2156.564157</v>
      </c>
      <c r="J243">
        <v>32.90555337788764</v>
      </c>
      <c r="K243">
        <v>1.382697774021098</v>
      </c>
      <c r="L243">
        <v>1.019440515761441</v>
      </c>
      <c r="M243">
        <v>14.05</v>
      </c>
      <c r="N243">
        <v>7.54</v>
      </c>
    </row>
    <row r="244" spans="1:14">
      <c r="A244" s="1" t="s">
        <v>256</v>
      </c>
      <c r="B244">
        <f>HYPERLINK("https://www.suredividend.com/sure-analysis-AROW/","Arrow Financial Corp.")</f>
        <v>0</v>
      </c>
      <c r="C244" t="s">
        <v>3184</v>
      </c>
      <c r="D244">
        <v>22.025</v>
      </c>
      <c r="E244">
        <v>0.04903518728717367</v>
      </c>
      <c r="F244">
        <v>-1</v>
      </c>
      <c r="G244">
        <v>-1</v>
      </c>
      <c r="H244">
        <v>1.019576680801831</v>
      </c>
      <c r="I244">
        <v>364.581102</v>
      </c>
      <c r="J244">
        <v>9.382153489539103</v>
      </c>
      <c r="K244">
        <v>0.4338624173624812</v>
      </c>
      <c r="L244">
        <v>0.764408416187306</v>
      </c>
      <c r="M244">
        <v>33.34</v>
      </c>
      <c r="N244">
        <v>16.14</v>
      </c>
    </row>
    <row r="245" spans="1:14">
      <c r="A245" s="1" t="s">
        <v>257</v>
      </c>
      <c r="B245">
        <f>HYPERLINK("https://www.suredividend.com/sure-analysis-research-database/","Aerpio Pharmaceuticals Inc")</f>
        <v>0</v>
      </c>
      <c r="C245" t="s">
        <v>3180</v>
      </c>
      <c r="D245">
        <v>2.2</v>
      </c>
      <c r="E245">
        <v>0</v>
      </c>
      <c r="F245" t="s">
        <v>3182</v>
      </c>
      <c r="G245" t="s">
        <v>3182</v>
      </c>
      <c r="H245">
        <v>0</v>
      </c>
      <c r="I245">
        <v>104.853082</v>
      </c>
      <c r="J245">
        <v>0</v>
      </c>
      <c r="K245" t="s">
        <v>3182</v>
      </c>
      <c r="M245">
        <v>3.32</v>
      </c>
      <c r="N245">
        <v>0.9541000000000001</v>
      </c>
    </row>
    <row r="246" spans="1:14">
      <c r="A246" s="1" t="s">
        <v>258</v>
      </c>
      <c r="B246">
        <f>HYPERLINK("https://www.suredividend.com/sure-analysis-ARR/","ARMOUR Residential REIT Inc")</f>
        <v>0</v>
      </c>
      <c r="C246" t="s">
        <v>3187</v>
      </c>
      <c r="D246">
        <v>15.78</v>
      </c>
      <c r="E246">
        <v>0.3041825095057034</v>
      </c>
      <c r="F246">
        <v>4</v>
      </c>
      <c r="G246">
        <v>0.3195079107728942</v>
      </c>
      <c r="H246">
        <v>4.726452103772452</v>
      </c>
      <c r="I246">
        <v>773.14716</v>
      </c>
      <c r="J246" t="s">
        <v>3182</v>
      </c>
      <c r="K246" t="s">
        <v>3182</v>
      </c>
      <c r="L246">
        <v>1.079382679202948</v>
      </c>
      <c r="M246">
        <v>28.79</v>
      </c>
      <c r="N246">
        <v>13.32</v>
      </c>
    </row>
    <row r="247" spans="1:14">
      <c r="A247" s="1" t="s">
        <v>259</v>
      </c>
      <c r="B247">
        <f>HYPERLINK("https://www.suredividend.com/sure-analysis-ARTNA/","Artesian Resources Corp.")</f>
        <v>0</v>
      </c>
      <c r="C247" t="s">
        <v>3190</v>
      </c>
      <c r="D247">
        <v>40.62</v>
      </c>
      <c r="E247">
        <v>0.02806499261447563</v>
      </c>
      <c r="F247">
        <v>0.02011494252873569</v>
      </c>
      <c r="G247">
        <v>0.03226923748308841</v>
      </c>
      <c r="H247">
        <v>1.114188688692443</v>
      </c>
      <c r="I247">
        <v>381.569494</v>
      </c>
      <c r="J247">
        <v>22.96259820184149</v>
      </c>
      <c r="K247">
        <v>0.6440397044464988</v>
      </c>
      <c r="L247">
        <v>0.4759852885854181</v>
      </c>
      <c r="M247">
        <v>62.01</v>
      </c>
      <c r="N247">
        <v>38.76</v>
      </c>
    </row>
    <row r="248" spans="1:14">
      <c r="A248" s="1" t="s">
        <v>260</v>
      </c>
      <c r="B248">
        <f>HYPERLINK("https://www.suredividend.com/sure-analysis-research-database/","Art`s-way Manufacturing Co. Inc.")</f>
        <v>0</v>
      </c>
      <c r="C248" t="s">
        <v>3183</v>
      </c>
      <c r="D248">
        <v>2.035</v>
      </c>
      <c r="E248">
        <v>0</v>
      </c>
      <c r="F248" t="s">
        <v>3182</v>
      </c>
      <c r="G248" t="s">
        <v>3182</v>
      </c>
      <c r="H248">
        <v>0</v>
      </c>
      <c r="I248">
        <v>10.194483</v>
      </c>
      <c r="J248">
        <v>0</v>
      </c>
      <c r="K248" t="s">
        <v>3182</v>
      </c>
      <c r="M248">
        <v>3.11</v>
      </c>
      <c r="N248">
        <v>1.82</v>
      </c>
    </row>
    <row r="249" spans="1:14">
      <c r="A249" s="1" t="s">
        <v>261</v>
      </c>
      <c r="B249">
        <f>HYPERLINK("https://www.suredividend.com/sure-analysis-research-database/","Arvinas Inc")</f>
        <v>0</v>
      </c>
      <c r="C249" t="s">
        <v>3180</v>
      </c>
      <c r="D249">
        <v>16.21</v>
      </c>
      <c r="E249">
        <v>0</v>
      </c>
      <c r="F249" t="s">
        <v>3182</v>
      </c>
      <c r="G249" t="s">
        <v>3182</v>
      </c>
      <c r="H249">
        <v>0</v>
      </c>
      <c r="I249">
        <v>866.992223</v>
      </c>
      <c r="J249" t="s">
        <v>3182</v>
      </c>
      <c r="K249">
        <v>-0</v>
      </c>
      <c r="L249">
        <v>1.728036250788762</v>
      </c>
      <c r="M249">
        <v>57.96</v>
      </c>
      <c r="N249">
        <v>13.57</v>
      </c>
    </row>
    <row r="250" spans="1:14">
      <c r="A250" s="1" t="s">
        <v>262</v>
      </c>
      <c r="B250">
        <f>HYPERLINK("https://www.suredividend.com/sure-analysis-research-database/","Arrow Electronics Inc.")</f>
        <v>0</v>
      </c>
      <c r="C250" t="s">
        <v>3185</v>
      </c>
      <c r="D250">
        <v>119.96</v>
      </c>
      <c r="E250">
        <v>0</v>
      </c>
      <c r="F250" t="s">
        <v>3182</v>
      </c>
      <c r="G250" t="s">
        <v>3182</v>
      </c>
      <c r="H250">
        <v>0</v>
      </c>
      <c r="I250">
        <v>6677.287175</v>
      </c>
      <c r="J250">
        <v>5.554639072497525</v>
      </c>
      <c r="K250">
        <v>0</v>
      </c>
      <c r="L250">
        <v>1.064104734227123</v>
      </c>
      <c r="M250">
        <v>147.42</v>
      </c>
      <c r="N250">
        <v>101.01</v>
      </c>
    </row>
    <row r="251" spans="1:14">
      <c r="A251" s="1" t="s">
        <v>263</v>
      </c>
      <c r="B251">
        <f>HYPERLINK("https://www.suredividend.com/sure-analysis-research-database/","Arrowhead Pharmaceuticals Inc.")</f>
        <v>0</v>
      </c>
      <c r="C251" t="s">
        <v>3180</v>
      </c>
      <c r="D251">
        <v>26.16</v>
      </c>
      <c r="E251">
        <v>0</v>
      </c>
      <c r="F251" t="s">
        <v>3182</v>
      </c>
      <c r="G251" t="s">
        <v>3182</v>
      </c>
      <c r="H251">
        <v>0</v>
      </c>
      <c r="I251">
        <v>2804.16629</v>
      </c>
      <c r="J251" t="s">
        <v>3182</v>
      </c>
      <c r="K251">
        <v>-0</v>
      </c>
      <c r="L251">
        <v>1.386739897264492</v>
      </c>
      <c r="M251">
        <v>42.48</v>
      </c>
      <c r="N251">
        <v>22.87</v>
      </c>
    </row>
    <row r="252" spans="1:14">
      <c r="A252" s="1" t="s">
        <v>264</v>
      </c>
      <c r="B252">
        <f>HYPERLINK("https://www.suredividend.com/sure-analysis-ASB/","Associated Banc-Corp.")</f>
        <v>0</v>
      </c>
      <c r="C252" t="s">
        <v>3184</v>
      </c>
      <c r="D252">
        <v>16.88</v>
      </c>
      <c r="E252">
        <v>0.05213270142180095</v>
      </c>
      <c r="F252">
        <v>0.04999999999999982</v>
      </c>
      <c r="G252">
        <v>0.04316756381013498</v>
      </c>
      <c r="H252">
        <v>0.8247910542892141</v>
      </c>
      <c r="I252">
        <v>2547.862339</v>
      </c>
      <c r="J252">
        <v>6.908295658926499</v>
      </c>
      <c r="K252">
        <v>0.3380291206103336</v>
      </c>
      <c r="L252">
        <v>1.1477880669845</v>
      </c>
      <c r="M252">
        <v>24.41</v>
      </c>
      <c r="N252">
        <v>14.1</v>
      </c>
    </row>
    <row r="253" spans="1:14">
      <c r="A253" s="1" t="s">
        <v>265</v>
      </c>
      <c r="B253">
        <f>HYPERLINK("https://www.suredividend.com/sure-analysis-research-database/","ASGN Inc")</f>
        <v>0</v>
      </c>
      <c r="C253" t="s">
        <v>3183</v>
      </c>
      <c r="D253">
        <v>87.08</v>
      </c>
      <c r="E253">
        <v>0</v>
      </c>
      <c r="F253" t="s">
        <v>3182</v>
      </c>
      <c r="G253" t="s">
        <v>3182</v>
      </c>
      <c r="H253">
        <v>0</v>
      </c>
      <c r="I253">
        <v>4214.672</v>
      </c>
      <c r="J253">
        <v>17.6789932885906</v>
      </c>
      <c r="K253">
        <v>0</v>
      </c>
      <c r="L253">
        <v>1.414571922997824</v>
      </c>
      <c r="M253">
        <v>97.8</v>
      </c>
      <c r="N253">
        <v>63.27</v>
      </c>
    </row>
    <row r="254" spans="1:14">
      <c r="A254" s="1" t="s">
        <v>266</v>
      </c>
      <c r="B254">
        <f>HYPERLINK("https://www.suredividend.com/sure-analysis-research-database/","Ashland Inc")</f>
        <v>0</v>
      </c>
      <c r="C254" t="s">
        <v>3181</v>
      </c>
      <c r="D254">
        <v>76.18000000000001</v>
      </c>
      <c r="E254">
        <v>0.018788477129526</v>
      </c>
      <c r="F254">
        <v>0.1492537313432836</v>
      </c>
      <c r="G254">
        <v>0.09019489529987834</v>
      </c>
      <c r="H254">
        <v>1.431306187727291</v>
      </c>
      <c r="I254">
        <v>3903.540599</v>
      </c>
      <c r="J254">
        <v>16.40143108773109</v>
      </c>
      <c r="K254">
        <v>0.326037855974326</v>
      </c>
      <c r="L254">
        <v>0.80131681273594</v>
      </c>
      <c r="M254">
        <v>112.98</v>
      </c>
      <c r="N254">
        <v>70.81999999999999</v>
      </c>
    </row>
    <row r="255" spans="1:14">
      <c r="A255" s="1" t="s">
        <v>267</v>
      </c>
      <c r="B255">
        <f>HYPERLINK("https://www.suredividend.com/sure-analysis-research-database/","AdvanSix Inc")</f>
        <v>0</v>
      </c>
      <c r="C255" t="s">
        <v>3181</v>
      </c>
      <c r="D255">
        <v>28.07</v>
      </c>
      <c r="E255">
        <v>0.021068768117199</v>
      </c>
      <c r="F255" t="s">
        <v>3182</v>
      </c>
      <c r="G255" t="s">
        <v>3182</v>
      </c>
      <c r="H255">
        <v>0.591400321049783</v>
      </c>
      <c r="I255">
        <v>763.870538</v>
      </c>
      <c r="J255">
        <v>6.860825037812787</v>
      </c>
      <c r="K255">
        <v>0.1516411079614828</v>
      </c>
      <c r="L255">
        <v>1.139823224850912</v>
      </c>
      <c r="M255">
        <v>44.03</v>
      </c>
      <c r="N255">
        <v>26.77</v>
      </c>
    </row>
    <row r="256" spans="1:14">
      <c r="A256" s="1" t="s">
        <v>268</v>
      </c>
      <c r="B256">
        <f>HYPERLINK("https://www.suredividend.com/sure-analysis-research-database/","Assembly Biosciences Inc")</f>
        <v>0</v>
      </c>
      <c r="C256" t="s">
        <v>3180</v>
      </c>
      <c r="D256">
        <v>0.8701000000000001</v>
      </c>
      <c r="E256">
        <v>0</v>
      </c>
      <c r="F256" t="s">
        <v>3182</v>
      </c>
      <c r="G256" t="s">
        <v>3182</v>
      </c>
      <c r="H256">
        <v>0</v>
      </c>
      <c r="I256">
        <v>45.77961</v>
      </c>
      <c r="J256">
        <v>0</v>
      </c>
      <c r="K256" t="s">
        <v>3182</v>
      </c>
      <c r="L256">
        <v>0.8700999649798631</v>
      </c>
      <c r="M256">
        <v>1.78</v>
      </c>
      <c r="N256">
        <v>0.669</v>
      </c>
    </row>
    <row r="257" spans="1:14">
      <c r="A257" s="1" t="s">
        <v>269</v>
      </c>
      <c r="B257">
        <f>HYPERLINK("https://www.suredividend.com/sure-analysis-research-database/","Aspen Aerogels Inc.")</f>
        <v>0</v>
      </c>
      <c r="C257" t="s">
        <v>3183</v>
      </c>
      <c r="D257">
        <v>8.58</v>
      </c>
      <c r="E257">
        <v>0</v>
      </c>
      <c r="F257" t="s">
        <v>3182</v>
      </c>
      <c r="G257" t="s">
        <v>3182</v>
      </c>
      <c r="H257">
        <v>0</v>
      </c>
      <c r="I257">
        <v>602.379827</v>
      </c>
      <c r="J257" t="s">
        <v>3182</v>
      </c>
      <c r="K257">
        <v>-0</v>
      </c>
      <c r="L257">
        <v>2.585183423316143</v>
      </c>
      <c r="M257">
        <v>14.44</v>
      </c>
      <c r="N257">
        <v>5.33</v>
      </c>
    </row>
    <row r="258" spans="1:14">
      <c r="A258" s="1" t="s">
        <v>270</v>
      </c>
      <c r="B258">
        <f>HYPERLINK("https://www.suredividend.com/sure-analysis-research-database/","Altisource Portfolio Solutions S.A.")</f>
        <v>0</v>
      </c>
      <c r="C258" t="s">
        <v>3184</v>
      </c>
      <c r="D258">
        <v>3.81</v>
      </c>
      <c r="E258">
        <v>0</v>
      </c>
      <c r="F258" t="s">
        <v>3182</v>
      </c>
      <c r="G258" t="s">
        <v>3182</v>
      </c>
      <c r="H258">
        <v>0</v>
      </c>
      <c r="I258">
        <v>100.936928</v>
      </c>
      <c r="J258" t="s">
        <v>3182</v>
      </c>
      <c r="K258">
        <v>-0</v>
      </c>
      <c r="L258">
        <v>0.390437488882412</v>
      </c>
      <c r="M258">
        <v>17.67</v>
      </c>
      <c r="N258">
        <v>3.52</v>
      </c>
    </row>
    <row r="259" spans="1:14">
      <c r="A259" s="1" t="s">
        <v>271</v>
      </c>
      <c r="B259">
        <f>HYPERLINK("https://www.suredividend.com/sure-analysis-research-database/","Aspen Group Inc")</f>
        <v>0</v>
      </c>
      <c r="C259" t="s">
        <v>3188</v>
      </c>
      <c r="D259">
        <v>0.1583</v>
      </c>
      <c r="E259">
        <v>0</v>
      </c>
      <c r="F259" t="s">
        <v>3182</v>
      </c>
      <c r="G259" t="s">
        <v>3182</v>
      </c>
      <c r="H259">
        <v>0</v>
      </c>
      <c r="I259">
        <v>4.044256</v>
      </c>
      <c r="J259">
        <v>0</v>
      </c>
      <c r="K259" t="s">
        <v>3182</v>
      </c>
      <c r="M259">
        <v>0.2</v>
      </c>
      <c r="N259">
        <v>0.032</v>
      </c>
    </row>
    <row r="260" spans="1:14">
      <c r="A260" s="1" t="s">
        <v>272</v>
      </c>
      <c r="B260">
        <f>HYPERLINK("https://www.suredividend.com/sure-analysis-research-database/","Assertio Holdings Inc")</f>
        <v>0</v>
      </c>
      <c r="C260" t="s">
        <v>3180</v>
      </c>
      <c r="D260">
        <v>2.13</v>
      </c>
      <c r="E260">
        <v>0</v>
      </c>
      <c r="F260" t="s">
        <v>3182</v>
      </c>
      <c r="G260" t="s">
        <v>3182</v>
      </c>
      <c r="H260">
        <v>0</v>
      </c>
      <c r="I260">
        <v>120.345</v>
      </c>
      <c r="J260">
        <v>1.231617082680912</v>
      </c>
      <c r="K260">
        <v>0</v>
      </c>
      <c r="L260">
        <v>1.397687816715258</v>
      </c>
      <c r="M260">
        <v>8.01</v>
      </c>
      <c r="N260">
        <v>2.06</v>
      </c>
    </row>
    <row r="261" spans="1:14">
      <c r="A261" s="1" t="s">
        <v>273</v>
      </c>
      <c r="B261">
        <f>HYPERLINK("https://www.suredividend.com/sure-analysis-research-database/","Ameriserv Financial Inc")</f>
        <v>0</v>
      </c>
      <c r="C261" t="s">
        <v>3184</v>
      </c>
      <c r="D261">
        <v>2.6</v>
      </c>
      <c r="E261">
        <v>0.04498800423579701</v>
      </c>
      <c r="F261" t="s">
        <v>3182</v>
      </c>
      <c r="G261" t="s">
        <v>3182</v>
      </c>
      <c r="H261">
        <v>0.116968811013073</v>
      </c>
      <c r="I261">
        <v>44.582902</v>
      </c>
      <c r="J261">
        <v>0</v>
      </c>
      <c r="K261" t="s">
        <v>3182</v>
      </c>
      <c r="L261">
        <v>0.100298206680043</v>
      </c>
      <c r="M261">
        <v>3.96</v>
      </c>
      <c r="N261">
        <v>2.37</v>
      </c>
    </row>
    <row r="262" spans="1:14">
      <c r="A262" s="1" t="s">
        <v>274</v>
      </c>
      <c r="B262">
        <f>HYPERLINK("https://www.suredividend.com/sure-analysis-research-database/","Astrotech Corp")</f>
        <v>0</v>
      </c>
      <c r="C262" t="s">
        <v>3183</v>
      </c>
      <c r="D262">
        <v>9.300000000000001</v>
      </c>
      <c r="E262">
        <v>0</v>
      </c>
      <c r="F262" t="s">
        <v>3182</v>
      </c>
      <c r="G262" t="s">
        <v>3182</v>
      </c>
      <c r="H262">
        <v>0</v>
      </c>
      <c r="I262">
        <v>15.82608</v>
      </c>
      <c r="J262" t="s">
        <v>3182</v>
      </c>
      <c r="K262">
        <v>-0</v>
      </c>
      <c r="M262">
        <v>15.11</v>
      </c>
      <c r="N262">
        <v>8.91</v>
      </c>
    </row>
    <row r="263" spans="1:14">
      <c r="A263" s="1" t="s">
        <v>275</v>
      </c>
      <c r="B263">
        <f>HYPERLINK("https://www.suredividend.com/sure-analysis-research-database/","Astec Industries Inc.")</f>
        <v>0</v>
      </c>
      <c r="C263" t="s">
        <v>3183</v>
      </c>
      <c r="D263">
        <v>29.81</v>
      </c>
      <c r="E263">
        <v>0.017326533445522</v>
      </c>
      <c r="F263">
        <v>0</v>
      </c>
      <c r="G263">
        <v>0.03397522653195018</v>
      </c>
      <c r="H263">
        <v>0.516503962011027</v>
      </c>
      <c r="I263">
        <v>677.777152</v>
      </c>
      <c r="J263">
        <v>27.2199659317269</v>
      </c>
      <c r="K263">
        <v>0.4695490563736608</v>
      </c>
      <c r="L263">
        <v>1.02092734098128</v>
      </c>
      <c r="M263">
        <v>56.33</v>
      </c>
      <c r="N263">
        <v>28.97</v>
      </c>
    </row>
    <row r="264" spans="1:14">
      <c r="A264" s="1" t="s">
        <v>276</v>
      </c>
      <c r="B264">
        <f>HYPERLINK("https://www.suredividend.com/sure-analysis-research-database/","Asure Software Inc")</f>
        <v>0</v>
      </c>
      <c r="C264" t="s">
        <v>3185</v>
      </c>
      <c r="D264">
        <v>8.42</v>
      </c>
      <c r="E264">
        <v>0</v>
      </c>
      <c r="F264" t="s">
        <v>3182</v>
      </c>
      <c r="G264" t="s">
        <v>3182</v>
      </c>
      <c r="H264">
        <v>0</v>
      </c>
      <c r="I264">
        <v>204.210496</v>
      </c>
      <c r="J264" t="s">
        <v>3182</v>
      </c>
      <c r="K264">
        <v>-0</v>
      </c>
      <c r="L264">
        <v>1.071962056358947</v>
      </c>
      <c r="M264">
        <v>17.14</v>
      </c>
      <c r="N264">
        <v>6.4</v>
      </c>
    </row>
    <row r="265" spans="1:14">
      <c r="A265" s="1" t="s">
        <v>277</v>
      </c>
      <c r="B265">
        <f>HYPERLINK("https://www.suredividend.com/sure-analysis-research-database/","Amtech Systems Inc.")</f>
        <v>0</v>
      </c>
      <c r="C265" t="s">
        <v>3185</v>
      </c>
      <c r="D265">
        <v>7.26</v>
      </c>
      <c r="E265">
        <v>0</v>
      </c>
      <c r="F265" t="s">
        <v>3182</v>
      </c>
      <c r="G265" t="s">
        <v>3182</v>
      </c>
      <c r="H265">
        <v>0</v>
      </c>
      <c r="I265">
        <v>102.854968</v>
      </c>
      <c r="J265">
        <v>28.44440493915929</v>
      </c>
      <c r="K265">
        <v>0</v>
      </c>
      <c r="L265">
        <v>0.7274790430296031</v>
      </c>
      <c r="M265">
        <v>11.98</v>
      </c>
      <c r="N265">
        <v>6.84</v>
      </c>
    </row>
    <row r="266" spans="1:14">
      <c r="A266" s="1" t="s">
        <v>278</v>
      </c>
      <c r="B266">
        <f>HYPERLINK("https://www.suredividend.com/sure-analysis-research-database/","Alphatec Holdings Inc")</f>
        <v>0</v>
      </c>
      <c r="C266" t="s">
        <v>3180</v>
      </c>
      <c r="D266">
        <v>9.83</v>
      </c>
      <c r="E266">
        <v>0</v>
      </c>
      <c r="F266" t="s">
        <v>3182</v>
      </c>
      <c r="G266" t="s">
        <v>3182</v>
      </c>
      <c r="H266">
        <v>0</v>
      </c>
      <c r="I266">
        <v>1182.738031</v>
      </c>
      <c r="J266" t="s">
        <v>3182</v>
      </c>
      <c r="K266">
        <v>-0</v>
      </c>
      <c r="L266">
        <v>1.330077360006165</v>
      </c>
      <c r="M266">
        <v>19.14</v>
      </c>
      <c r="N266">
        <v>8.66</v>
      </c>
    </row>
    <row r="267" spans="1:14">
      <c r="A267" s="1" t="s">
        <v>279</v>
      </c>
      <c r="B267">
        <f>HYPERLINK("https://www.suredividend.com/sure-analysis-research-database/","A10 Networks Inc")</f>
        <v>0</v>
      </c>
      <c r="C267" t="s">
        <v>3185</v>
      </c>
      <c r="D267">
        <v>10.88</v>
      </c>
      <c r="E267">
        <v>0.021924300431768</v>
      </c>
      <c r="F267" t="s">
        <v>3182</v>
      </c>
      <c r="G267" t="s">
        <v>3182</v>
      </c>
      <c r="H267">
        <v>0.238536388697636</v>
      </c>
      <c r="I267">
        <v>806.208</v>
      </c>
      <c r="J267">
        <v>17.63089640693682</v>
      </c>
      <c r="K267">
        <v>0.3969652000293494</v>
      </c>
      <c r="L267">
        <v>0.770858489179238</v>
      </c>
      <c r="M267">
        <v>19.48</v>
      </c>
      <c r="N267">
        <v>10.04</v>
      </c>
    </row>
    <row r="268" spans="1:14">
      <c r="A268" s="1" t="s">
        <v>280</v>
      </c>
      <c r="B268">
        <f>HYPERLINK("https://www.suredividend.com/sure-analysis-research-database/","Anterix Inc")</f>
        <v>0</v>
      </c>
      <c r="C268" t="s">
        <v>3191</v>
      </c>
      <c r="D268">
        <v>30.55</v>
      </c>
      <c r="E268">
        <v>0</v>
      </c>
      <c r="F268" t="s">
        <v>3182</v>
      </c>
      <c r="G268" t="s">
        <v>3182</v>
      </c>
      <c r="H268">
        <v>0</v>
      </c>
      <c r="I268">
        <v>581.890707</v>
      </c>
      <c r="J268" t="s">
        <v>3182</v>
      </c>
      <c r="K268">
        <v>-0</v>
      </c>
      <c r="L268">
        <v>0.9295407631935581</v>
      </c>
      <c r="M268">
        <v>40.11</v>
      </c>
      <c r="N268">
        <v>27.2</v>
      </c>
    </row>
    <row r="269" spans="1:14">
      <c r="A269" s="1" t="s">
        <v>281</v>
      </c>
      <c r="B269">
        <f>HYPERLINK("https://www.suredividend.com/sure-analysis-research-database/","Adtalem Global Education Inc")</f>
        <v>0</v>
      </c>
      <c r="C269" t="s">
        <v>3188</v>
      </c>
      <c r="D269">
        <v>54.25</v>
      </c>
      <c r="E269">
        <v>0</v>
      </c>
      <c r="F269" t="s">
        <v>3182</v>
      </c>
      <c r="G269" t="s">
        <v>3182</v>
      </c>
      <c r="H269">
        <v>0</v>
      </c>
      <c r="I269">
        <v>2160.69363</v>
      </c>
      <c r="J269">
        <v>21.22238664892154</v>
      </c>
      <c r="K269">
        <v>0</v>
      </c>
      <c r="L269">
        <v>0.452369671472694</v>
      </c>
      <c r="M269">
        <v>54.26</v>
      </c>
      <c r="N269">
        <v>33.59</v>
      </c>
    </row>
    <row r="270" spans="1:14">
      <c r="A270" s="1" t="s">
        <v>282</v>
      </c>
      <c r="B270">
        <f>HYPERLINK("https://www.suredividend.com/sure-analysis-research-database/","Athene Holding Ltd")</f>
        <v>0</v>
      </c>
      <c r="C270" t="s">
        <v>3184</v>
      </c>
      <c r="D270">
        <v>83.33</v>
      </c>
      <c r="E270">
        <v>0</v>
      </c>
      <c r="F270" t="s">
        <v>3182</v>
      </c>
      <c r="G270" t="s">
        <v>3182</v>
      </c>
      <c r="H270">
        <v>0</v>
      </c>
      <c r="I270">
        <v>16011.154278</v>
      </c>
      <c r="J270">
        <v>4.300605500459307</v>
      </c>
      <c r="K270">
        <v>0</v>
      </c>
      <c r="L270">
        <v>1.23803114889401</v>
      </c>
      <c r="M270">
        <v>91.26000000000001</v>
      </c>
      <c r="N270">
        <v>40.21</v>
      </c>
    </row>
    <row r="271" spans="1:14">
      <c r="A271" s="1" t="s">
        <v>283</v>
      </c>
      <c r="B271">
        <f>HYPERLINK("https://www.suredividend.com/sure-analysis-research-database/","Athersys Inc")</f>
        <v>0</v>
      </c>
      <c r="C271" t="s">
        <v>3180</v>
      </c>
      <c r="D271">
        <v>0.1018</v>
      </c>
      <c r="E271">
        <v>0</v>
      </c>
      <c r="F271" t="s">
        <v>3182</v>
      </c>
      <c r="G271" t="s">
        <v>3182</v>
      </c>
      <c r="H271">
        <v>0</v>
      </c>
      <c r="I271">
        <v>0</v>
      </c>
      <c r="J271">
        <v>0</v>
      </c>
      <c r="K271" t="s">
        <v>3182</v>
      </c>
    </row>
    <row r="272" spans="1:14">
      <c r="A272" s="1" t="s">
        <v>284</v>
      </c>
      <c r="B272">
        <f>HYPERLINK("https://www.suredividend.com/sure-analysis-research-database/","ATI Inc")</f>
        <v>0</v>
      </c>
      <c r="C272" t="s">
        <v>3183</v>
      </c>
      <c r="D272">
        <v>40.65</v>
      </c>
      <c r="E272">
        <v>0</v>
      </c>
      <c r="F272" t="s">
        <v>3182</v>
      </c>
      <c r="G272" t="s">
        <v>3182</v>
      </c>
      <c r="H272">
        <v>0</v>
      </c>
      <c r="I272">
        <v>5226.969153</v>
      </c>
      <c r="J272">
        <v>18.39834267001056</v>
      </c>
      <c r="K272">
        <v>0</v>
      </c>
      <c r="L272">
        <v>1.220927692147329</v>
      </c>
      <c r="M272">
        <v>47.92</v>
      </c>
      <c r="N272">
        <v>27.76</v>
      </c>
    </row>
    <row r="273" spans="1:14">
      <c r="A273" s="1" t="s">
        <v>285</v>
      </c>
      <c r="B273">
        <f>HYPERLINK("https://www.suredividend.com/sure-analysis-research-database/","Atkore Inc")</f>
        <v>0</v>
      </c>
      <c r="C273" t="s">
        <v>3183</v>
      </c>
      <c r="D273">
        <v>130.22</v>
      </c>
      <c r="E273">
        <v>0</v>
      </c>
      <c r="F273" t="s">
        <v>3182</v>
      </c>
      <c r="G273" t="s">
        <v>3182</v>
      </c>
      <c r="H273">
        <v>0</v>
      </c>
      <c r="I273">
        <v>4921.513194</v>
      </c>
      <c r="J273">
        <v>6.4952978916569</v>
      </c>
      <c r="K273">
        <v>0</v>
      </c>
      <c r="L273">
        <v>1.421635647253637</v>
      </c>
      <c r="M273">
        <v>164.76</v>
      </c>
      <c r="N273">
        <v>90.95</v>
      </c>
    </row>
    <row r="274" spans="1:14">
      <c r="A274" s="1" t="s">
        <v>286</v>
      </c>
      <c r="B274">
        <f>HYPERLINK("https://www.suredividend.com/sure-analysis-research-database/","Atlanticus Holdings Corp")</f>
        <v>0</v>
      </c>
      <c r="C274" t="s">
        <v>3184</v>
      </c>
      <c r="D274">
        <v>29.71</v>
      </c>
      <c r="E274">
        <v>0</v>
      </c>
      <c r="F274" t="s">
        <v>3182</v>
      </c>
      <c r="G274" t="s">
        <v>3182</v>
      </c>
      <c r="H274">
        <v>0</v>
      </c>
      <c r="I274">
        <v>428.747149</v>
      </c>
      <c r="J274">
        <v>5.18223643387241</v>
      </c>
      <c r="K274">
        <v>0</v>
      </c>
      <c r="L274">
        <v>1.894040728458537</v>
      </c>
      <c r="M274">
        <v>43.7</v>
      </c>
      <c r="N274">
        <v>21.65</v>
      </c>
    </row>
    <row r="275" spans="1:14">
      <c r="A275" s="1" t="s">
        <v>287</v>
      </c>
      <c r="B275">
        <f>HYPERLINK("https://www.suredividend.com/sure-analysis-ATLO/","Ames National Corp.")</f>
        <v>0</v>
      </c>
      <c r="C275" t="s">
        <v>3184</v>
      </c>
      <c r="D275">
        <v>17.31</v>
      </c>
      <c r="E275">
        <v>0.06239168110918545</v>
      </c>
      <c r="F275">
        <v>0</v>
      </c>
      <c r="G275">
        <v>0.02383625553960966</v>
      </c>
      <c r="H275">
        <v>1.03537396486269</v>
      </c>
      <c r="I275">
        <v>155.654411</v>
      </c>
      <c r="J275">
        <v>9.908613582659619</v>
      </c>
      <c r="K275">
        <v>0.5916422656358229</v>
      </c>
      <c r="L275">
        <v>0.387479604686769</v>
      </c>
      <c r="M275">
        <v>23.18</v>
      </c>
      <c r="N275">
        <v>14.51</v>
      </c>
    </row>
    <row r="276" spans="1:14">
      <c r="A276" s="1" t="s">
        <v>288</v>
      </c>
      <c r="B276">
        <f>HYPERLINK("https://www.suredividend.com/sure-analysis-research-database/","ATN International Inc")</f>
        <v>0</v>
      </c>
      <c r="C276" t="s">
        <v>3191</v>
      </c>
      <c r="D276">
        <v>32.04</v>
      </c>
      <c r="E276">
        <v>0.02577652449563</v>
      </c>
      <c r="F276">
        <v>0.2352941176470587</v>
      </c>
      <c r="G276">
        <v>0.04316756381013498</v>
      </c>
      <c r="H276">
        <v>0.8258798448400061</v>
      </c>
      <c r="I276">
        <v>499.881704</v>
      </c>
      <c r="J276" t="s">
        <v>3182</v>
      </c>
      <c r="K276" t="s">
        <v>3182</v>
      </c>
      <c r="L276">
        <v>0.589267783888432</v>
      </c>
      <c r="M276">
        <v>48.78</v>
      </c>
      <c r="N276">
        <v>27.53</v>
      </c>
    </row>
    <row r="277" spans="1:14">
      <c r="A277" s="1" t="s">
        <v>289</v>
      </c>
      <c r="B277">
        <f>HYPERLINK("https://www.suredividend.com/sure-analysis-research-database/","Actinium Pharmaceuticals Inc")</f>
        <v>0</v>
      </c>
      <c r="C277" t="s">
        <v>3180</v>
      </c>
      <c r="D277">
        <v>4.58</v>
      </c>
      <c r="E277">
        <v>0</v>
      </c>
      <c r="F277" t="s">
        <v>3182</v>
      </c>
      <c r="G277" t="s">
        <v>3182</v>
      </c>
      <c r="H277">
        <v>0</v>
      </c>
      <c r="I277">
        <v>123.648948</v>
      </c>
      <c r="J277">
        <v>0</v>
      </c>
      <c r="K277" t="s">
        <v>3182</v>
      </c>
      <c r="L277">
        <v>1.077805697877654</v>
      </c>
      <c r="M277">
        <v>14.7</v>
      </c>
      <c r="N277">
        <v>4.46</v>
      </c>
    </row>
    <row r="278" spans="1:14">
      <c r="A278" s="1" t="s">
        <v>290</v>
      </c>
      <c r="B278">
        <f>HYPERLINK("https://www.suredividend.com/sure-analysis-research-database/","Athenex Inc")</f>
        <v>0</v>
      </c>
      <c r="C278" t="s">
        <v>3180</v>
      </c>
      <c r="D278">
        <v>0.2031</v>
      </c>
      <c r="E278">
        <v>0</v>
      </c>
      <c r="F278" t="s">
        <v>3182</v>
      </c>
      <c r="G278" t="s">
        <v>3182</v>
      </c>
      <c r="H278">
        <v>0</v>
      </c>
      <c r="I278">
        <v>0</v>
      </c>
      <c r="J278">
        <v>0</v>
      </c>
      <c r="K278">
        <v>-0</v>
      </c>
    </row>
    <row r="279" spans="1:14">
      <c r="A279" s="1" t="s">
        <v>291</v>
      </c>
      <c r="B279">
        <f>HYPERLINK("https://www.suredividend.com/sure-analysis-ATO/","Atmos Energy Corp.")</f>
        <v>0</v>
      </c>
      <c r="C279" t="s">
        <v>3190</v>
      </c>
      <c r="D279">
        <v>111.38</v>
      </c>
      <c r="E279">
        <v>0.0265756868378524</v>
      </c>
      <c r="F279">
        <v>0.08823529411764697</v>
      </c>
      <c r="G279">
        <v>0.0710616841531404</v>
      </c>
      <c r="H279">
        <v>2.931923559655012</v>
      </c>
      <c r="I279">
        <v>16535.751134</v>
      </c>
      <c r="J279">
        <v>19.72162127832283</v>
      </c>
      <c r="K279">
        <v>0.5011835144709422</v>
      </c>
      <c r="L279">
        <v>0.608702402833008</v>
      </c>
      <c r="M279">
        <v>124.49</v>
      </c>
      <c r="N279">
        <v>100.03</v>
      </c>
    </row>
    <row r="280" spans="1:14">
      <c r="A280" s="1" t="s">
        <v>292</v>
      </c>
      <c r="B280">
        <f>HYPERLINK("https://www.suredividend.com/sure-analysis-research-database/","Atossa Therapeutics Inc")</f>
        <v>0</v>
      </c>
      <c r="C280" t="s">
        <v>3180</v>
      </c>
      <c r="D280">
        <v>0.6980000000000001</v>
      </c>
      <c r="E280">
        <v>0</v>
      </c>
      <c r="F280" t="s">
        <v>3182</v>
      </c>
      <c r="G280" t="s">
        <v>3182</v>
      </c>
      <c r="H280">
        <v>0</v>
      </c>
      <c r="I280">
        <v>87.79807</v>
      </c>
      <c r="J280">
        <v>0</v>
      </c>
      <c r="K280" t="s">
        <v>3182</v>
      </c>
      <c r="L280">
        <v>0.657983066870214</v>
      </c>
      <c r="M280">
        <v>1.39</v>
      </c>
      <c r="N280">
        <v>0.5</v>
      </c>
    </row>
    <row r="281" spans="1:14">
      <c r="A281" s="1" t="s">
        <v>293</v>
      </c>
      <c r="B281">
        <f>HYPERLINK("https://www.suredividend.com/sure-analysis-ATR/","Aptargroup Inc.")</f>
        <v>0</v>
      </c>
      <c r="C281" t="s">
        <v>3186</v>
      </c>
      <c r="D281">
        <v>123.58</v>
      </c>
      <c r="E281">
        <v>0.01302799805793818</v>
      </c>
      <c r="F281">
        <v>0.07894736842105265</v>
      </c>
      <c r="G281">
        <v>0.03815210271659408</v>
      </c>
      <c r="H281">
        <v>1.572344314429866</v>
      </c>
      <c r="I281">
        <v>8129.249223</v>
      </c>
      <c r="J281">
        <v>28.91654059012265</v>
      </c>
      <c r="K281">
        <v>0.3734784594845287</v>
      </c>
      <c r="L281">
        <v>0.7127868289822341</v>
      </c>
      <c r="M281">
        <v>133.35</v>
      </c>
      <c r="N281">
        <v>94.97</v>
      </c>
    </row>
    <row r="282" spans="1:14">
      <c r="A282" s="1" t="s">
        <v>294</v>
      </c>
      <c r="B282">
        <f>HYPERLINK("https://www.suredividend.com/sure-analysis-research-database/","Atara Biotherapeutics Inc")</f>
        <v>0</v>
      </c>
      <c r="C282" t="s">
        <v>3180</v>
      </c>
      <c r="D282">
        <v>1.19</v>
      </c>
      <c r="E282">
        <v>0</v>
      </c>
      <c r="F282" t="s">
        <v>3182</v>
      </c>
      <c r="G282" t="s">
        <v>3182</v>
      </c>
      <c r="H282">
        <v>0</v>
      </c>
      <c r="I282">
        <v>121.287478</v>
      </c>
      <c r="J282" t="s">
        <v>3182</v>
      </c>
      <c r="K282">
        <v>-0</v>
      </c>
      <c r="L282">
        <v>2.438145967802378</v>
      </c>
      <c r="M282">
        <v>5.64</v>
      </c>
      <c r="N282">
        <v>1.17</v>
      </c>
    </row>
    <row r="283" spans="1:14">
      <c r="A283" s="1" t="s">
        <v>295</v>
      </c>
      <c r="B283">
        <f>HYPERLINK("https://www.suredividend.com/sure-analysis-research-database/","Atricure Inc")</f>
        <v>0</v>
      </c>
      <c r="C283" t="s">
        <v>3180</v>
      </c>
      <c r="D283">
        <v>36.58</v>
      </c>
      <c r="E283">
        <v>0</v>
      </c>
      <c r="F283" t="s">
        <v>3182</v>
      </c>
      <c r="G283" t="s">
        <v>3182</v>
      </c>
      <c r="H283">
        <v>0</v>
      </c>
      <c r="I283">
        <v>1733.892</v>
      </c>
      <c r="J283">
        <v>0</v>
      </c>
      <c r="K283" t="s">
        <v>3182</v>
      </c>
      <c r="L283">
        <v>1.183829719700145</v>
      </c>
      <c r="M283">
        <v>59.61</v>
      </c>
      <c r="N283">
        <v>32.9</v>
      </c>
    </row>
    <row r="284" spans="1:14">
      <c r="A284" s="1" t="s">
        <v>296</v>
      </c>
      <c r="B284">
        <f>HYPERLINK("https://www.suredividend.com/sure-analysis-ATRI/","Atrion Corp.")</f>
        <v>0</v>
      </c>
      <c r="C284" t="s">
        <v>3180</v>
      </c>
      <c r="D284">
        <v>338.49</v>
      </c>
      <c r="E284">
        <v>0.02599781382020148</v>
      </c>
      <c r="F284">
        <v>0.02325581395348841</v>
      </c>
      <c r="G284">
        <v>0.1025994778190622</v>
      </c>
      <c r="H284">
        <v>8.557328807064886</v>
      </c>
      <c r="I284">
        <v>595.623929</v>
      </c>
      <c r="J284">
        <v>21.89069530302473</v>
      </c>
      <c r="K284">
        <v>0.5567552899847031</v>
      </c>
      <c r="L284">
        <v>0.7457231225849421</v>
      </c>
      <c r="M284">
        <v>692.25</v>
      </c>
      <c r="N284">
        <v>305.05</v>
      </c>
    </row>
    <row r="285" spans="1:14">
      <c r="A285" s="1" t="s">
        <v>297</v>
      </c>
      <c r="B285">
        <f>HYPERLINK("https://www.suredividend.com/sure-analysis-research-database/","Astronics Corp.")</f>
        <v>0</v>
      </c>
      <c r="C285" t="s">
        <v>3183</v>
      </c>
      <c r="D285">
        <v>15.84</v>
      </c>
      <c r="E285">
        <v>0</v>
      </c>
      <c r="F285" t="s">
        <v>3182</v>
      </c>
      <c r="G285" t="s">
        <v>3182</v>
      </c>
      <c r="H285">
        <v>0</v>
      </c>
      <c r="I285">
        <v>419.985768</v>
      </c>
      <c r="J285" t="s">
        <v>3182</v>
      </c>
      <c r="K285">
        <v>-0</v>
      </c>
      <c r="L285">
        <v>1.731314500264041</v>
      </c>
      <c r="M285">
        <v>22.44</v>
      </c>
      <c r="N285">
        <v>7.46</v>
      </c>
    </row>
    <row r="286" spans="1:14">
      <c r="A286" s="1" t="s">
        <v>298</v>
      </c>
      <c r="B286">
        <f>HYPERLINK("https://www.suredividend.com/sure-analysis-research-database/","Antares Pharma Inc")</f>
        <v>0</v>
      </c>
      <c r="C286" t="s">
        <v>3180</v>
      </c>
      <c r="D286">
        <v>5.59</v>
      </c>
      <c r="E286">
        <v>0</v>
      </c>
      <c r="F286" t="s">
        <v>3182</v>
      </c>
      <c r="G286" t="s">
        <v>3182</v>
      </c>
      <c r="H286">
        <v>0</v>
      </c>
      <c r="I286">
        <v>0</v>
      </c>
      <c r="J286">
        <v>0</v>
      </c>
      <c r="K286">
        <v>0</v>
      </c>
    </row>
    <row r="287" spans="1:14">
      <c r="A287" s="1" t="s">
        <v>299</v>
      </c>
      <c r="B287">
        <f>HYPERLINK("https://www.suredividend.com/sure-analysis-research-database/","Air Transport Services Group Inc")</f>
        <v>0</v>
      </c>
      <c r="C287" t="s">
        <v>3183</v>
      </c>
      <c r="D287">
        <v>20.16</v>
      </c>
      <c r="E287">
        <v>0</v>
      </c>
      <c r="F287" t="s">
        <v>3182</v>
      </c>
      <c r="G287" t="s">
        <v>3182</v>
      </c>
      <c r="H287">
        <v>0</v>
      </c>
      <c r="I287">
        <v>1426.546659</v>
      </c>
      <c r="J287">
        <v>9.394075037403857</v>
      </c>
      <c r="K287">
        <v>0</v>
      </c>
      <c r="L287">
        <v>0.8402584530216231</v>
      </c>
      <c r="M287">
        <v>29.47</v>
      </c>
      <c r="N287">
        <v>14.39</v>
      </c>
    </row>
    <row r="288" spans="1:14">
      <c r="A288" s="1" t="s">
        <v>300</v>
      </c>
      <c r="B288">
        <f>HYPERLINK("https://www.suredividend.com/sure-analysis-research-database/","Altice USA Inc")</f>
        <v>0</v>
      </c>
      <c r="C288" t="s">
        <v>3191</v>
      </c>
      <c r="D288">
        <v>2.91</v>
      </c>
      <c r="E288">
        <v>0</v>
      </c>
      <c r="F288" t="s">
        <v>3182</v>
      </c>
      <c r="G288" t="s">
        <v>3182</v>
      </c>
      <c r="H288">
        <v>0</v>
      </c>
      <c r="I288">
        <v>1323.26235</v>
      </c>
      <c r="J288" t="s">
        <v>3182</v>
      </c>
      <c r="K288">
        <v>-0</v>
      </c>
      <c r="L288">
        <v>2.142314065739084</v>
      </c>
      <c r="M288">
        <v>5.57</v>
      </c>
      <c r="N288">
        <v>2.01</v>
      </c>
    </row>
    <row r="289" spans="1:14">
      <c r="A289" s="1" t="s">
        <v>301</v>
      </c>
      <c r="B289">
        <f>HYPERLINK("https://www.suredividend.com/sure-analysis-research-database/","Activision Blizzard Inc")</f>
        <v>0</v>
      </c>
      <c r="C289" t="s">
        <v>3191</v>
      </c>
      <c r="D289">
        <v>94.42</v>
      </c>
      <c r="E289">
        <v>0</v>
      </c>
      <c r="F289" t="s">
        <v>3182</v>
      </c>
      <c r="G289" t="s">
        <v>3182</v>
      </c>
      <c r="H289">
        <v>0.9900000095367431</v>
      </c>
      <c r="I289">
        <v>0</v>
      </c>
      <c r="J289">
        <v>0</v>
      </c>
      <c r="K289">
        <v>0.3626373661306751</v>
      </c>
    </row>
    <row r="290" spans="1:14">
      <c r="A290" s="1" t="s">
        <v>302</v>
      </c>
      <c r="B290">
        <f>HYPERLINK("https://www.suredividend.com/sure-analysis-research-database/","Atlantic Union Bankshares Corp")</f>
        <v>0</v>
      </c>
      <c r="C290" t="s">
        <v>3184</v>
      </c>
      <c r="D290">
        <v>30.62</v>
      </c>
      <c r="E290">
        <v>0.019031270439595</v>
      </c>
      <c r="F290">
        <v>0</v>
      </c>
      <c r="G290">
        <v>0.05457794330579446</v>
      </c>
      <c r="H290">
        <v>0.5827375008604211</v>
      </c>
      <c r="I290">
        <v>2296.644098</v>
      </c>
      <c r="J290">
        <v>11.06176715981119</v>
      </c>
      <c r="K290">
        <v>0.2096178060648997</v>
      </c>
      <c r="L290">
        <v>1.266765914112832</v>
      </c>
      <c r="M290">
        <v>40.19</v>
      </c>
      <c r="N290">
        <v>22.84</v>
      </c>
    </row>
    <row r="291" spans="1:14">
      <c r="A291" s="1" t="s">
        <v>303</v>
      </c>
      <c r="B291">
        <f>HYPERLINK("https://www.suredividend.com/sure-analysis-AUBN/","Auburn National Bancorp Inc.")</f>
        <v>0</v>
      </c>
      <c r="C291" t="s">
        <v>3184</v>
      </c>
      <c r="D291">
        <v>20.81</v>
      </c>
      <c r="E291">
        <v>0.05189812590100914</v>
      </c>
      <c r="F291">
        <v>0.01886792452830188</v>
      </c>
      <c r="G291">
        <v>0.02383625553960966</v>
      </c>
      <c r="H291">
        <v>1.061662637377073</v>
      </c>
      <c r="I291">
        <v>72.78151800000001</v>
      </c>
      <c r="J291">
        <v>0</v>
      </c>
      <c r="K291" t="s">
        <v>3182</v>
      </c>
      <c r="M291">
        <v>24.36</v>
      </c>
      <c r="N291">
        <v>18.8</v>
      </c>
    </row>
    <row r="292" spans="1:14">
      <c r="A292" s="1" t="s">
        <v>304</v>
      </c>
      <c r="B292">
        <f>HYPERLINK("https://www.suredividend.com/sure-analysis-research-database/","Golden Minerals Co")</f>
        <v>0</v>
      </c>
      <c r="C292" t="s">
        <v>3181</v>
      </c>
      <c r="D292">
        <v>0.8260000000000001</v>
      </c>
      <c r="E292">
        <v>0</v>
      </c>
      <c r="F292" t="s">
        <v>3182</v>
      </c>
      <c r="G292" t="s">
        <v>3182</v>
      </c>
      <c r="H292">
        <v>0</v>
      </c>
      <c r="I292">
        <v>7.081506</v>
      </c>
      <c r="J292" t="s">
        <v>3182</v>
      </c>
      <c r="K292">
        <v>-0</v>
      </c>
      <c r="L292">
        <v>0.08766439342629201</v>
      </c>
      <c r="M292">
        <v>8.039999999999999</v>
      </c>
      <c r="N292">
        <v>0.5957</v>
      </c>
    </row>
    <row r="293" spans="1:14">
      <c r="A293" s="1" t="s">
        <v>305</v>
      </c>
      <c r="B293">
        <f>HYPERLINK("https://www.suredividend.com/sure-analysis-research-database/","AutoWeb Inc")</f>
        <v>0</v>
      </c>
      <c r="C293" t="s">
        <v>3191</v>
      </c>
      <c r="D293">
        <v>0.388</v>
      </c>
      <c r="E293">
        <v>0</v>
      </c>
      <c r="F293" t="s">
        <v>3182</v>
      </c>
      <c r="G293" t="s">
        <v>3182</v>
      </c>
      <c r="H293">
        <v>0</v>
      </c>
      <c r="I293">
        <v>0</v>
      </c>
      <c r="J293">
        <v>0</v>
      </c>
      <c r="K293">
        <v>-0</v>
      </c>
    </row>
    <row r="294" spans="1:14">
      <c r="A294" s="1" t="s">
        <v>306</v>
      </c>
      <c r="B294">
        <f>HYPERLINK("https://www.suredividend.com/sure-analysis-AVA/","Avista Corp.")</f>
        <v>0</v>
      </c>
      <c r="C294" t="s">
        <v>3190</v>
      </c>
      <c r="D294">
        <v>34.34</v>
      </c>
      <c r="E294">
        <v>0.0535818287711124</v>
      </c>
      <c r="F294">
        <v>0.04545454545454541</v>
      </c>
      <c r="G294">
        <v>0.04310087790766515</v>
      </c>
      <c r="H294">
        <v>1.786961746803267</v>
      </c>
      <c r="I294">
        <v>2627.873514</v>
      </c>
      <c r="J294">
        <v>18.18761212870362</v>
      </c>
      <c r="K294">
        <v>0.9258869154421072</v>
      </c>
      <c r="L294">
        <v>0.6040381111788731</v>
      </c>
      <c r="M294">
        <v>44.03</v>
      </c>
      <c r="N294">
        <v>30.53</v>
      </c>
    </row>
    <row r="295" spans="1:14">
      <c r="A295" s="1" t="s">
        <v>307</v>
      </c>
      <c r="B295">
        <f>HYPERLINK("https://www.suredividend.com/sure-analysis-research-database/","AeroVironment Inc.")</f>
        <v>0</v>
      </c>
      <c r="C295" t="s">
        <v>3183</v>
      </c>
      <c r="D295">
        <v>118.76</v>
      </c>
      <c r="E295">
        <v>0</v>
      </c>
      <c r="F295" t="s">
        <v>3182</v>
      </c>
      <c r="G295" t="s">
        <v>3182</v>
      </c>
      <c r="H295">
        <v>0</v>
      </c>
      <c r="I295">
        <v>3122.252654</v>
      </c>
      <c r="J295" t="s">
        <v>3182</v>
      </c>
      <c r="K295">
        <v>-0</v>
      </c>
      <c r="L295">
        <v>1.086758579627656</v>
      </c>
      <c r="M295">
        <v>124.33</v>
      </c>
      <c r="N295">
        <v>80.58</v>
      </c>
    </row>
    <row r="296" spans="1:14">
      <c r="A296" s="1" t="s">
        <v>308</v>
      </c>
      <c r="B296">
        <f>HYPERLINK("https://www.suredividend.com/sure-analysis-AVB/","Avalonbay Communities Inc.")</f>
        <v>0</v>
      </c>
      <c r="C296" t="s">
        <v>3187</v>
      </c>
      <c r="D296">
        <v>167.92</v>
      </c>
      <c r="E296">
        <v>0.0393044306812768</v>
      </c>
      <c r="F296">
        <v>0.03773584905660377</v>
      </c>
      <c r="G296">
        <v>0.02337150897694196</v>
      </c>
      <c r="H296">
        <v>6.448980978514228</v>
      </c>
      <c r="I296">
        <v>23847.252499</v>
      </c>
      <c r="J296">
        <v>19.09870362073053</v>
      </c>
      <c r="K296">
        <v>0.7262365966795302</v>
      </c>
      <c r="L296">
        <v>0.9341963932972861</v>
      </c>
      <c r="M296">
        <v>196.75</v>
      </c>
      <c r="N296">
        <v>148.74</v>
      </c>
    </row>
    <row r="297" spans="1:14">
      <c r="A297" s="1" t="s">
        <v>309</v>
      </c>
      <c r="B297">
        <f>HYPERLINK("https://www.suredividend.com/sure-analysis-research-database/","American Vanguard Corp.")</f>
        <v>0</v>
      </c>
      <c r="C297" t="s">
        <v>3181</v>
      </c>
      <c r="D297">
        <v>9.67</v>
      </c>
      <c r="E297">
        <v>0.012371154125833</v>
      </c>
      <c r="F297" t="s">
        <v>3182</v>
      </c>
      <c r="G297" t="s">
        <v>3182</v>
      </c>
      <c r="H297">
        <v>0.119629060396811</v>
      </c>
      <c r="I297">
        <v>283.302203</v>
      </c>
      <c r="J297">
        <v>24.62640844401947</v>
      </c>
      <c r="K297">
        <v>0.3026285362934759</v>
      </c>
      <c r="L297">
        <v>0.600259729196927</v>
      </c>
      <c r="M297">
        <v>23.96</v>
      </c>
      <c r="N297">
        <v>8.779999999999999</v>
      </c>
    </row>
    <row r="298" spans="1:14">
      <c r="A298" s="1" t="s">
        <v>310</v>
      </c>
      <c r="B298">
        <f>HYPERLINK("https://www.suredividend.com/sure-analysis-research-database/","AVEO Pharmaceuticals Inc")</f>
        <v>0</v>
      </c>
      <c r="C298" t="s">
        <v>3180</v>
      </c>
      <c r="D298">
        <v>15</v>
      </c>
      <c r="E298">
        <v>0</v>
      </c>
      <c r="F298" t="s">
        <v>3182</v>
      </c>
      <c r="G298" t="s">
        <v>3182</v>
      </c>
      <c r="H298">
        <v>0</v>
      </c>
      <c r="I298">
        <v>0</v>
      </c>
      <c r="J298">
        <v>0</v>
      </c>
      <c r="K298">
        <v>-0</v>
      </c>
    </row>
    <row r="299" spans="1:14">
      <c r="A299" s="1" t="s">
        <v>311</v>
      </c>
      <c r="B299">
        <f>HYPERLINK("https://www.suredividend.com/sure-analysis-AVGO/","Broadcom Inc")</f>
        <v>0</v>
      </c>
      <c r="C299" t="s">
        <v>3185</v>
      </c>
      <c r="D299">
        <v>871.3</v>
      </c>
      <c r="E299">
        <v>0.02111786984964995</v>
      </c>
      <c r="F299">
        <v>0.1219512195121952</v>
      </c>
      <c r="G299">
        <v>0.1166122590012486</v>
      </c>
      <c r="H299">
        <v>18.1961632647186</v>
      </c>
      <c r="I299">
        <v>359616.444635</v>
      </c>
      <c r="J299">
        <v>25.929515079328</v>
      </c>
      <c r="K299">
        <v>0.5549302611991035</v>
      </c>
      <c r="L299">
        <v>1.403969952025415</v>
      </c>
      <c r="M299">
        <v>925.91</v>
      </c>
      <c r="N299">
        <v>439.21</v>
      </c>
    </row>
    <row r="300" spans="1:14">
      <c r="A300" s="1" t="s">
        <v>312</v>
      </c>
      <c r="B300">
        <f>HYPERLINK("https://www.suredividend.com/sure-analysis-research-database/","Avinger Inc")</f>
        <v>0</v>
      </c>
      <c r="C300" t="s">
        <v>3180</v>
      </c>
      <c r="D300">
        <v>3.76</v>
      </c>
      <c r="E300">
        <v>0</v>
      </c>
      <c r="F300" t="s">
        <v>3182</v>
      </c>
      <c r="G300" t="s">
        <v>3182</v>
      </c>
      <c r="H300">
        <v>0</v>
      </c>
      <c r="I300">
        <v>5.151644</v>
      </c>
      <c r="J300">
        <v>0</v>
      </c>
      <c r="K300" t="s">
        <v>3182</v>
      </c>
      <c r="M300">
        <v>24.3</v>
      </c>
      <c r="N300">
        <v>3.28</v>
      </c>
    </row>
    <row r="301" spans="1:14">
      <c r="A301" s="1" t="s">
        <v>313</v>
      </c>
      <c r="B301">
        <f>HYPERLINK("https://www.suredividend.com/sure-analysis-research-database/","Avid Technology, Inc.")</f>
        <v>0</v>
      </c>
      <c r="C301" t="s">
        <v>3191</v>
      </c>
      <c r="D301">
        <v>27</v>
      </c>
      <c r="E301">
        <v>0</v>
      </c>
      <c r="F301" t="s">
        <v>3182</v>
      </c>
      <c r="G301" t="s">
        <v>3182</v>
      </c>
      <c r="H301">
        <v>0</v>
      </c>
      <c r="I301">
        <v>1189.01844</v>
      </c>
      <c r="J301">
        <v>36.80601888252593</v>
      </c>
      <c r="K301">
        <v>0</v>
      </c>
      <c r="L301">
        <v>1.074024830110684</v>
      </c>
      <c r="M301">
        <v>33.41</v>
      </c>
      <c r="N301">
        <v>19.78</v>
      </c>
    </row>
    <row r="302" spans="1:14">
      <c r="A302" s="1" t="s">
        <v>314</v>
      </c>
      <c r="B302">
        <f>HYPERLINK("https://www.suredividend.com/sure-analysis-research-database/","Avalara Inc")</f>
        <v>0</v>
      </c>
      <c r="C302" t="s">
        <v>3185</v>
      </c>
      <c r="D302">
        <v>93.48</v>
      </c>
      <c r="E302">
        <v>0</v>
      </c>
      <c r="F302" t="s">
        <v>3182</v>
      </c>
      <c r="G302" t="s">
        <v>3182</v>
      </c>
      <c r="H302">
        <v>0</v>
      </c>
      <c r="I302">
        <v>8278.390809</v>
      </c>
      <c r="J302" t="s">
        <v>3182</v>
      </c>
      <c r="K302">
        <v>-0</v>
      </c>
      <c r="L302">
        <v>1.451097662470187</v>
      </c>
      <c r="M302">
        <v>188.43</v>
      </c>
      <c r="N302">
        <v>66.39</v>
      </c>
    </row>
    <row r="303" spans="1:14">
      <c r="A303" s="1" t="s">
        <v>315</v>
      </c>
      <c r="B303">
        <f>HYPERLINK("https://www.suredividend.com/sure-analysis-research-database/","Avanos Medical Inc")</f>
        <v>0</v>
      </c>
      <c r="C303" t="s">
        <v>3180</v>
      </c>
      <c r="D303">
        <v>21.52</v>
      </c>
      <c r="E303">
        <v>0</v>
      </c>
      <c r="F303" t="s">
        <v>3182</v>
      </c>
      <c r="G303" t="s">
        <v>3182</v>
      </c>
      <c r="H303">
        <v>0</v>
      </c>
      <c r="I303">
        <v>1008.705583</v>
      </c>
      <c r="J303" t="s">
        <v>3182</v>
      </c>
      <c r="K303">
        <v>-0</v>
      </c>
      <c r="L303">
        <v>1.122117024422546</v>
      </c>
      <c r="M303">
        <v>31.99</v>
      </c>
      <c r="N303">
        <v>17.24</v>
      </c>
    </row>
    <row r="304" spans="1:14">
      <c r="A304" s="1" t="s">
        <v>316</v>
      </c>
      <c r="B304">
        <f>HYPERLINK("https://www.suredividend.com/sure-analysis-research-database/","Aviat Networks Inc")</f>
        <v>0</v>
      </c>
      <c r="C304" t="s">
        <v>3185</v>
      </c>
      <c r="D304">
        <v>30.59</v>
      </c>
      <c r="E304">
        <v>0</v>
      </c>
      <c r="F304" t="s">
        <v>3182</v>
      </c>
      <c r="G304" t="s">
        <v>3182</v>
      </c>
      <c r="H304">
        <v>0</v>
      </c>
      <c r="I304">
        <v>358.364083</v>
      </c>
      <c r="J304">
        <v>31.08640554042332</v>
      </c>
      <c r="K304">
        <v>0</v>
      </c>
      <c r="L304">
        <v>1.18288375470224</v>
      </c>
      <c r="M304">
        <v>39.8</v>
      </c>
      <c r="N304">
        <v>21.15</v>
      </c>
    </row>
    <row r="305" spans="1:14">
      <c r="A305" s="1" t="s">
        <v>317</v>
      </c>
      <c r="B305">
        <f>HYPERLINK("https://www.suredividend.com/sure-analysis-research-database/","AvroBio Inc")</f>
        <v>0</v>
      </c>
      <c r="C305" t="s">
        <v>3180</v>
      </c>
      <c r="D305">
        <v>1.57</v>
      </c>
      <c r="E305">
        <v>0</v>
      </c>
      <c r="F305" t="s">
        <v>3182</v>
      </c>
      <c r="G305" t="s">
        <v>3182</v>
      </c>
      <c r="H305">
        <v>0</v>
      </c>
      <c r="I305">
        <v>69.913268</v>
      </c>
      <c r="J305">
        <v>0</v>
      </c>
      <c r="K305" t="s">
        <v>3182</v>
      </c>
      <c r="L305">
        <v>0.6705302799916421</v>
      </c>
      <c r="M305">
        <v>1.93</v>
      </c>
      <c r="N305">
        <v>0.5700000000000001</v>
      </c>
    </row>
    <row r="306" spans="1:14">
      <c r="A306" s="1" t="s">
        <v>318</v>
      </c>
      <c r="B306">
        <f>HYPERLINK("https://www.suredividend.com/sure-analysis-AVT/","Avnet Inc.")</f>
        <v>0</v>
      </c>
      <c r="C306" t="s">
        <v>3185</v>
      </c>
      <c r="D306">
        <v>45.37</v>
      </c>
      <c r="E306">
        <v>0.02733083535375799</v>
      </c>
      <c r="F306">
        <v>0.06896551724137945</v>
      </c>
      <c r="G306">
        <v>0.09160706958928855</v>
      </c>
      <c r="H306">
        <v>1.163222748451649</v>
      </c>
      <c r="I306">
        <v>4143.049159</v>
      </c>
      <c r="J306">
        <v>5.374803664981033</v>
      </c>
      <c r="K306">
        <v>0.1408259986018946</v>
      </c>
      <c r="L306">
        <v>0.9013140938131371</v>
      </c>
      <c r="M306">
        <v>50.99</v>
      </c>
      <c r="N306">
        <v>38.87</v>
      </c>
    </row>
    <row r="307" spans="1:14">
      <c r="A307" s="1" t="s">
        <v>319</v>
      </c>
      <c r="B307">
        <f>HYPERLINK("https://www.suredividend.com/sure-analysis-research-database/","Avantor Inc.")</f>
        <v>0</v>
      </c>
      <c r="C307" t="s">
        <v>3181</v>
      </c>
      <c r="D307">
        <v>18.2</v>
      </c>
      <c r="E307">
        <v>0</v>
      </c>
      <c r="F307" t="s">
        <v>3182</v>
      </c>
      <c r="G307" t="s">
        <v>3182</v>
      </c>
      <c r="H307">
        <v>0</v>
      </c>
      <c r="I307">
        <v>12310.229113</v>
      </c>
      <c r="J307">
        <v>33.79146064507275</v>
      </c>
      <c r="K307">
        <v>0</v>
      </c>
      <c r="L307">
        <v>1.019269347313217</v>
      </c>
      <c r="M307">
        <v>25.25</v>
      </c>
      <c r="N307">
        <v>16.63</v>
      </c>
    </row>
    <row r="308" spans="1:14">
      <c r="A308" s="1" t="s">
        <v>320</v>
      </c>
      <c r="B308">
        <f>HYPERLINK("https://www.suredividend.com/sure-analysis-research-database/","Anavex Life Sciences Corporation")</f>
        <v>0</v>
      </c>
      <c r="C308" t="s">
        <v>3180</v>
      </c>
      <c r="D308">
        <v>5.69</v>
      </c>
      <c r="E308">
        <v>0</v>
      </c>
      <c r="F308" t="s">
        <v>3182</v>
      </c>
      <c r="G308" t="s">
        <v>3182</v>
      </c>
      <c r="H308">
        <v>0</v>
      </c>
      <c r="I308">
        <v>466.301844</v>
      </c>
      <c r="J308">
        <v>0</v>
      </c>
      <c r="K308" t="s">
        <v>3182</v>
      </c>
      <c r="L308">
        <v>1.773293207651369</v>
      </c>
      <c r="M308">
        <v>15.24</v>
      </c>
      <c r="N308">
        <v>4.9</v>
      </c>
    </row>
    <row r="309" spans="1:14">
      <c r="A309" s="1" t="s">
        <v>321</v>
      </c>
      <c r="B309">
        <f>HYPERLINK("https://www.suredividend.com/sure-analysis-AVY/","Avery Dennison Corp.")</f>
        <v>0</v>
      </c>
      <c r="C309" t="s">
        <v>3183</v>
      </c>
      <c r="D309">
        <v>176.21</v>
      </c>
      <c r="E309">
        <v>0.01838715169400148</v>
      </c>
      <c r="F309" t="s">
        <v>3182</v>
      </c>
      <c r="G309" t="s">
        <v>3182</v>
      </c>
      <c r="H309">
        <v>3.099749138630925</v>
      </c>
      <c r="I309">
        <v>14190.416496</v>
      </c>
      <c r="J309">
        <v>29.39191486408451</v>
      </c>
      <c r="K309">
        <v>0.5218432893318056</v>
      </c>
      <c r="L309">
        <v>1.0303309911545</v>
      </c>
      <c r="M309">
        <v>193.36</v>
      </c>
      <c r="N309">
        <v>157.48</v>
      </c>
    </row>
    <row r="310" spans="1:14">
      <c r="A310" s="1" t="s">
        <v>322</v>
      </c>
      <c r="B310">
        <f>HYPERLINK("https://www.suredividend.com/sure-analysis-research-database/","Avaya Holdings Corp.")</f>
        <v>0</v>
      </c>
      <c r="C310" t="s">
        <v>3185</v>
      </c>
      <c r="D310">
        <v>0.021</v>
      </c>
      <c r="E310">
        <v>0</v>
      </c>
      <c r="F310" t="s">
        <v>3182</v>
      </c>
      <c r="G310" t="s">
        <v>3182</v>
      </c>
      <c r="H310">
        <v>0</v>
      </c>
      <c r="I310">
        <v>29.750952</v>
      </c>
      <c r="J310">
        <v>0</v>
      </c>
      <c r="K310" t="s">
        <v>3182</v>
      </c>
      <c r="L310">
        <v>1.761488283659976</v>
      </c>
      <c r="M310">
        <v>15.77</v>
      </c>
      <c r="N310">
        <v>0.121</v>
      </c>
    </row>
    <row r="311" spans="1:14">
      <c r="A311" s="1" t="s">
        <v>323</v>
      </c>
      <c r="B311">
        <f>HYPERLINK("https://www.suredividend.com/sure-analysis-research-database/","Armstrong World Industries Inc.")</f>
        <v>0</v>
      </c>
      <c r="C311" t="s">
        <v>3183</v>
      </c>
      <c r="D311">
        <v>78.81999999999999</v>
      </c>
      <c r="E311">
        <v>0.01315110970885</v>
      </c>
      <c r="F311">
        <v>0.1023622047244095</v>
      </c>
      <c r="G311">
        <v>0.09856054330611785</v>
      </c>
      <c r="H311">
        <v>1.036570467251611</v>
      </c>
      <c r="I311">
        <v>3482.290064</v>
      </c>
      <c r="J311">
        <v>15.42201091098317</v>
      </c>
      <c r="K311">
        <v>0.2073140934503222</v>
      </c>
      <c r="L311">
        <v>1.118482293285879</v>
      </c>
      <c r="M311">
        <v>82.23999999999999</v>
      </c>
      <c r="N311">
        <v>61.6</v>
      </c>
    </row>
    <row r="312" spans="1:14">
      <c r="A312" s="1" t="s">
        <v>324</v>
      </c>
      <c r="B312">
        <f>HYPERLINK("https://www.suredividend.com/sure-analysis-AWK/","American Water Works Co. Inc.")</f>
        <v>0</v>
      </c>
      <c r="C312" t="s">
        <v>3190</v>
      </c>
      <c r="D312">
        <v>124.49</v>
      </c>
      <c r="E312">
        <v>0.02273274961844325</v>
      </c>
      <c r="F312">
        <v>0.08015267175572527</v>
      </c>
      <c r="G312">
        <v>0.09230270589907885</v>
      </c>
      <c r="H312">
        <v>2.706020037279001</v>
      </c>
      <c r="I312">
        <v>24234.299118</v>
      </c>
      <c r="J312">
        <v>27.10771713432886</v>
      </c>
      <c r="K312">
        <v>0.5637541744331253</v>
      </c>
      <c r="L312">
        <v>0.7420503479642011</v>
      </c>
      <c r="M312">
        <v>160.34</v>
      </c>
      <c r="N312">
        <v>114.25</v>
      </c>
    </row>
    <row r="313" spans="1:14">
      <c r="A313" s="1" t="s">
        <v>325</v>
      </c>
      <c r="B313">
        <f>HYPERLINK("https://www.suredividend.com/sure-analysis-AWR/","American States Water Co.")</f>
        <v>0</v>
      </c>
      <c r="C313" t="s">
        <v>3190</v>
      </c>
      <c r="D313">
        <v>80.66</v>
      </c>
      <c r="E313">
        <v>0.02132407636994793</v>
      </c>
      <c r="F313">
        <v>0.08176100628930816</v>
      </c>
      <c r="G313">
        <v>0.09352106218236167</v>
      </c>
      <c r="H313">
        <v>1.611605654193422</v>
      </c>
      <c r="I313">
        <v>2982.547397</v>
      </c>
      <c r="J313">
        <v>25.51344639857657</v>
      </c>
      <c r="K313">
        <v>0.5116208426010864</v>
      </c>
      <c r="L313">
        <v>0.605534961810351</v>
      </c>
      <c r="M313">
        <v>99.16</v>
      </c>
      <c r="N313">
        <v>75.2</v>
      </c>
    </row>
    <row r="314" spans="1:14">
      <c r="A314" s="1" t="s">
        <v>326</v>
      </c>
      <c r="B314">
        <f>HYPERLINK("https://www.suredividend.com/sure-analysis-research-database/","Aware Inc.")</f>
        <v>0</v>
      </c>
      <c r="C314" t="s">
        <v>3185</v>
      </c>
      <c r="D314">
        <v>1.53</v>
      </c>
      <c r="E314">
        <v>0</v>
      </c>
      <c r="F314" t="s">
        <v>3182</v>
      </c>
      <c r="G314" t="s">
        <v>3182</v>
      </c>
      <c r="H314">
        <v>0</v>
      </c>
      <c r="I314">
        <v>32.222319</v>
      </c>
      <c r="J314">
        <v>0</v>
      </c>
      <c r="K314" t="s">
        <v>3182</v>
      </c>
      <c r="L314">
        <v>1.00516350896697</v>
      </c>
      <c r="M314">
        <v>2.01</v>
      </c>
      <c r="N314">
        <v>1.05</v>
      </c>
    </row>
    <row r="315" spans="1:14">
      <c r="A315" s="1" t="s">
        <v>327</v>
      </c>
      <c r="B315">
        <f>HYPERLINK("https://www.suredividend.com/sure-analysis-research-database/","Axos Financial Inc.")</f>
        <v>0</v>
      </c>
      <c r="C315" t="s">
        <v>3184</v>
      </c>
      <c r="D315">
        <v>39.96</v>
      </c>
      <c r="E315">
        <v>0</v>
      </c>
      <c r="F315" t="s">
        <v>3182</v>
      </c>
      <c r="G315" t="s">
        <v>3182</v>
      </c>
      <c r="H315">
        <v>0</v>
      </c>
      <c r="I315">
        <v>2306.977393</v>
      </c>
      <c r="J315">
        <v>6.96124474829739</v>
      </c>
      <c r="K315">
        <v>0</v>
      </c>
      <c r="L315">
        <v>1.79599137908305</v>
      </c>
      <c r="M315">
        <v>51.46</v>
      </c>
      <c r="N315">
        <v>33.15</v>
      </c>
    </row>
    <row r="316" spans="1:14">
      <c r="A316" s="1" t="s">
        <v>328</v>
      </c>
      <c r="B316">
        <f>HYPERLINK("https://www.suredividend.com/sure-analysis-research-database/","Abraxas Petroleum Corp.")</f>
        <v>0</v>
      </c>
      <c r="C316" t="s">
        <v>3189</v>
      </c>
      <c r="D316">
        <v>0.0347</v>
      </c>
      <c r="E316">
        <v>0</v>
      </c>
      <c r="F316" t="s">
        <v>3182</v>
      </c>
      <c r="G316" t="s">
        <v>3182</v>
      </c>
      <c r="H316">
        <v>0</v>
      </c>
      <c r="I316">
        <v>3.49434</v>
      </c>
      <c r="J316">
        <v>0.09361175581333001</v>
      </c>
      <c r="K316">
        <v>0</v>
      </c>
      <c r="M316">
        <v>1.97</v>
      </c>
      <c r="N316">
        <v>0.0211</v>
      </c>
    </row>
    <row r="317" spans="1:14">
      <c r="A317" s="1" t="s">
        <v>329</v>
      </c>
      <c r="B317">
        <f>HYPERLINK("https://www.suredividend.com/sure-analysis-research-database/","Accelerate Diagnostics Inc")</f>
        <v>0</v>
      </c>
      <c r="C317" t="s">
        <v>3180</v>
      </c>
      <c r="D317">
        <v>5.95</v>
      </c>
      <c r="E317">
        <v>0</v>
      </c>
      <c r="F317" t="s">
        <v>3182</v>
      </c>
      <c r="G317" t="s">
        <v>3182</v>
      </c>
      <c r="H317">
        <v>0</v>
      </c>
      <c r="I317">
        <v>85.48942700000001</v>
      </c>
      <c r="J317">
        <v>0</v>
      </c>
      <c r="K317" t="s">
        <v>3182</v>
      </c>
      <c r="L317">
        <v>1.162866506845265</v>
      </c>
      <c r="M317">
        <v>15.6</v>
      </c>
      <c r="N317">
        <v>4.5</v>
      </c>
    </row>
    <row r="318" spans="1:14">
      <c r="A318" s="1" t="s">
        <v>330</v>
      </c>
      <c r="B318">
        <f>HYPERLINK("https://www.suredividend.com/sure-analysis-research-database/","Axogen Inc.")</f>
        <v>0</v>
      </c>
      <c r="C318" t="s">
        <v>3180</v>
      </c>
      <c r="D318">
        <v>3.8</v>
      </c>
      <c r="E318">
        <v>0</v>
      </c>
      <c r="F318" t="s">
        <v>3182</v>
      </c>
      <c r="G318" t="s">
        <v>3182</v>
      </c>
      <c r="H318">
        <v>0</v>
      </c>
      <c r="I318">
        <v>163.337619</v>
      </c>
      <c r="J318">
        <v>0</v>
      </c>
      <c r="K318" t="s">
        <v>3182</v>
      </c>
      <c r="L318">
        <v>1.36853920346147</v>
      </c>
      <c r="M318">
        <v>13.66</v>
      </c>
      <c r="N318">
        <v>3.45</v>
      </c>
    </row>
    <row r="319" spans="1:14">
      <c r="A319" s="1" t="s">
        <v>331</v>
      </c>
      <c r="B319">
        <f>HYPERLINK("https://www.suredividend.com/sure-analysis-research-database/","American Axle &amp; Manufacturing Holdings Inc")</f>
        <v>0</v>
      </c>
      <c r="C319" t="s">
        <v>3186</v>
      </c>
      <c r="D319">
        <v>6.5</v>
      </c>
      <c r="E319">
        <v>0</v>
      </c>
      <c r="F319" t="s">
        <v>3182</v>
      </c>
      <c r="G319" t="s">
        <v>3182</v>
      </c>
      <c r="H319">
        <v>0</v>
      </c>
      <c r="I319">
        <v>760.876344</v>
      </c>
      <c r="J319">
        <v>18.33436972289157</v>
      </c>
      <c r="K319">
        <v>0</v>
      </c>
      <c r="L319">
        <v>1.406602593838925</v>
      </c>
      <c r="M319">
        <v>10.77</v>
      </c>
      <c r="N319">
        <v>6.29</v>
      </c>
    </row>
    <row r="320" spans="1:14">
      <c r="A320" s="1" t="s">
        <v>332</v>
      </c>
      <c r="B320">
        <f>HYPERLINK("https://www.suredividend.com/sure-analysis-research-database/","Axonics Inc")</f>
        <v>0</v>
      </c>
      <c r="C320" t="s">
        <v>3180</v>
      </c>
      <c r="D320">
        <v>52.84</v>
      </c>
      <c r="E320">
        <v>0</v>
      </c>
      <c r="F320" t="s">
        <v>3182</v>
      </c>
      <c r="G320" t="s">
        <v>3182</v>
      </c>
      <c r="H320">
        <v>0</v>
      </c>
      <c r="I320">
        <v>2676.98156</v>
      </c>
      <c r="J320" t="s">
        <v>3182</v>
      </c>
      <c r="K320">
        <v>-0</v>
      </c>
      <c r="L320">
        <v>1.161168674218098</v>
      </c>
      <c r="M320">
        <v>71.98999999999999</v>
      </c>
      <c r="N320">
        <v>47.59</v>
      </c>
    </row>
    <row r="321" spans="1:14">
      <c r="A321" s="1" t="s">
        <v>333</v>
      </c>
      <c r="B321">
        <f>HYPERLINK("https://www.suredividend.com/sure-analysis-AXP/","American Express Co.")</f>
        <v>0</v>
      </c>
      <c r="C321" t="s">
        <v>3184</v>
      </c>
      <c r="D321">
        <v>150.85</v>
      </c>
      <c r="E321">
        <v>0.01590984421610872</v>
      </c>
      <c r="F321">
        <v>0.153846153846154</v>
      </c>
      <c r="G321">
        <v>0.08997698704834534</v>
      </c>
      <c r="H321">
        <v>2.307244776261612</v>
      </c>
      <c r="I321">
        <v>109931.27029</v>
      </c>
      <c r="J321">
        <v>13.92592732334051</v>
      </c>
      <c r="K321">
        <v>0.2166427019963955</v>
      </c>
      <c r="L321">
        <v>1.125676015802806</v>
      </c>
      <c r="M321">
        <v>180.12</v>
      </c>
      <c r="N321">
        <v>138.95</v>
      </c>
    </row>
    <row r="322" spans="1:14">
      <c r="A322" s="1" t="s">
        <v>334</v>
      </c>
      <c r="B322">
        <f>HYPERLINK("https://www.suredividend.com/sure-analysis-research-database/","AMREP Corp.")</f>
        <v>0</v>
      </c>
      <c r="C322" t="s">
        <v>3187</v>
      </c>
      <c r="D322">
        <v>16.2</v>
      </c>
      <c r="E322">
        <v>0</v>
      </c>
      <c r="F322" t="s">
        <v>3182</v>
      </c>
      <c r="G322" t="s">
        <v>3182</v>
      </c>
      <c r="H322">
        <v>0</v>
      </c>
      <c r="I322">
        <v>85.395206</v>
      </c>
      <c r="J322">
        <v>4.023520816057293</v>
      </c>
      <c r="K322">
        <v>0</v>
      </c>
      <c r="M322">
        <v>19.97</v>
      </c>
      <c r="N322">
        <v>10.55</v>
      </c>
    </row>
    <row r="323" spans="1:14">
      <c r="A323" s="1" t="s">
        <v>335</v>
      </c>
      <c r="B323">
        <f>HYPERLINK("https://www.suredividend.com/sure-analysis-AXS/","Axis Capital Holdings Ltd")</f>
        <v>0</v>
      </c>
      <c r="C323" t="s">
        <v>3184</v>
      </c>
      <c r="D323">
        <v>54</v>
      </c>
      <c r="E323">
        <v>0.03259259259259259</v>
      </c>
      <c r="F323">
        <v>0.02325581395348841</v>
      </c>
      <c r="G323">
        <v>0.01924487649145656</v>
      </c>
      <c r="H323">
        <v>1.739078103013436</v>
      </c>
      <c r="I323">
        <v>4601.946366</v>
      </c>
      <c r="J323">
        <v>13.55004141614599</v>
      </c>
      <c r="K323">
        <v>0.4391611371246051</v>
      </c>
      <c r="L323">
        <v>0.546208695292255</v>
      </c>
      <c r="M323">
        <v>62.46</v>
      </c>
      <c r="N323">
        <v>50.02</v>
      </c>
    </row>
    <row r="324" spans="1:14">
      <c r="A324" s="1" t="s">
        <v>336</v>
      </c>
      <c r="B324">
        <f>HYPERLINK("https://www.suredividend.com/sure-analysis-research-database/","Axsome Therapeutics Inc")</f>
        <v>0</v>
      </c>
      <c r="C324" t="s">
        <v>3180</v>
      </c>
      <c r="D324">
        <v>64.40000000000001</v>
      </c>
      <c r="E324">
        <v>0</v>
      </c>
      <c r="F324" t="s">
        <v>3182</v>
      </c>
      <c r="G324" t="s">
        <v>3182</v>
      </c>
      <c r="H324">
        <v>0</v>
      </c>
      <c r="I324">
        <v>3039.098468</v>
      </c>
      <c r="J324" t="s">
        <v>3182</v>
      </c>
      <c r="K324">
        <v>-0</v>
      </c>
      <c r="L324">
        <v>0.511918406647158</v>
      </c>
      <c r="M324">
        <v>91.29000000000001</v>
      </c>
      <c r="N324">
        <v>49.6</v>
      </c>
    </row>
    <row r="325" spans="1:14">
      <c r="A325" s="1" t="s">
        <v>337</v>
      </c>
      <c r="B325">
        <f>HYPERLINK("https://www.suredividend.com/sure-analysis-research-database/","Axalta Coating Systems Ltd")</f>
        <v>0</v>
      </c>
      <c r="C325" t="s">
        <v>3181</v>
      </c>
      <c r="D325">
        <v>29</v>
      </c>
      <c r="E325">
        <v>0</v>
      </c>
      <c r="F325" t="s">
        <v>3182</v>
      </c>
      <c r="G325" t="s">
        <v>3182</v>
      </c>
      <c r="H325">
        <v>0</v>
      </c>
      <c r="I325">
        <v>6429.348314</v>
      </c>
      <c r="J325">
        <v>28.27329953386104</v>
      </c>
      <c r="K325">
        <v>0</v>
      </c>
      <c r="L325">
        <v>1.39127673916581</v>
      </c>
      <c r="M325">
        <v>33.68</v>
      </c>
      <c r="N325">
        <v>23.27</v>
      </c>
    </row>
    <row r="326" spans="1:14">
      <c r="A326" s="1" t="s">
        <v>338</v>
      </c>
      <c r="B326">
        <f>HYPERLINK("https://www.suredividend.com/sure-analysis-research-database/","AXT Inc")</f>
        <v>0</v>
      </c>
      <c r="C326" t="s">
        <v>3185</v>
      </c>
      <c r="D326">
        <v>2.05</v>
      </c>
      <c r="E326">
        <v>0</v>
      </c>
      <c r="F326" t="s">
        <v>3182</v>
      </c>
      <c r="G326" t="s">
        <v>3182</v>
      </c>
      <c r="H326">
        <v>0</v>
      </c>
      <c r="I326">
        <v>89.496565</v>
      </c>
      <c r="J326" t="s">
        <v>3182</v>
      </c>
      <c r="K326">
        <v>-0</v>
      </c>
      <c r="L326">
        <v>1.501457198987841</v>
      </c>
      <c r="M326">
        <v>6.57</v>
      </c>
      <c r="N326">
        <v>1.89</v>
      </c>
    </row>
    <row r="327" spans="1:14">
      <c r="A327" s="1" t="s">
        <v>339</v>
      </c>
      <c r="B327">
        <f>HYPERLINK("https://www.suredividend.com/sure-analysis-research-database/","Acuity Brands, Inc.")</f>
        <v>0</v>
      </c>
      <c r="C327" t="s">
        <v>3183</v>
      </c>
      <c r="D327">
        <v>166.92</v>
      </c>
      <c r="E327">
        <v>0.003111715121068</v>
      </c>
      <c r="F327">
        <v>0</v>
      </c>
      <c r="G327">
        <v>0</v>
      </c>
      <c r="H327">
        <v>0.5194074880088231</v>
      </c>
      <c r="I327">
        <v>5165.80494</v>
      </c>
      <c r="J327">
        <v>14.93007208057803</v>
      </c>
      <c r="K327">
        <v>0.04827207137628468</v>
      </c>
      <c r="L327">
        <v>1.012276894506419</v>
      </c>
      <c r="M327">
        <v>202.43</v>
      </c>
      <c r="N327">
        <v>149.07</v>
      </c>
    </row>
    <row r="328" spans="1:14">
      <c r="A328" s="1" t="s">
        <v>340</v>
      </c>
      <c r="B328">
        <f>HYPERLINK("https://www.suredividend.com/sure-analysis-research-database/","Alteryx Inc")</f>
        <v>0</v>
      </c>
      <c r="C328" t="s">
        <v>3185</v>
      </c>
      <c r="D328">
        <v>30.49</v>
      </c>
      <c r="E328">
        <v>0</v>
      </c>
      <c r="F328" t="s">
        <v>3182</v>
      </c>
      <c r="G328" t="s">
        <v>3182</v>
      </c>
      <c r="H328">
        <v>0</v>
      </c>
      <c r="I328">
        <v>1925.912406</v>
      </c>
      <c r="J328" t="s">
        <v>3182</v>
      </c>
      <c r="K328">
        <v>-0</v>
      </c>
      <c r="L328">
        <v>1.628350079644454</v>
      </c>
      <c r="M328">
        <v>70.63</v>
      </c>
      <c r="N328">
        <v>27.92</v>
      </c>
    </row>
    <row r="329" spans="1:14">
      <c r="A329" s="1" t="s">
        <v>341</v>
      </c>
      <c r="B329">
        <f>HYPERLINK("https://www.suredividend.com/sure-analysis-research-database/","Autozone Inc.")</f>
        <v>0</v>
      </c>
      <c r="C329" t="s">
        <v>3186</v>
      </c>
      <c r="D329">
        <v>2546.02</v>
      </c>
      <c r="E329">
        <v>0</v>
      </c>
      <c r="F329" t="s">
        <v>3182</v>
      </c>
      <c r="G329" t="s">
        <v>3182</v>
      </c>
      <c r="H329">
        <v>0</v>
      </c>
      <c r="I329">
        <v>44895.875083</v>
      </c>
      <c r="J329">
        <v>17.75645207056089</v>
      </c>
      <c r="K329">
        <v>0</v>
      </c>
      <c r="L329">
        <v>0.482435824591369</v>
      </c>
      <c r="M329">
        <v>2750</v>
      </c>
      <c r="N329">
        <v>2277.88</v>
      </c>
    </row>
    <row r="330" spans="1:14">
      <c r="A330" s="1" t="s">
        <v>342</v>
      </c>
      <c r="B330">
        <f>HYPERLINK("https://www.suredividend.com/sure-analysis-research-database/","Aspen Technology Inc")</f>
        <v>0</v>
      </c>
      <c r="C330" t="s">
        <v>3185</v>
      </c>
      <c r="D330">
        <v>171.95</v>
      </c>
      <c r="E330">
        <v>0</v>
      </c>
      <c r="F330" t="s">
        <v>3182</v>
      </c>
      <c r="G330" t="s">
        <v>3182</v>
      </c>
      <c r="H330">
        <v>0</v>
      </c>
      <c r="I330">
        <v>10961.753177</v>
      </c>
      <c r="J330">
        <v>0</v>
      </c>
      <c r="K330" t="s">
        <v>3182</v>
      </c>
      <c r="L330">
        <v>0.7077410407483921</v>
      </c>
      <c r="M330">
        <v>251.85</v>
      </c>
      <c r="N330">
        <v>161.32</v>
      </c>
    </row>
    <row r="331" spans="1:14">
      <c r="A331" s="1" t="s">
        <v>343</v>
      </c>
      <c r="B331">
        <f>HYPERLINK("https://www.suredividend.com/sure-analysis-research-database/","AZZ Inc")</f>
        <v>0</v>
      </c>
      <c r="C331" t="s">
        <v>3183</v>
      </c>
      <c r="D331">
        <v>47.25</v>
      </c>
      <c r="E331">
        <v>0.014309264700882</v>
      </c>
      <c r="F331">
        <v>0</v>
      </c>
      <c r="G331">
        <v>0</v>
      </c>
      <c r="H331">
        <v>0.67611275711671</v>
      </c>
      <c r="I331">
        <v>1184.882155</v>
      </c>
      <c r="J331">
        <v>51.57716252774997</v>
      </c>
      <c r="K331">
        <v>0.7618171911174197</v>
      </c>
      <c r="L331">
        <v>1.056217812647513</v>
      </c>
      <c r="M331">
        <v>50.68</v>
      </c>
      <c r="N331">
        <v>34.33</v>
      </c>
    </row>
    <row r="332" spans="1:14">
      <c r="A332" s="1" t="s">
        <v>344</v>
      </c>
      <c r="B332">
        <f>HYPERLINK("https://www.suredividend.com/sure-analysis-research-database/","Barnes Group Inc.")</f>
        <v>0</v>
      </c>
      <c r="C332" t="s">
        <v>3183</v>
      </c>
      <c r="D332">
        <v>21.3</v>
      </c>
      <c r="E332">
        <v>0.029866285035239</v>
      </c>
      <c r="F332">
        <v>0</v>
      </c>
      <c r="G332">
        <v>0</v>
      </c>
      <c r="H332">
        <v>0.636151871250606</v>
      </c>
      <c r="I332">
        <v>1078.3492</v>
      </c>
      <c r="J332">
        <v>17.10091027149608</v>
      </c>
      <c r="K332">
        <v>0.5171966432931756</v>
      </c>
      <c r="L332">
        <v>0.9831128994238421</v>
      </c>
      <c r="M332">
        <v>46.8</v>
      </c>
      <c r="N332">
        <v>18.79</v>
      </c>
    </row>
    <row r="333" spans="1:14">
      <c r="A333" s="1" t="s">
        <v>345</v>
      </c>
      <c r="B333">
        <f>HYPERLINK("https://www.suredividend.com/sure-analysis-research-database/","Boeing Co.")</f>
        <v>0</v>
      </c>
      <c r="C333" t="s">
        <v>3183</v>
      </c>
      <c r="D333">
        <v>192.01</v>
      </c>
      <c r="E333">
        <v>0</v>
      </c>
      <c r="F333" t="s">
        <v>3182</v>
      </c>
      <c r="G333" t="s">
        <v>3182</v>
      </c>
      <c r="H333">
        <v>0</v>
      </c>
      <c r="I333">
        <v>116161.594792</v>
      </c>
      <c r="J333" t="s">
        <v>3182</v>
      </c>
      <c r="K333">
        <v>-0</v>
      </c>
      <c r="L333">
        <v>1.006693865598964</v>
      </c>
      <c r="M333">
        <v>243.1</v>
      </c>
      <c r="N333">
        <v>154.5</v>
      </c>
    </row>
    <row r="334" spans="1:14">
      <c r="A334" s="1" t="s">
        <v>346</v>
      </c>
      <c r="B334">
        <f>HYPERLINK("https://www.suredividend.com/sure-analysis-BAC/","Bank Of America Corp.")</f>
        <v>0</v>
      </c>
      <c r="C334" t="s">
        <v>3184</v>
      </c>
      <c r="D334">
        <v>27.62</v>
      </c>
      <c r="E334">
        <v>0.03475742215785662</v>
      </c>
      <c r="F334">
        <v>0.09090909090909083</v>
      </c>
      <c r="G334">
        <v>0.09856054330611785</v>
      </c>
      <c r="H334">
        <v>0.889695827919286</v>
      </c>
      <c r="I334">
        <v>218577.278227</v>
      </c>
      <c r="J334">
        <v>7.554862374764276</v>
      </c>
      <c r="K334">
        <v>0.2499145584042938</v>
      </c>
      <c r="L334">
        <v>1.033514087845459</v>
      </c>
      <c r="M334">
        <v>37.51</v>
      </c>
      <c r="N334">
        <v>24.96</v>
      </c>
    </row>
    <row r="335" spans="1:14">
      <c r="A335" s="1" t="s">
        <v>347</v>
      </c>
      <c r="B335">
        <f>HYPERLINK("https://www.suredividend.com/sure-analysis-BAH/","Booz Allen Hamilton Holding Corp")</f>
        <v>0</v>
      </c>
      <c r="C335" t="s">
        <v>3183</v>
      </c>
      <c r="D335">
        <v>122.74</v>
      </c>
      <c r="E335">
        <v>0.01531693009613818</v>
      </c>
      <c r="F335">
        <v>0.09302325581395365</v>
      </c>
      <c r="G335">
        <v>0.1985850361318862</v>
      </c>
      <c r="H335">
        <v>1.828619927792992</v>
      </c>
      <c r="I335">
        <v>16002.988733</v>
      </c>
      <c r="J335">
        <v>54.30614370617719</v>
      </c>
      <c r="K335">
        <v>0.8200089362300412</v>
      </c>
      <c r="L335">
        <v>0.478339672919763</v>
      </c>
      <c r="M335">
        <v>130.34</v>
      </c>
      <c r="N335">
        <v>87.26000000000001</v>
      </c>
    </row>
    <row r="336" spans="1:14">
      <c r="A336" s="1" t="s">
        <v>348</v>
      </c>
      <c r="B336">
        <f>HYPERLINK("https://www.suredividend.com/sure-analysis-research-database/","Banc of California Inc")</f>
        <v>0</v>
      </c>
      <c r="C336" t="s">
        <v>3184</v>
      </c>
      <c r="D336">
        <v>12.06</v>
      </c>
      <c r="E336">
        <v>0.029539160522519</v>
      </c>
      <c r="F336">
        <v>0.6666666666666667</v>
      </c>
      <c r="G336">
        <v>-0.05111991994525078</v>
      </c>
      <c r="H336">
        <v>0.356242275901591</v>
      </c>
      <c r="I336">
        <v>686.894015</v>
      </c>
      <c r="J336">
        <v>8.189789383346051</v>
      </c>
      <c r="K336">
        <v>0.2526540963841071</v>
      </c>
      <c r="L336">
        <v>1.28477852538834</v>
      </c>
      <c r="M336">
        <v>17.84</v>
      </c>
      <c r="N336">
        <v>9.57</v>
      </c>
    </row>
    <row r="337" spans="1:14">
      <c r="A337" s="1" t="s">
        <v>349</v>
      </c>
      <c r="B337">
        <f>HYPERLINK("https://www.suredividend.com/sure-analysis-research-database/","Bandwidth Inc")</f>
        <v>0</v>
      </c>
      <c r="C337" t="s">
        <v>3185</v>
      </c>
      <c r="D337">
        <v>10.78</v>
      </c>
      <c r="E337">
        <v>0</v>
      </c>
      <c r="F337" t="s">
        <v>3182</v>
      </c>
      <c r="G337" t="s">
        <v>3182</v>
      </c>
      <c r="H337">
        <v>0</v>
      </c>
      <c r="I337">
        <v>254.727972</v>
      </c>
      <c r="J337">
        <v>7.873395727135041</v>
      </c>
      <c r="K337">
        <v>0</v>
      </c>
      <c r="L337">
        <v>2.221709319337624</v>
      </c>
      <c r="M337">
        <v>29.07</v>
      </c>
      <c r="N337">
        <v>9.34</v>
      </c>
    </row>
    <row r="338" spans="1:14">
      <c r="A338" s="1" t="s">
        <v>350</v>
      </c>
      <c r="B338">
        <f>HYPERLINK("https://www.suredividend.com/sure-analysis-BANF/","Bancfirst Corp.")</f>
        <v>0</v>
      </c>
      <c r="C338" t="s">
        <v>3184</v>
      </c>
      <c r="D338">
        <v>84.7</v>
      </c>
      <c r="E338">
        <v>0.02030696576151121</v>
      </c>
      <c r="F338">
        <v>0.07499999999999996</v>
      </c>
      <c r="G338">
        <v>0.07465593169226681</v>
      </c>
      <c r="H338">
        <v>1.609145663105839</v>
      </c>
      <c r="I338">
        <v>2790.166733</v>
      </c>
      <c r="J338">
        <v>12.39958374196186</v>
      </c>
      <c r="K338">
        <v>0.2394561998669403</v>
      </c>
      <c r="L338">
        <v>0.9071667385161221</v>
      </c>
      <c r="M338">
        <v>102.97</v>
      </c>
      <c r="N338">
        <v>67.16</v>
      </c>
    </row>
    <row r="339" spans="1:14">
      <c r="A339" s="1" t="s">
        <v>351</v>
      </c>
      <c r="B339">
        <f>HYPERLINK("https://www.suredividend.com/sure-analysis-research-database/","Banner Corp.")</f>
        <v>0</v>
      </c>
      <c r="C339" t="s">
        <v>3184</v>
      </c>
      <c r="D339">
        <v>43.52</v>
      </c>
      <c r="E339">
        <v>0.042732963501384</v>
      </c>
      <c r="F339">
        <v>0.09090909090909083</v>
      </c>
      <c r="G339">
        <v>0.03202799005791701</v>
      </c>
      <c r="H339">
        <v>1.859738571580251</v>
      </c>
      <c r="I339">
        <v>1494.703539</v>
      </c>
      <c r="J339">
        <v>7.526352691897118</v>
      </c>
      <c r="K339">
        <v>0.3223117108457974</v>
      </c>
      <c r="L339">
        <v>1.16324407441437</v>
      </c>
      <c r="M339">
        <v>68.88</v>
      </c>
      <c r="N339">
        <v>38.42</v>
      </c>
    </row>
    <row r="340" spans="1:14">
      <c r="A340" s="1" t="s">
        <v>352</v>
      </c>
      <c r="B340">
        <f>HYPERLINK("https://www.suredividend.com/sure-analysis-research-database/","Atlanta Braves Holdings Inc")</f>
        <v>0</v>
      </c>
      <c r="C340" t="s">
        <v>3191</v>
      </c>
      <c r="D340">
        <v>39.65</v>
      </c>
      <c r="E340">
        <v>0</v>
      </c>
      <c r="F340" t="s">
        <v>3182</v>
      </c>
      <c r="G340" t="s">
        <v>3182</v>
      </c>
      <c r="H340">
        <v>0</v>
      </c>
      <c r="I340">
        <v>2233.935683</v>
      </c>
      <c r="J340">
        <v>0</v>
      </c>
      <c r="K340" t="s">
        <v>3182</v>
      </c>
      <c r="L340">
        <v>0.548777923675003</v>
      </c>
      <c r="M340">
        <v>54.94</v>
      </c>
      <c r="N340">
        <v>37.32</v>
      </c>
    </row>
    <row r="341" spans="1:14">
      <c r="A341" s="1" t="s">
        <v>353</v>
      </c>
      <c r="B341">
        <f>HYPERLINK("https://www.suredividend.com/sure-analysis-research-database/","Atlanta Braves Holdings Inc")</f>
        <v>0</v>
      </c>
      <c r="C341" t="s">
        <v>3191</v>
      </c>
      <c r="D341">
        <v>36.19</v>
      </c>
      <c r="E341">
        <v>0</v>
      </c>
      <c r="F341" t="s">
        <v>3182</v>
      </c>
      <c r="G341" t="s">
        <v>3182</v>
      </c>
      <c r="H341">
        <v>0</v>
      </c>
      <c r="I341">
        <v>2233.935683</v>
      </c>
      <c r="J341">
        <v>0</v>
      </c>
      <c r="K341" t="s">
        <v>3182</v>
      </c>
      <c r="L341">
        <v>0.492313669121228</v>
      </c>
      <c r="M341">
        <v>50.15</v>
      </c>
      <c r="N341">
        <v>34.1</v>
      </c>
    </row>
    <row r="342" spans="1:14">
      <c r="A342" s="1" t="s">
        <v>354</v>
      </c>
      <c r="B342">
        <f>HYPERLINK("https://www.suredividend.com/sure-analysis-BAX/","Baxter International Inc.")</f>
        <v>0</v>
      </c>
      <c r="C342" t="s">
        <v>3180</v>
      </c>
      <c r="D342">
        <v>34.25</v>
      </c>
      <c r="E342">
        <v>0.03386861313868613</v>
      </c>
      <c r="F342">
        <v>0</v>
      </c>
      <c r="G342">
        <v>0.08825051007784368</v>
      </c>
      <c r="H342">
        <v>1.147864536289442</v>
      </c>
      <c r="I342">
        <v>17344.365325</v>
      </c>
      <c r="J342" t="s">
        <v>3182</v>
      </c>
      <c r="K342" t="s">
        <v>3182</v>
      </c>
      <c r="L342">
        <v>0.7125963540590801</v>
      </c>
      <c r="M342">
        <v>55.73</v>
      </c>
      <c r="N342">
        <v>31.01</v>
      </c>
    </row>
    <row r="343" spans="1:14">
      <c r="A343" s="1" t="s">
        <v>355</v>
      </c>
      <c r="B343">
        <f>HYPERLINK("https://www.suredividend.com/sure-analysis-research-database/","Bed, Bath &amp; Beyond Inc.")</f>
        <v>0</v>
      </c>
      <c r="C343" t="s">
        <v>3186</v>
      </c>
      <c r="D343">
        <v>0.0751</v>
      </c>
      <c r="E343">
        <v>0</v>
      </c>
      <c r="F343" t="s">
        <v>3182</v>
      </c>
      <c r="G343" t="s">
        <v>3182</v>
      </c>
      <c r="H343">
        <v>0</v>
      </c>
      <c r="I343">
        <v>0</v>
      </c>
      <c r="J343">
        <v>0</v>
      </c>
      <c r="K343">
        <v>-0</v>
      </c>
    </row>
    <row r="344" spans="1:14">
      <c r="A344" s="1" t="s">
        <v>356</v>
      </c>
      <c r="B344">
        <f>HYPERLINK("https://www.suredividend.com/sure-analysis-research-database/","Concrete Pumping Holdings Inc")</f>
        <v>0</v>
      </c>
      <c r="C344" t="s">
        <v>3183</v>
      </c>
      <c r="D344">
        <v>7.15</v>
      </c>
      <c r="E344">
        <v>0</v>
      </c>
      <c r="F344" t="s">
        <v>3182</v>
      </c>
      <c r="G344" t="s">
        <v>3182</v>
      </c>
      <c r="H344">
        <v>0</v>
      </c>
      <c r="I344">
        <v>391.1765</v>
      </c>
      <c r="J344">
        <v>13.40517802679826</v>
      </c>
      <c r="K344">
        <v>0</v>
      </c>
      <c r="L344">
        <v>0.740342623261618</v>
      </c>
      <c r="M344">
        <v>9.15</v>
      </c>
      <c r="N344">
        <v>5.63</v>
      </c>
    </row>
    <row r="345" spans="1:14">
      <c r="A345" s="1" t="s">
        <v>357</v>
      </c>
      <c r="B345">
        <f>HYPERLINK("https://www.suredividend.com/sure-analysis-research-database/","Beasley Broadcast Group Inc")</f>
        <v>0</v>
      </c>
      <c r="C345" t="s">
        <v>3191</v>
      </c>
      <c r="D345">
        <v>0.7418</v>
      </c>
      <c r="E345">
        <v>0</v>
      </c>
      <c r="F345" t="s">
        <v>3182</v>
      </c>
      <c r="G345" t="s">
        <v>3182</v>
      </c>
      <c r="H345">
        <v>0</v>
      </c>
      <c r="I345">
        <v>9.863707</v>
      </c>
      <c r="J345" t="s">
        <v>3182</v>
      </c>
      <c r="K345">
        <v>-0</v>
      </c>
      <c r="M345">
        <v>1.39</v>
      </c>
      <c r="N345">
        <v>0.6039</v>
      </c>
    </row>
    <row r="346" spans="1:14">
      <c r="A346" s="1" t="s">
        <v>358</v>
      </c>
      <c r="B346">
        <f>HYPERLINK("https://www.suredividend.com/sure-analysis-research-database/","Barrett Business Services Inc.")</f>
        <v>0</v>
      </c>
      <c r="C346" t="s">
        <v>3183</v>
      </c>
      <c r="D346">
        <v>95.01000000000001</v>
      </c>
      <c r="E346">
        <v>0.012566184075687</v>
      </c>
      <c r="F346">
        <v>0</v>
      </c>
      <c r="G346">
        <v>0.03713728933664817</v>
      </c>
      <c r="H346">
        <v>1.19391314903107</v>
      </c>
      <c r="I346">
        <v>639.383476</v>
      </c>
      <c r="J346">
        <v>13.6617481771757</v>
      </c>
      <c r="K346">
        <v>0.1787295133280045</v>
      </c>
      <c r="L346">
        <v>0.7375968154541891</v>
      </c>
      <c r="M346">
        <v>99.81</v>
      </c>
      <c r="N346">
        <v>75.70999999999999</v>
      </c>
    </row>
    <row r="347" spans="1:14">
      <c r="A347" s="1" t="s">
        <v>359</v>
      </c>
      <c r="B347">
        <f>HYPERLINK("https://www.suredividend.com/sure-analysis-research-database/","Build A Bear Workshop Inc")</f>
        <v>0</v>
      </c>
      <c r="C347" t="s">
        <v>3186</v>
      </c>
      <c r="D347">
        <v>25.21</v>
      </c>
      <c r="E347">
        <v>0</v>
      </c>
      <c r="F347" t="s">
        <v>3182</v>
      </c>
      <c r="G347" t="s">
        <v>3182</v>
      </c>
      <c r="H347">
        <v>0</v>
      </c>
      <c r="I347">
        <v>366.340981</v>
      </c>
      <c r="J347">
        <v>7.195713707057414</v>
      </c>
      <c r="K347">
        <v>0</v>
      </c>
      <c r="L347">
        <v>1.036951175404819</v>
      </c>
      <c r="M347">
        <v>30.49</v>
      </c>
      <c r="N347">
        <v>15.32</v>
      </c>
    </row>
    <row r="348" spans="1:14">
      <c r="A348" s="1" t="s">
        <v>360</v>
      </c>
      <c r="B348">
        <f>HYPERLINK("https://www.suredividend.com/sure-analysis-BBY/","Best Buy Co. Inc.")</f>
        <v>0</v>
      </c>
      <c r="C348" t="s">
        <v>3186</v>
      </c>
      <c r="D348">
        <v>66.34999999999999</v>
      </c>
      <c r="E348">
        <v>0.05546345139412209</v>
      </c>
      <c r="F348">
        <v>0.04545454545454541</v>
      </c>
      <c r="G348">
        <v>0.1537588961630676</v>
      </c>
      <c r="H348">
        <v>3.574140849145437</v>
      </c>
      <c r="I348">
        <v>14440.291584</v>
      </c>
      <c r="J348">
        <v>11.19402448391473</v>
      </c>
      <c r="K348">
        <v>0.6141135479631334</v>
      </c>
      <c r="L348">
        <v>1.151705024500274</v>
      </c>
      <c r="M348">
        <v>89.95999999999999</v>
      </c>
      <c r="N348">
        <v>63.73</v>
      </c>
    </row>
    <row r="349" spans="1:14">
      <c r="A349" s="1" t="s">
        <v>361</v>
      </c>
      <c r="B349">
        <f>HYPERLINK("https://www.suredividend.com/sure-analysis-BC/","Brunswick Corp.")</f>
        <v>0</v>
      </c>
      <c r="C349" t="s">
        <v>3186</v>
      </c>
      <c r="D349">
        <v>72.20999999999999</v>
      </c>
      <c r="E349">
        <v>0.02215759590084476</v>
      </c>
      <c r="F349">
        <v>0.09589041095890427</v>
      </c>
      <c r="G349">
        <v>0.137543830351883</v>
      </c>
      <c r="H349">
        <v>1.553726706180388</v>
      </c>
      <c r="I349">
        <v>5106.199811</v>
      </c>
      <c r="J349">
        <v>9.241990608054298</v>
      </c>
      <c r="K349">
        <v>0.203901142543358</v>
      </c>
      <c r="L349">
        <v>1.329177284586799</v>
      </c>
      <c r="M349">
        <v>91.8</v>
      </c>
      <c r="N349">
        <v>65.27</v>
      </c>
    </row>
    <row r="350" spans="1:14">
      <c r="A350" s="1" t="s">
        <v>362</v>
      </c>
      <c r="B350">
        <f>HYPERLINK("https://www.suredividend.com/sure-analysis-research-database/","BCB Bancorp Inc (NJ)")</f>
        <v>0</v>
      </c>
      <c r="C350" t="s">
        <v>3184</v>
      </c>
      <c r="D350">
        <v>10.71</v>
      </c>
      <c r="E350">
        <v>0.057224094068748</v>
      </c>
      <c r="F350">
        <v>0</v>
      </c>
      <c r="G350">
        <v>0.02706608708935176</v>
      </c>
      <c r="H350">
        <v>0.612870047476293</v>
      </c>
      <c r="I350">
        <v>179.804653</v>
      </c>
      <c r="J350">
        <v>0</v>
      </c>
      <c r="K350" t="s">
        <v>3182</v>
      </c>
      <c r="L350">
        <v>0.838735981862032</v>
      </c>
      <c r="M350">
        <v>18.38</v>
      </c>
      <c r="N350">
        <v>9.109999999999999</v>
      </c>
    </row>
    <row r="351" spans="1:14">
      <c r="A351" s="1" t="s">
        <v>363</v>
      </c>
      <c r="B351">
        <f>HYPERLINK("https://www.suredividend.com/sure-analysis-research-database/","Boise Cascade Co")</f>
        <v>0</v>
      </c>
      <c r="C351" t="s">
        <v>3181</v>
      </c>
      <c r="D351">
        <v>101.18</v>
      </c>
      <c r="E351">
        <v>0.006407343933943</v>
      </c>
      <c r="F351">
        <v>-0.8</v>
      </c>
      <c r="G351">
        <v>0.1486983549970351</v>
      </c>
      <c r="H351">
        <v>0.648295059236355</v>
      </c>
      <c r="I351">
        <v>4005.698494</v>
      </c>
      <c r="J351">
        <v>7.956007264425073</v>
      </c>
      <c r="K351">
        <v>0.0513297750780962</v>
      </c>
      <c r="L351">
        <v>1.24903879922893</v>
      </c>
      <c r="M351">
        <v>112.58</v>
      </c>
      <c r="N351">
        <v>59.1</v>
      </c>
    </row>
    <row r="352" spans="1:14">
      <c r="A352" s="1" t="s">
        <v>364</v>
      </c>
      <c r="B352">
        <f>HYPERLINK("https://www.suredividend.com/sure-analysis-research-database/","Brainstorm Cell Therapeutics, Inc.")</f>
        <v>0</v>
      </c>
      <c r="C352" t="s">
        <v>3180</v>
      </c>
      <c r="D352">
        <v>0.1483</v>
      </c>
      <c r="E352">
        <v>0</v>
      </c>
      <c r="F352" t="s">
        <v>3182</v>
      </c>
      <c r="G352" t="s">
        <v>3182</v>
      </c>
      <c r="H352">
        <v>0</v>
      </c>
      <c r="I352">
        <v>6.675843</v>
      </c>
      <c r="J352">
        <v>0</v>
      </c>
      <c r="K352" t="s">
        <v>3182</v>
      </c>
      <c r="M352">
        <v>3.46</v>
      </c>
      <c r="N352">
        <v>0.134</v>
      </c>
    </row>
    <row r="353" spans="1:14">
      <c r="A353" s="1" t="s">
        <v>365</v>
      </c>
      <c r="B353">
        <f>HYPERLINK("https://www.suredividend.com/sure-analysis-research-database/","Brink`s Co.")</f>
        <v>0</v>
      </c>
      <c r="C353" t="s">
        <v>3183</v>
      </c>
      <c r="D353">
        <v>67.92</v>
      </c>
      <c r="E353">
        <v>0.012310632096297</v>
      </c>
      <c r="F353">
        <v>0.09999999999999987</v>
      </c>
      <c r="G353">
        <v>0.0796084730466029</v>
      </c>
      <c r="H353">
        <v>0.836138131980509</v>
      </c>
      <c r="I353">
        <v>3153.274636</v>
      </c>
      <c r="J353">
        <v>28.33130849595687</v>
      </c>
      <c r="K353">
        <v>0.3558034604172379</v>
      </c>
      <c r="L353">
        <v>0.9812426377207211</v>
      </c>
      <c r="M353">
        <v>77.47</v>
      </c>
      <c r="N353">
        <v>52.13</v>
      </c>
    </row>
    <row r="354" spans="1:14">
      <c r="A354" s="1" t="s">
        <v>366</v>
      </c>
      <c r="B354">
        <f>HYPERLINK("https://www.suredividend.com/sure-analysis-research-database/","Blucora Inc")</f>
        <v>0</v>
      </c>
      <c r="C354" t="s">
        <v>3184</v>
      </c>
      <c r="D354">
        <v>27.19</v>
      </c>
      <c r="E354">
        <v>0</v>
      </c>
      <c r="F354" t="s">
        <v>3182</v>
      </c>
      <c r="G354" t="s">
        <v>3182</v>
      </c>
      <c r="H354">
        <v>0</v>
      </c>
      <c r="I354">
        <v>1309.030955</v>
      </c>
      <c r="J354">
        <v>45.91480025324448</v>
      </c>
      <c r="K354">
        <v>0</v>
      </c>
      <c r="L354">
        <v>0.8322828011960771</v>
      </c>
      <c r="M354">
        <v>27.75</v>
      </c>
      <c r="N354">
        <v>15.17</v>
      </c>
    </row>
    <row r="355" spans="1:14">
      <c r="A355" s="1" t="s">
        <v>367</v>
      </c>
      <c r="B355">
        <f>HYPERLINK("https://www.suredividend.com/sure-analysis-research-database/","Brightcove Inc")</f>
        <v>0</v>
      </c>
      <c r="C355" t="s">
        <v>3185</v>
      </c>
      <c r="D355">
        <v>2.61</v>
      </c>
      <c r="E355">
        <v>0</v>
      </c>
      <c r="F355" t="s">
        <v>3182</v>
      </c>
      <c r="G355" t="s">
        <v>3182</v>
      </c>
      <c r="H355">
        <v>0</v>
      </c>
      <c r="I355">
        <v>112.884536</v>
      </c>
      <c r="J355" t="s">
        <v>3182</v>
      </c>
      <c r="K355">
        <v>-0</v>
      </c>
      <c r="L355">
        <v>1.27296167196703</v>
      </c>
      <c r="M355">
        <v>7.39</v>
      </c>
      <c r="N355">
        <v>2.5</v>
      </c>
    </row>
    <row r="356" spans="1:14">
      <c r="A356" s="1" t="s">
        <v>368</v>
      </c>
      <c r="B356">
        <f>HYPERLINK("https://www.suredividend.com/sure-analysis-BCPC/","Balchem Corp.")</f>
        <v>0</v>
      </c>
      <c r="C356" t="s">
        <v>3181</v>
      </c>
      <c r="D356">
        <v>118.91</v>
      </c>
      <c r="E356">
        <v>0.00597090236313178</v>
      </c>
      <c r="F356" t="s">
        <v>3182</v>
      </c>
      <c r="G356" t="s">
        <v>3182</v>
      </c>
      <c r="H356">
        <v>0.7099999785423271</v>
      </c>
      <c r="I356">
        <v>3833.783969</v>
      </c>
      <c r="J356">
        <v>37.11274788201469</v>
      </c>
      <c r="K356">
        <v>0.2232704335038764</v>
      </c>
      <c r="L356">
        <v>1.007082656398581</v>
      </c>
      <c r="M356">
        <v>143.68</v>
      </c>
      <c r="N356">
        <v>110.74</v>
      </c>
    </row>
    <row r="357" spans="1:14">
      <c r="A357" s="1" t="s">
        <v>369</v>
      </c>
      <c r="B357">
        <f>HYPERLINK("https://www.suredividend.com/sure-analysis-research-database/","Biocryst Pharmaceuticals Inc.")</f>
        <v>0</v>
      </c>
      <c r="C357" t="s">
        <v>3180</v>
      </c>
      <c r="D357">
        <v>5.64</v>
      </c>
      <c r="E357">
        <v>0</v>
      </c>
      <c r="F357" t="s">
        <v>3182</v>
      </c>
      <c r="G357" t="s">
        <v>3182</v>
      </c>
      <c r="H357">
        <v>0</v>
      </c>
      <c r="I357">
        <v>1068.744665</v>
      </c>
      <c r="J357" t="s">
        <v>3182</v>
      </c>
      <c r="K357">
        <v>-0</v>
      </c>
      <c r="L357">
        <v>0.9009094340830941</v>
      </c>
      <c r="M357">
        <v>14.2</v>
      </c>
      <c r="N357">
        <v>5.21</v>
      </c>
    </row>
    <row r="358" spans="1:14">
      <c r="A358" s="1" t="s">
        <v>370</v>
      </c>
      <c r="B358">
        <f>HYPERLINK("https://www.suredividend.com/sure-analysis-research-database/","Belden Inc")</f>
        <v>0</v>
      </c>
      <c r="C358" t="s">
        <v>3183</v>
      </c>
      <c r="D358">
        <v>62.73</v>
      </c>
      <c r="E358">
        <v>0.003185727420188</v>
      </c>
      <c r="F358">
        <v>0</v>
      </c>
      <c r="G358">
        <v>0</v>
      </c>
      <c r="H358">
        <v>0.199840681068424</v>
      </c>
      <c r="I358">
        <v>2653.304422</v>
      </c>
      <c r="J358">
        <v>9.0802530489107</v>
      </c>
      <c r="K358">
        <v>0.02982696732364537</v>
      </c>
      <c r="L358">
        <v>1.065810563640955</v>
      </c>
      <c r="M358">
        <v>99.08</v>
      </c>
      <c r="N358">
        <v>60.55</v>
      </c>
    </row>
    <row r="359" spans="1:14">
      <c r="A359" s="1" t="s">
        <v>371</v>
      </c>
      <c r="B359">
        <f>HYPERLINK("https://www.suredividend.com/sure-analysis-research-database/","Bridge Bancorp, Inc.")</f>
        <v>0</v>
      </c>
      <c r="C359" t="s">
        <v>3184</v>
      </c>
      <c r="D359">
        <v>24.43</v>
      </c>
      <c r="E359">
        <v>0.029108780048538</v>
      </c>
      <c r="F359" t="s">
        <v>3182</v>
      </c>
      <c r="G359" t="s">
        <v>3182</v>
      </c>
      <c r="H359">
        <v>0.711127496585787</v>
      </c>
      <c r="I359">
        <v>482.72974</v>
      </c>
      <c r="J359">
        <v>10.42950717791941</v>
      </c>
      <c r="K359">
        <v>0.3000537960277582</v>
      </c>
      <c r="L359">
        <v>1.295065825778457</v>
      </c>
      <c r="M359">
        <v>30.55</v>
      </c>
      <c r="N359">
        <v>16.33</v>
      </c>
    </row>
    <row r="360" spans="1:14">
      <c r="A360" s="1" t="s">
        <v>372</v>
      </c>
      <c r="B360">
        <f>HYPERLINK("https://www.suredividend.com/sure-analysis-research-database/","Flanigan`s Enterprises, Inc.")</f>
        <v>0</v>
      </c>
      <c r="C360" t="s">
        <v>3186</v>
      </c>
      <c r="D360">
        <v>28.16</v>
      </c>
      <c r="E360">
        <v>0.015980113213035</v>
      </c>
      <c r="F360" t="s">
        <v>3182</v>
      </c>
      <c r="G360" t="s">
        <v>3182</v>
      </c>
      <c r="H360">
        <v>0.449999988079071</v>
      </c>
      <c r="I360">
        <v>52.3395</v>
      </c>
      <c r="J360">
        <v>0</v>
      </c>
      <c r="K360" t="s">
        <v>3182</v>
      </c>
      <c r="M360">
        <v>34.59</v>
      </c>
      <c r="N360">
        <v>24.75</v>
      </c>
    </row>
    <row r="361" spans="1:14">
      <c r="A361" s="1" t="s">
        <v>373</v>
      </c>
      <c r="B361">
        <f>HYPERLINK("https://www.suredividend.com/sure-analysis-BDN/","Brandywine Realty Trust")</f>
        <v>0</v>
      </c>
      <c r="C361" t="s">
        <v>3187</v>
      </c>
      <c r="D361">
        <v>4.02</v>
      </c>
      <c r="E361">
        <v>0.1492537313432836</v>
      </c>
      <c r="F361">
        <v>-0.2105263157894737</v>
      </c>
      <c r="G361">
        <v>-0.04617756873980916</v>
      </c>
      <c r="H361">
        <v>0.67899612516991</v>
      </c>
      <c r="I361">
        <v>691.832597</v>
      </c>
      <c r="J361" t="s">
        <v>3182</v>
      </c>
      <c r="K361" t="s">
        <v>3182</v>
      </c>
      <c r="L361">
        <v>1.518325440584833</v>
      </c>
      <c r="M361">
        <v>6.45</v>
      </c>
      <c r="N361">
        <v>3.17</v>
      </c>
    </row>
    <row r="362" spans="1:14">
      <c r="A362" s="1" t="s">
        <v>374</v>
      </c>
      <c r="B362">
        <f>HYPERLINK("https://www.suredividend.com/sure-analysis-research-database/","Biodelivery Sciences International")</f>
        <v>0</v>
      </c>
      <c r="C362" t="s">
        <v>3180</v>
      </c>
      <c r="D362">
        <v>5.59</v>
      </c>
      <c r="E362">
        <v>0</v>
      </c>
      <c r="F362" t="s">
        <v>3182</v>
      </c>
      <c r="G362" t="s">
        <v>3182</v>
      </c>
      <c r="H362">
        <v>0</v>
      </c>
      <c r="I362">
        <v>0</v>
      </c>
      <c r="J362">
        <v>0</v>
      </c>
      <c r="K362" t="s">
        <v>3182</v>
      </c>
    </row>
    <row r="363" spans="1:14">
      <c r="A363" s="1" t="s">
        <v>375</v>
      </c>
      <c r="B363">
        <f>HYPERLINK("https://www.suredividend.com/sure-analysis-BDX/","Becton Dickinson &amp; Co.")</f>
        <v>0</v>
      </c>
      <c r="C363" t="s">
        <v>3180</v>
      </c>
      <c r="D363">
        <v>255.92</v>
      </c>
      <c r="E363">
        <v>0.01422319474835886</v>
      </c>
      <c r="F363">
        <v>0.04597701149425282</v>
      </c>
      <c r="G363">
        <v>0.03397522653195018</v>
      </c>
      <c r="H363">
        <v>3.620643800383757</v>
      </c>
      <c r="I363">
        <v>74244.586258</v>
      </c>
      <c r="J363">
        <v>46.90119157174984</v>
      </c>
      <c r="K363">
        <v>0.6559137319535792</v>
      </c>
      <c r="L363">
        <v>0.586762562872514</v>
      </c>
      <c r="M363">
        <v>286.34</v>
      </c>
      <c r="N363">
        <v>214.54</v>
      </c>
    </row>
    <row r="364" spans="1:14">
      <c r="A364" s="1" t="s">
        <v>376</v>
      </c>
      <c r="B364">
        <f>HYPERLINK("https://www.suredividend.com/sure-analysis-research-database/","Bloom Energy Corp")</f>
        <v>0</v>
      </c>
      <c r="C364" t="s">
        <v>3183</v>
      </c>
      <c r="D364">
        <v>10.76</v>
      </c>
      <c r="E364">
        <v>0</v>
      </c>
      <c r="F364" t="s">
        <v>3182</v>
      </c>
      <c r="G364" t="s">
        <v>3182</v>
      </c>
      <c r="H364">
        <v>0</v>
      </c>
      <c r="I364">
        <v>2408.721441</v>
      </c>
      <c r="J364" t="s">
        <v>3182</v>
      </c>
      <c r="K364">
        <v>-0</v>
      </c>
      <c r="L364">
        <v>2.293363869252162</v>
      </c>
      <c r="M364">
        <v>26.55</v>
      </c>
      <c r="N364">
        <v>9.51</v>
      </c>
    </row>
    <row r="365" spans="1:14">
      <c r="A365" s="1" t="s">
        <v>377</v>
      </c>
      <c r="B365">
        <f>HYPERLINK("https://www.suredividend.com/sure-analysis-research-database/","HeartBeam Inc")</f>
        <v>0</v>
      </c>
      <c r="C365" t="s">
        <v>3180</v>
      </c>
      <c r="D365">
        <v>1.34</v>
      </c>
      <c r="E365">
        <v>0</v>
      </c>
      <c r="F365" t="s">
        <v>3182</v>
      </c>
      <c r="G365" t="s">
        <v>3182</v>
      </c>
      <c r="H365">
        <v>0</v>
      </c>
      <c r="I365">
        <v>35.257951</v>
      </c>
      <c r="J365">
        <v>0</v>
      </c>
      <c r="K365" t="s">
        <v>3182</v>
      </c>
      <c r="L365">
        <v>1.113451287831159</v>
      </c>
      <c r="M365">
        <v>6</v>
      </c>
      <c r="N365">
        <v>1.11</v>
      </c>
    </row>
    <row r="366" spans="1:14">
      <c r="A366" s="1" t="s">
        <v>378</v>
      </c>
      <c r="B366">
        <f>HYPERLINK("https://www.suredividend.com/sure-analysis-research-database/","Beacon Roofing Supply Inc")</f>
        <v>0</v>
      </c>
      <c r="C366" t="s">
        <v>3183</v>
      </c>
      <c r="D366">
        <v>73.47</v>
      </c>
      <c r="E366">
        <v>0</v>
      </c>
      <c r="F366" t="s">
        <v>3182</v>
      </c>
      <c r="G366" t="s">
        <v>3182</v>
      </c>
      <c r="H366">
        <v>0</v>
      </c>
      <c r="I366">
        <v>4635.680606</v>
      </c>
      <c r="J366">
        <v>12.85190076479068</v>
      </c>
      <c r="K366">
        <v>0</v>
      </c>
      <c r="L366">
        <v>1.06842583891029</v>
      </c>
      <c r="M366">
        <v>87.45999999999999</v>
      </c>
      <c r="N366">
        <v>50.42</v>
      </c>
    </row>
    <row r="367" spans="1:14">
      <c r="A367" s="1" t="s">
        <v>379</v>
      </c>
      <c r="B367">
        <f>HYPERLINK("https://www.suredividend.com/sure-analysis-research-database/","Bel Fuse Inc.")</f>
        <v>0</v>
      </c>
      <c r="C367" t="s">
        <v>3185</v>
      </c>
      <c r="D367">
        <v>51.5</v>
      </c>
      <c r="E367">
        <v>0.004837485240356001</v>
      </c>
      <c r="F367">
        <v>-0.142857142857143</v>
      </c>
      <c r="G367">
        <v>0</v>
      </c>
      <c r="H367">
        <v>0.249130489878382</v>
      </c>
      <c r="I367">
        <v>671.433674</v>
      </c>
      <c r="J367">
        <v>9.20604482820084</v>
      </c>
      <c r="K367">
        <v>0.04295353273765207</v>
      </c>
      <c r="M367">
        <v>69.04000000000001</v>
      </c>
      <c r="N367">
        <v>29.57</v>
      </c>
    </row>
    <row r="368" spans="1:14">
      <c r="A368" s="1" t="s">
        <v>380</v>
      </c>
      <c r="B368">
        <f>HYPERLINK("https://www.suredividend.com/sure-analysis-research-database/","Bel Fuse Inc.")</f>
        <v>0</v>
      </c>
      <c r="C368" t="s">
        <v>3185</v>
      </c>
      <c r="D368">
        <v>52.75</v>
      </c>
      <c r="E368">
        <v>0.005287590534551001</v>
      </c>
      <c r="F368">
        <v>0</v>
      </c>
      <c r="G368">
        <v>0</v>
      </c>
      <c r="H368">
        <v>0.278920400697586</v>
      </c>
      <c r="I368">
        <v>671.433674</v>
      </c>
      <c r="J368">
        <v>9.206044828200838</v>
      </c>
      <c r="K368">
        <v>0.04808972425820449</v>
      </c>
      <c r="L368">
        <v>1.205294640882546</v>
      </c>
      <c r="M368">
        <v>63</v>
      </c>
      <c r="N368">
        <v>29.95</v>
      </c>
    </row>
    <row r="369" spans="1:14">
      <c r="A369" s="1" t="s">
        <v>381</v>
      </c>
      <c r="B369">
        <f>HYPERLINK("https://www.suredividend.com/sure-analysis-BEN/","Franklin Resources, Inc.")</f>
        <v>0</v>
      </c>
      <c r="C369" t="s">
        <v>3184</v>
      </c>
      <c r="D369">
        <v>23.53</v>
      </c>
      <c r="E369">
        <v>0.0509987250318742</v>
      </c>
      <c r="F369">
        <v>0.03448275862068995</v>
      </c>
      <c r="G369">
        <v>0.02903366107118788</v>
      </c>
      <c r="H369">
        <v>1.178898897694277</v>
      </c>
      <c r="I369">
        <v>11740.948105</v>
      </c>
      <c r="J369">
        <v>14.96424688325261</v>
      </c>
      <c r="K369">
        <v>0.736811811058923</v>
      </c>
      <c r="L369">
        <v>1.475683248953672</v>
      </c>
      <c r="M369">
        <v>33.18</v>
      </c>
      <c r="N369">
        <v>21.61</v>
      </c>
    </row>
    <row r="370" spans="1:14">
      <c r="A370" s="1" t="s">
        <v>382</v>
      </c>
      <c r="B370">
        <f>HYPERLINK("https://www.suredividend.com/sure-analysis-research-database/","Berry Global Group Inc")</f>
        <v>0</v>
      </c>
      <c r="C370" t="s">
        <v>3186</v>
      </c>
      <c r="D370">
        <v>57.23</v>
      </c>
      <c r="E370">
        <v>0.017367998536037</v>
      </c>
      <c r="F370" t="s">
        <v>3182</v>
      </c>
      <c r="G370" t="s">
        <v>3182</v>
      </c>
      <c r="H370">
        <v>0.993970556217429</v>
      </c>
      <c r="I370">
        <v>6758.863</v>
      </c>
      <c r="J370">
        <v>10.30314481707317</v>
      </c>
      <c r="K370">
        <v>0.1868365707175618</v>
      </c>
      <c r="L370">
        <v>1.012913048852112</v>
      </c>
      <c r="M370">
        <v>67.75</v>
      </c>
      <c r="N370">
        <v>45.94</v>
      </c>
    </row>
    <row r="371" spans="1:14">
      <c r="A371" s="1" t="s">
        <v>383</v>
      </c>
      <c r="B371">
        <f>HYPERLINK("https://www.suredividend.com/sure-analysis-research-database/","Bright Horizons Family Solutions, Inc.")</f>
        <v>0</v>
      </c>
      <c r="C371" t="s">
        <v>3186</v>
      </c>
      <c r="D371">
        <v>81.09</v>
      </c>
      <c r="E371">
        <v>0</v>
      </c>
      <c r="F371" t="s">
        <v>3182</v>
      </c>
      <c r="G371" t="s">
        <v>3182</v>
      </c>
      <c r="H371">
        <v>0</v>
      </c>
      <c r="I371">
        <v>4693.213332</v>
      </c>
      <c r="J371">
        <v>72.44961070439494</v>
      </c>
      <c r="K371">
        <v>0</v>
      </c>
      <c r="L371">
        <v>1.233429540568696</v>
      </c>
      <c r="M371">
        <v>98.87</v>
      </c>
      <c r="N371">
        <v>59.55</v>
      </c>
    </row>
    <row r="372" spans="1:14">
      <c r="A372" s="1" t="s">
        <v>384</v>
      </c>
      <c r="B372">
        <f>HYPERLINK("https://www.suredividend.com/sure-analysis-research-database/","Bankfinancial Corp")</f>
        <v>0</v>
      </c>
      <c r="C372" t="s">
        <v>3184</v>
      </c>
      <c r="D372">
        <v>8.710000000000001</v>
      </c>
      <c r="E372">
        <v>0.04461478244229</v>
      </c>
      <c r="F372">
        <v>0</v>
      </c>
      <c r="G372">
        <v>0</v>
      </c>
      <c r="H372">
        <v>0.388594755072351</v>
      </c>
      <c r="I372">
        <v>109.287767</v>
      </c>
      <c r="J372">
        <v>10.16441284412202</v>
      </c>
      <c r="K372">
        <v>0.4592232983601406</v>
      </c>
      <c r="L372">
        <v>0.452340519673785</v>
      </c>
      <c r="M372">
        <v>10.12</v>
      </c>
      <c r="N372">
        <v>7</v>
      </c>
    </row>
    <row r="373" spans="1:14">
      <c r="A373" s="1" t="s">
        <v>385</v>
      </c>
      <c r="B373">
        <f>HYPERLINK("https://www.suredividend.com/sure-analysis-BFS/","Saul Centers, Inc.")</f>
        <v>0</v>
      </c>
      <c r="C373" t="s">
        <v>3187</v>
      </c>
      <c r="D373">
        <v>36.18</v>
      </c>
      <c r="E373">
        <v>0.0652294085129906</v>
      </c>
      <c r="F373">
        <v>0</v>
      </c>
      <c r="G373">
        <v>0.02168079166422654</v>
      </c>
      <c r="H373">
        <v>2.304248318015505</v>
      </c>
      <c r="I373">
        <v>866.238058</v>
      </c>
      <c r="J373">
        <v>22.05121956266069</v>
      </c>
      <c r="K373">
        <v>1.405029462204576</v>
      </c>
      <c r="L373">
        <v>1.079751764805802</v>
      </c>
      <c r="M373">
        <v>41.92</v>
      </c>
      <c r="N373">
        <v>31.12</v>
      </c>
    </row>
    <row r="374" spans="1:14">
      <c r="A374" s="1" t="s">
        <v>386</v>
      </c>
      <c r="B374">
        <f>HYPERLINK("https://www.suredividend.com/sure-analysis-research-database/","Business First Bancshares Inc.")</f>
        <v>0</v>
      </c>
      <c r="C374" t="s">
        <v>3184</v>
      </c>
      <c r="D374">
        <v>20.2</v>
      </c>
      <c r="E374">
        <v>0.023425628197267</v>
      </c>
      <c r="F374" t="s">
        <v>3182</v>
      </c>
      <c r="G374" t="s">
        <v>3182</v>
      </c>
      <c r="H374">
        <v>0.473197689584799</v>
      </c>
      <c r="I374">
        <v>511.952194</v>
      </c>
      <c r="J374">
        <v>8.193725990301051</v>
      </c>
      <c r="K374">
        <v>0.1855677214058035</v>
      </c>
      <c r="L374">
        <v>1.047192345345314</v>
      </c>
      <c r="M374">
        <v>23.72</v>
      </c>
      <c r="N374">
        <v>12.79</v>
      </c>
    </row>
    <row r="375" spans="1:14">
      <c r="A375" s="1" t="s">
        <v>387</v>
      </c>
      <c r="B375">
        <f>HYPERLINK("https://www.suredividend.com/sure-analysis-BG/","Bunge Global SA")</f>
        <v>0</v>
      </c>
      <c r="C375" t="s">
        <v>3188</v>
      </c>
      <c r="D375">
        <v>105.47</v>
      </c>
      <c r="E375">
        <v>0.02512562814070352</v>
      </c>
      <c r="F375">
        <v>0.06000000000000005</v>
      </c>
      <c r="G375">
        <v>0.05789648870565345</v>
      </c>
      <c r="H375">
        <v>2.51381927457762</v>
      </c>
      <c r="I375">
        <v>15323.52304</v>
      </c>
      <c r="J375">
        <v>7.806175771604686</v>
      </c>
      <c r="K375">
        <v>0.1947187664273912</v>
      </c>
      <c r="L375">
        <v>0.657736413000312</v>
      </c>
      <c r="M375">
        <v>115.9</v>
      </c>
      <c r="N375">
        <v>86.73999999999999</v>
      </c>
    </row>
    <row r="376" spans="1:14">
      <c r="A376" s="1" t="s">
        <v>388</v>
      </c>
      <c r="B376">
        <f>HYPERLINK("https://www.suredividend.com/sure-analysis-research-database/","BGC Partners Inc")</f>
        <v>0</v>
      </c>
      <c r="C376" t="s">
        <v>3184</v>
      </c>
      <c r="D376">
        <v>4.43</v>
      </c>
      <c r="E376">
        <v>0.008983444857413</v>
      </c>
      <c r="F376" t="s">
        <v>3182</v>
      </c>
      <c r="G376" t="s">
        <v>3182</v>
      </c>
      <c r="H376">
        <v>0.039796660718343</v>
      </c>
      <c r="I376">
        <v>1499.497849</v>
      </c>
      <c r="J376">
        <v>35.94366576945203</v>
      </c>
      <c r="K376">
        <v>0.476036611463433</v>
      </c>
      <c r="L376">
        <v>1.284285304931228</v>
      </c>
      <c r="M376">
        <v>5.48</v>
      </c>
      <c r="N376">
        <v>3.11</v>
      </c>
    </row>
    <row r="377" spans="1:14">
      <c r="A377" s="1" t="s">
        <v>389</v>
      </c>
      <c r="B377">
        <f>HYPERLINK("https://www.suredividend.com/sure-analysis-research-database/","Big 5 Sporting Goods Corp")</f>
        <v>0</v>
      </c>
      <c r="C377" t="s">
        <v>3186</v>
      </c>
      <c r="D377">
        <v>5.015</v>
      </c>
      <c r="E377">
        <v>0.182372761054155</v>
      </c>
      <c r="F377">
        <v>0</v>
      </c>
      <c r="G377">
        <v>0.3797296614612149</v>
      </c>
      <c r="H377">
        <v>0.9145993966865881</v>
      </c>
      <c r="I377">
        <v>112.59674</v>
      </c>
      <c r="J377">
        <v>14.06053195304695</v>
      </c>
      <c r="K377">
        <v>2.505065452442038</v>
      </c>
      <c r="L377">
        <v>1.007344283203735</v>
      </c>
      <c r="M377">
        <v>11.13</v>
      </c>
      <c r="N377">
        <v>5</v>
      </c>
    </row>
    <row r="378" spans="1:14">
      <c r="A378" s="1" t="s">
        <v>390</v>
      </c>
      <c r="B378">
        <f>HYPERLINK("https://www.suredividend.com/sure-analysis-BGS/","B&amp;G Foods, Inc")</f>
        <v>0</v>
      </c>
      <c r="C378" t="s">
        <v>3188</v>
      </c>
      <c r="D378">
        <v>8.640000000000001</v>
      </c>
      <c r="E378">
        <v>0.08796296296296297</v>
      </c>
      <c r="F378">
        <v>-0.6000000000000001</v>
      </c>
      <c r="G378">
        <v>-0.1674467925981269</v>
      </c>
      <c r="H378">
        <v>0.7415953460562701</v>
      </c>
      <c r="I378">
        <v>624.599191</v>
      </c>
      <c r="J378" t="s">
        <v>3182</v>
      </c>
      <c r="K378" t="s">
        <v>3182</v>
      </c>
      <c r="L378">
        <v>0.6659562968616181</v>
      </c>
      <c r="M378">
        <v>16.13</v>
      </c>
      <c r="N378">
        <v>7.2</v>
      </c>
    </row>
    <row r="379" spans="1:14">
      <c r="A379" s="1" t="s">
        <v>391</v>
      </c>
      <c r="B379">
        <f>HYPERLINK("https://www.suredividend.com/sure-analysis-research-database/","BGSF Inc")</f>
        <v>0</v>
      </c>
      <c r="C379" t="s">
        <v>3183</v>
      </c>
      <c r="D379">
        <v>9.48</v>
      </c>
      <c r="E379">
        <v>0.061785384391449</v>
      </c>
      <c r="F379">
        <v>0</v>
      </c>
      <c r="G379">
        <v>-0.1294494367038759</v>
      </c>
      <c r="H379">
        <v>0.5857254440309381</v>
      </c>
      <c r="I379">
        <v>102.892299</v>
      </c>
      <c r="J379" t="s">
        <v>3182</v>
      </c>
      <c r="K379" t="s">
        <v>3182</v>
      </c>
      <c r="L379">
        <v>0.3929229481597321</v>
      </c>
      <c r="M379">
        <v>15.39</v>
      </c>
      <c r="N379">
        <v>8.720000000000001</v>
      </c>
    </row>
    <row r="380" spans="1:14">
      <c r="A380" s="1" t="s">
        <v>392</v>
      </c>
      <c r="B380">
        <f>HYPERLINK("https://www.suredividend.com/sure-analysis-research-database/","Biglari Holdings Inc.")</f>
        <v>0</v>
      </c>
      <c r="C380" t="s">
        <v>3186</v>
      </c>
      <c r="D380">
        <v>152.77</v>
      </c>
      <c r="E380">
        <v>0</v>
      </c>
      <c r="F380" t="s">
        <v>3182</v>
      </c>
      <c r="G380" t="s">
        <v>3182</v>
      </c>
      <c r="H380">
        <v>0</v>
      </c>
      <c r="I380">
        <v>473.242773</v>
      </c>
      <c r="J380">
        <v>4.357868896358028</v>
      </c>
      <c r="K380">
        <v>0</v>
      </c>
      <c r="L380">
        <v>0.5049476664821321</v>
      </c>
      <c r="M380">
        <v>218.5</v>
      </c>
      <c r="N380">
        <v>135.24</v>
      </c>
    </row>
    <row r="381" spans="1:14">
      <c r="A381" s="1" t="s">
        <v>393</v>
      </c>
      <c r="B381">
        <f>HYPERLINK("https://www.suredividend.com/sure-analysis-BHB/","Bar Harbor Bankshares Inc")</f>
        <v>0</v>
      </c>
      <c r="C381" t="s">
        <v>3184</v>
      </c>
      <c r="D381">
        <v>25.71</v>
      </c>
      <c r="E381">
        <v>0.04356281602489304</v>
      </c>
      <c r="F381">
        <v>0.07692307692307709</v>
      </c>
      <c r="G381">
        <v>0.06961037572506878</v>
      </c>
      <c r="H381">
        <v>1.049023768818144</v>
      </c>
      <c r="I381">
        <v>389.662585</v>
      </c>
      <c r="J381">
        <v>0</v>
      </c>
      <c r="K381" t="s">
        <v>3182</v>
      </c>
      <c r="L381">
        <v>0.9202931196756581</v>
      </c>
      <c r="M381">
        <v>31.37</v>
      </c>
      <c r="N381">
        <v>18.68</v>
      </c>
    </row>
    <row r="382" spans="1:14">
      <c r="A382" s="1" t="s">
        <v>394</v>
      </c>
      <c r="B382">
        <f>HYPERLINK("https://www.suredividend.com/sure-analysis-research-database/","Benchmark Electronics Inc.")</f>
        <v>0</v>
      </c>
      <c r="C382" t="s">
        <v>3185</v>
      </c>
      <c r="D382">
        <v>24.33</v>
      </c>
      <c r="E382">
        <v>0.026852465064061</v>
      </c>
      <c r="F382">
        <v>0</v>
      </c>
      <c r="G382">
        <v>0.01924487649145656</v>
      </c>
      <c r="H382">
        <v>0.653320475008622</v>
      </c>
      <c r="I382">
        <v>867.866525</v>
      </c>
      <c r="J382">
        <v>13.07047583879275</v>
      </c>
      <c r="K382">
        <v>0.3531462027073632</v>
      </c>
      <c r="L382">
        <v>0.6774259429745291</v>
      </c>
      <c r="M382">
        <v>29.05</v>
      </c>
      <c r="N382">
        <v>20.31</v>
      </c>
    </row>
    <row r="383" spans="1:14">
      <c r="A383" s="1" t="s">
        <v>395</v>
      </c>
      <c r="B383">
        <f>HYPERLINK("https://www.suredividend.com/sure-analysis-research-database/","Brighthouse Financial Inc")</f>
        <v>0</v>
      </c>
      <c r="C383" t="s">
        <v>3184</v>
      </c>
      <c r="D383">
        <v>47.33</v>
      </c>
      <c r="E383">
        <v>0</v>
      </c>
      <c r="F383" t="s">
        <v>3182</v>
      </c>
      <c r="G383" t="s">
        <v>3182</v>
      </c>
      <c r="H383">
        <v>0</v>
      </c>
      <c r="I383">
        <v>3100.230864</v>
      </c>
      <c r="J383" t="s">
        <v>3182</v>
      </c>
      <c r="K383">
        <v>-0</v>
      </c>
      <c r="L383">
        <v>1.553397601815927</v>
      </c>
      <c r="M383">
        <v>60.54</v>
      </c>
      <c r="N383">
        <v>39.24</v>
      </c>
    </row>
    <row r="384" spans="1:14">
      <c r="A384" s="1" t="s">
        <v>396</v>
      </c>
      <c r="B384">
        <f>HYPERLINK("https://www.suredividend.com/sure-analysis-research-database/","Berkshire Hills Bancorp Inc.")</f>
        <v>0</v>
      </c>
      <c r="C384" t="s">
        <v>3184</v>
      </c>
      <c r="D384">
        <v>20.69</v>
      </c>
      <c r="E384">
        <v>0.034374486786835</v>
      </c>
      <c r="F384">
        <v>0.5</v>
      </c>
      <c r="G384">
        <v>-0.03933943162756326</v>
      </c>
      <c r="H384">
        <v>0.711208131619621</v>
      </c>
      <c r="I384">
        <v>910.547203</v>
      </c>
      <c r="J384">
        <v>9.040381285941224</v>
      </c>
      <c r="K384">
        <v>0.3119333910612372</v>
      </c>
      <c r="L384">
        <v>1.159996225131313</v>
      </c>
      <c r="M384">
        <v>30.89</v>
      </c>
      <c r="N384">
        <v>17.76</v>
      </c>
    </row>
    <row r="385" spans="1:14">
      <c r="A385" s="1" t="s">
        <v>397</v>
      </c>
      <c r="B385">
        <f>HYPERLINK("https://www.suredividend.com/sure-analysis-research-database/","Braemar Hotels &amp; Resorts Inc")</f>
        <v>0</v>
      </c>
      <c r="C385" t="s">
        <v>3187</v>
      </c>
      <c r="D385">
        <v>2.63</v>
      </c>
      <c r="E385">
        <v>0.07428917159324901</v>
      </c>
      <c r="F385" t="s">
        <v>3182</v>
      </c>
      <c r="G385" t="s">
        <v>3182</v>
      </c>
      <c r="H385">
        <v>0.195380521290246</v>
      </c>
      <c r="I385">
        <v>173.563939</v>
      </c>
      <c r="J385" t="s">
        <v>3182</v>
      </c>
      <c r="K385" t="s">
        <v>3182</v>
      </c>
      <c r="L385">
        <v>1.364235419216997</v>
      </c>
      <c r="M385">
        <v>5.36</v>
      </c>
      <c r="N385">
        <v>2.18</v>
      </c>
    </row>
    <row r="386" spans="1:14">
      <c r="A386" s="1" t="s">
        <v>398</v>
      </c>
      <c r="B386">
        <f>HYPERLINK("https://www.suredividend.com/sure-analysis-research-database/","Biohaven Ltd")</f>
        <v>0</v>
      </c>
      <c r="C386" t="s">
        <v>3180</v>
      </c>
      <c r="D386">
        <v>29.49</v>
      </c>
      <c r="E386">
        <v>0</v>
      </c>
      <c r="F386" t="s">
        <v>3182</v>
      </c>
      <c r="G386" t="s">
        <v>3182</v>
      </c>
      <c r="H386">
        <v>0</v>
      </c>
      <c r="I386">
        <v>2014.821029</v>
      </c>
      <c r="J386">
        <v>0</v>
      </c>
      <c r="K386" t="s">
        <v>3182</v>
      </c>
      <c r="L386">
        <v>1.760017452161625</v>
      </c>
      <c r="M386">
        <v>31</v>
      </c>
      <c r="N386">
        <v>12.35</v>
      </c>
    </row>
    <row r="387" spans="1:14">
      <c r="A387" s="1" t="s">
        <v>399</v>
      </c>
      <c r="B387">
        <f>HYPERLINK("https://www.suredividend.com/sure-analysis-research-database/","Big Lots Inc")</f>
        <v>0</v>
      </c>
      <c r="C387" t="s">
        <v>3188</v>
      </c>
      <c r="D387">
        <v>4.67</v>
      </c>
      <c r="E387">
        <v>0.127022002322074</v>
      </c>
      <c r="F387" t="s">
        <v>3182</v>
      </c>
      <c r="G387" t="s">
        <v>3182</v>
      </c>
      <c r="H387">
        <v>0.5931927508440881</v>
      </c>
      <c r="I387">
        <v>136.338969</v>
      </c>
      <c r="J387" t="s">
        <v>3182</v>
      </c>
      <c r="K387" t="s">
        <v>3182</v>
      </c>
      <c r="L387">
        <v>2.134720814148142</v>
      </c>
      <c r="M387">
        <v>20.07</v>
      </c>
      <c r="N387">
        <v>3.73</v>
      </c>
    </row>
    <row r="388" spans="1:14">
      <c r="A388" s="1" t="s">
        <v>400</v>
      </c>
      <c r="B388">
        <f>HYPERLINK("https://www.suredividend.com/sure-analysis-research-database/","Biogen Inc")</f>
        <v>0</v>
      </c>
      <c r="C388" t="s">
        <v>3180</v>
      </c>
      <c r="D388">
        <v>241.86</v>
      </c>
      <c r="E388">
        <v>0</v>
      </c>
      <c r="F388" t="s">
        <v>3182</v>
      </c>
      <c r="G388" t="s">
        <v>3182</v>
      </c>
      <c r="H388">
        <v>0</v>
      </c>
      <c r="I388">
        <v>35026.971803</v>
      </c>
      <c r="J388">
        <v>13.14530203523981</v>
      </c>
      <c r="K388">
        <v>0</v>
      </c>
      <c r="M388">
        <v>319.76</v>
      </c>
      <c r="N388">
        <v>233.76</v>
      </c>
    </row>
    <row r="389" spans="1:14">
      <c r="A389" s="1" t="s">
        <v>401</v>
      </c>
      <c r="B389">
        <f>HYPERLINK("https://www.suredividend.com/sure-analysis-research-database/","Bio-Rad Laboratories Inc.")</f>
        <v>0</v>
      </c>
      <c r="C389" t="s">
        <v>3180</v>
      </c>
      <c r="D389">
        <v>281.19</v>
      </c>
      <c r="E389">
        <v>0</v>
      </c>
      <c r="F389" t="s">
        <v>3182</v>
      </c>
      <c r="G389" t="s">
        <v>3182</v>
      </c>
      <c r="H389">
        <v>0</v>
      </c>
      <c r="I389">
        <v>8153.677527</v>
      </c>
      <c r="J389" t="s">
        <v>3182</v>
      </c>
      <c r="K389">
        <v>-0</v>
      </c>
      <c r="L389">
        <v>0.884785502382996</v>
      </c>
      <c r="M389">
        <v>509.62</v>
      </c>
      <c r="N389">
        <v>261.59</v>
      </c>
    </row>
    <row r="390" spans="1:14">
      <c r="A390" s="1" t="s">
        <v>402</v>
      </c>
      <c r="B390">
        <f>HYPERLINK("https://www.suredividend.com/sure-analysis-research-database/","Biocept Inc")</f>
        <v>0</v>
      </c>
      <c r="C390" t="s">
        <v>3180</v>
      </c>
      <c r="D390">
        <v>0.4349</v>
      </c>
      <c r="E390">
        <v>0</v>
      </c>
      <c r="F390" t="s">
        <v>3182</v>
      </c>
      <c r="G390" t="s">
        <v>3182</v>
      </c>
      <c r="H390">
        <v>0</v>
      </c>
      <c r="I390">
        <v>0</v>
      </c>
      <c r="J390">
        <v>0</v>
      </c>
      <c r="K390" t="s">
        <v>3182</v>
      </c>
    </row>
    <row r="391" spans="1:14">
      <c r="A391" s="1" t="s">
        <v>403</v>
      </c>
      <c r="B391">
        <f>HYPERLINK("https://www.suredividend.com/sure-analysis-research-database/","Biolase Inc")</f>
        <v>0</v>
      </c>
      <c r="C391" t="s">
        <v>3180</v>
      </c>
      <c r="D391">
        <v>1.65</v>
      </c>
      <c r="E391">
        <v>0</v>
      </c>
      <c r="F391" t="s">
        <v>3182</v>
      </c>
      <c r="G391" t="s">
        <v>3182</v>
      </c>
      <c r="H391">
        <v>0</v>
      </c>
      <c r="I391">
        <v>1.722191</v>
      </c>
      <c r="J391" t="s">
        <v>3182</v>
      </c>
      <c r="K391">
        <v>-0</v>
      </c>
      <c r="L391">
        <v>0.408760129234118</v>
      </c>
      <c r="M391">
        <v>195</v>
      </c>
      <c r="N391">
        <v>1.56</v>
      </c>
    </row>
    <row r="392" spans="1:14">
      <c r="A392" s="1" t="s">
        <v>404</v>
      </c>
      <c r="B392">
        <f>HYPERLINK("https://www.suredividend.com/sure-analysis-research-database/","BioPlus Acquisition Corp")</f>
        <v>0</v>
      </c>
      <c r="C392" t="s">
        <v>3182</v>
      </c>
      <c r="D392">
        <v>10.795</v>
      </c>
      <c r="E392">
        <v>0</v>
      </c>
      <c r="F392" t="s">
        <v>3182</v>
      </c>
      <c r="G392" t="s">
        <v>3182</v>
      </c>
      <c r="H392">
        <v>0</v>
      </c>
      <c r="I392">
        <v>0</v>
      </c>
      <c r="J392">
        <v>0</v>
      </c>
      <c r="K392" t="s">
        <v>3182</v>
      </c>
    </row>
    <row r="393" spans="1:14">
      <c r="A393" s="1" t="s">
        <v>405</v>
      </c>
      <c r="B393">
        <f>HYPERLINK("https://www.suredividend.com/sure-analysis-research-database/","BJ`s Wholesale Club Holdings Inc")</f>
        <v>0</v>
      </c>
      <c r="C393" t="s">
        <v>3188</v>
      </c>
      <c r="D393">
        <v>68.41</v>
      </c>
      <c r="E393">
        <v>0</v>
      </c>
      <c r="F393" t="s">
        <v>3182</v>
      </c>
      <c r="G393" t="s">
        <v>3182</v>
      </c>
      <c r="H393">
        <v>0</v>
      </c>
      <c r="I393">
        <v>9148.575267</v>
      </c>
      <c r="J393">
        <v>18.04018612304337</v>
      </c>
      <c r="K393">
        <v>0</v>
      </c>
      <c r="L393">
        <v>0.394349364288016</v>
      </c>
      <c r="M393">
        <v>80.41</v>
      </c>
      <c r="N393">
        <v>60.33</v>
      </c>
    </row>
    <row r="394" spans="1:14">
      <c r="A394" s="1" t="s">
        <v>406</v>
      </c>
      <c r="B394">
        <f>HYPERLINK("https://www.suredividend.com/sure-analysis-research-database/","BJ`s Restaurant Inc.")</f>
        <v>0</v>
      </c>
      <c r="C394" t="s">
        <v>3186</v>
      </c>
      <c r="D394">
        <v>27.05</v>
      </c>
      <c r="E394">
        <v>0</v>
      </c>
      <c r="F394" t="s">
        <v>3182</v>
      </c>
      <c r="G394" t="s">
        <v>3182</v>
      </c>
      <c r="H394">
        <v>0</v>
      </c>
      <c r="I394">
        <v>637.652598</v>
      </c>
      <c r="J394">
        <v>35.96055709733815</v>
      </c>
      <c r="K394">
        <v>0</v>
      </c>
      <c r="L394">
        <v>1.184441934708121</v>
      </c>
      <c r="M394">
        <v>37.83</v>
      </c>
      <c r="N394">
        <v>21.64</v>
      </c>
    </row>
    <row r="395" spans="1:14">
      <c r="A395" s="1" t="s">
        <v>407</v>
      </c>
      <c r="B395">
        <f>HYPERLINK("https://www.suredividend.com/sure-analysis-BK/","Bank Of New York Mellon Corp")</f>
        <v>0</v>
      </c>
      <c r="C395" t="s">
        <v>3184</v>
      </c>
      <c r="D395">
        <v>44.24</v>
      </c>
      <c r="E395">
        <v>0.03797468354430379</v>
      </c>
      <c r="F395">
        <v>0.1351351351351351</v>
      </c>
      <c r="G395">
        <v>0.08447177119769855</v>
      </c>
      <c r="H395">
        <v>1.558400536771563</v>
      </c>
      <c r="I395">
        <v>34453.336384</v>
      </c>
      <c r="J395">
        <v>12.46502763542692</v>
      </c>
      <c r="K395">
        <v>0.4556726715706325</v>
      </c>
      <c r="L395">
        <v>0.953665671623202</v>
      </c>
      <c r="M395">
        <v>50.81</v>
      </c>
      <c r="N395">
        <v>38.89</v>
      </c>
    </row>
    <row r="396" spans="1:14">
      <c r="A396" s="1" t="s">
        <v>408</v>
      </c>
      <c r="B396">
        <f>HYPERLINK("https://www.suredividend.com/sure-analysis-research-database/","Brookdale Senior Living Inc")</f>
        <v>0</v>
      </c>
      <c r="C396" t="s">
        <v>3180</v>
      </c>
      <c r="D396">
        <v>4.14</v>
      </c>
      <c r="E396">
        <v>0</v>
      </c>
      <c r="F396" t="s">
        <v>3182</v>
      </c>
      <c r="G396" t="s">
        <v>3182</v>
      </c>
      <c r="H396">
        <v>0</v>
      </c>
      <c r="I396">
        <v>779.2487139999999</v>
      </c>
      <c r="J396" t="s">
        <v>3182</v>
      </c>
      <c r="K396">
        <v>-0</v>
      </c>
      <c r="L396">
        <v>1.315874942939225</v>
      </c>
      <c r="M396">
        <v>5.07</v>
      </c>
      <c r="N396">
        <v>2.27</v>
      </c>
    </row>
    <row r="397" spans="1:14">
      <c r="A397" s="1" t="s">
        <v>409</v>
      </c>
      <c r="B397">
        <f>HYPERLINK("https://www.suredividend.com/sure-analysis-research-database/","Buckle, Inc.")</f>
        <v>0</v>
      </c>
      <c r="C397" t="s">
        <v>3186</v>
      </c>
      <c r="D397">
        <v>34.74</v>
      </c>
      <c r="E397">
        <v>0.113633754100781</v>
      </c>
      <c r="F397">
        <v>-0.8679245283018868</v>
      </c>
      <c r="G397">
        <v>0.06961037572506878</v>
      </c>
      <c r="H397">
        <v>3.947636617461137</v>
      </c>
      <c r="I397">
        <v>1752.491469</v>
      </c>
      <c r="J397">
        <v>7.369478516929909</v>
      </c>
      <c r="K397">
        <v>0.8258654011424973</v>
      </c>
      <c r="L397">
        <v>0.683516294658105</v>
      </c>
      <c r="M397">
        <v>46.22</v>
      </c>
      <c r="N397">
        <v>29.56</v>
      </c>
    </row>
    <row r="398" spans="1:14">
      <c r="A398" s="1" t="s">
        <v>410</v>
      </c>
      <c r="B398">
        <f>HYPERLINK("https://www.suredividend.com/sure-analysis-BKH/","Black Hills Corporation")</f>
        <v>0</v>
      </c>
      <c r="C398" t="s">
        <v>3190</v>
      </c>
      <c r="D398">
        <v>49.91</v>
      </c>
      <c r="E398">
        <v>0.05009016229212583</v>
      </c>
      <c r="F398">
        <v>0.05042016806722693</v>
      </c>
      <c r="G398">
        <v>0.04356072987444093</v>
      </c>
      <c r="H398">
        <v>2.4611911608089</v>
      </c>
      <c r="I398">
        <v>3349.507614</v>
      </c>
      <c r="J398">
        <v>13.69476870559278</v>
      </c>
      <c r="K398">
        <v>0.6616105270991667</v>
      </c>
      <c r="L398">
        <v>0.6966676787889231</v>
      </c>
      <c r="M398">
        <v>71.73999999999999</v>
      </c>
      <c r="N398">
        <v>46.43</v>
      </c>
    </row>
    <row r="399" spans="1:14">
      <c r="A399" s="1" t="s">
        <v>411</v>
      </c>
      <c r="B399">
        <f>HYPERLINK("https://www.suredividend.com/sure-analysis-research-database/","Black Knight Inc")</f>
        <v>0</v>
      </c>
      <c r="C399" t="s">
        <v>3185</v>
      </c>
      <c r="D399">
        <v>75.76000000000001</v>
      </c>
      <c r="E399">
        <v>0</v>
      </c>
      <c r="F399" t="s">
        <v>3182</v>
      </c>
      <c r="G399" t="s">
        <v>3182</v>
      </c>
      <c r="H399">
        <v>0</v>
      </c>
      <c r="I399">
        <v>11876.042218</v>
      </c>
      <c r="J399">
        <v>48.53306995570087</v>
      </c>
      <c r="K399">
        <v>0</v>
      </c>
      <c r="L399">
        <v>0.530217167068046</v>
      </c>
      <c r="M399">
        <v>75.98999999999999</v>
      </c>
      <c r="N399">
        <v>53.15</v>
      </c>
    </row>
    <row r="400" spans="1:14">
      <c r="A400" s="1" t="s">
        <v>412</v>
      </c>
      <c r="B400">
        <f>HYPERLINK("https://www.suredividend.com/sure-analysis-research-database/","Booking Holdings Inc")</f>
        <v>0</v>
      </c>
      <c r="C400" t="s">
        <v>3186</v>
      </c>
      <c r="D400">
        <v>2838.62</v>
      </c>
      <c r="E400">
        <v>0</v>
      </c>
      <c r="F400" t="s">
        <v>3182</v>
      </c>
      <c r="G400" t="s">
        <v>3182</v>
      </c>
      <c r="H400">
        <v>0</v>
      </c>
      <c r="I400">
        <v>101316.467865</v>
      </c>
      <c r="J400">
        <v>22.73198740514248</v>
      </c>
      <c r="K400">
        <v>0</v>
      </c>
      <c r="L400">
        <v>0.9471643626592321</v>
      </c>
      <c r="M400">
        <v>3251.71</v>
      </c>
      <c r="N400">
        <v>1797.92</v>
      </c>
    </row>
    <row r="401" spans="1:14">
      <c r="A401" s="1" t="s">
        <v>413</v>
      </c>
      <c r="B401">
        <f>HYPERLINK("https://www.suredividend.com/sure-analysis-research-database/","Bank Of South Carolina Corp.")</f>
        <v>0</v>
      </c>
      <c r="C401" t="s">
        <v>3184</v>
      </c>
      <c r="D401">
        <v>11.48</v>
      </c>
      <c r="E401">
        <v>0</v>
      </c>
      <c r="F401">
        <v>0</v>
      </c>
      <c r="G401">
        <v>0.01219872924994259</v>
      </c>
      <c r="H401">
        <v>0.170000001788139</v>
      </c>
      <c r="I401">
        <v>0</v>
      </c>
      <c r="J401">
        <v>0</v>
      </c>
      <c r="K401" t="s">
        <v>3182</v>
      </c>
    </row>
    <row r="402" spans="1:14">
      <c r="A402" s="1" t="s">
        <v>414</v>
      </c>
      <c r="B402">
        <f>HYPERLINK("https://www.suredividend.com/sure-analysis-research-database/","BK Technologies Corp")</f>
        <v>0</v>
      </c>
      <c r="C402" t="s">
        <v>3185</v>
      </c>
      <c r="D402">
        <v>13.3301</v>
      </c>
      <c r="E402">
        <v>0</v>
      </c>
      <c r="F402" t="s">
        <v>3182</v>
      </c>
      <c r="G402" t="s">
        <v>3182</v>
      </c>
      <c r="H402">
        <v>0</v>
      </c>
      <c r="I402">
        <v>46.062147</v>
      </c>
      <c r="J402">
        <v>0</v>
      </c>
      <c r="K402" t="s">
        <v>3182</v>
      </c>
      <c r="M402">
        <v>19.9</v>
      </c>
      <c r="N402">
        <v>8.789999999999999</v>
      </c>
    </row>
    <row r="403" spans="1:14">
      <c r="A403" s="1" t="s">
        <v>415</v>
      </c>
      <c r="B403">
        <f>HYPERLINK("https://www.suredividend.com/sure-analysis-research-database/","BankUnited Inc")</f>
        <v>0</v>
      </c>
      <c r="C403" t="s">
        <v>3184</v>
      </c>
      <c r="D403">
        <v>23.86</v>
      </c>
      <c r="E403">
        <v>0.043655262873749</v>
      </c>
      <c r="F403">
        <v>0.08000000000000007</v>
      </c>
      <c r="G403">
        <v>0.05154749679728043</v>
      </c>
      <c r="H403">
        <v>1.041614572167671</v>
      </c>
      <c r="I403">
        <v>1774.757884</v>
      </c>
      <c r="J403">
        <v>6.876001550740191</v>
      </c>
      <c r="K403">
        <v>0.3019172672949771</v>
      </c>
      <c r="L403">
        <v>1.737078122477285</v>
      </c>
      <c r="M403">
        <v>38.79</v>
      </c>
      <c r="N403">
        <v>15.46</v>
      </c>
    </row>
    <row r="404" spans="1:14">
      <c r="A404" s="1" t="s">
        <v>416</v>
      </c>
      <c r="B404">
        <f>HYPERLINK("https://www.suredividend.com/sure-analysis-research-database/","BlackLine Inc")</f>
        <v>0</v>
      </c>
      <c r="C404" t="s">
        <v>3185</v>
      </c>
      <c r="D404">
        <v>50.88</v>
      </c>
      <c r="E404">
        <v>0</v>
      </c>
      <c r="F404" t="s">
        <v>3182</v>
      </c>
      <c r="G404" t="s">
        <v>3182</v>
      </c>
      <c r="H404">
        <v>0</v>
      </c>
      <c r="I404">
        <v>3102.716892</v>
      </c>
      <c r="J404">
        <v>306.4109117598262</v>
      </c>
      <c r="K404">
        <v>0</v>
      </c>
      <c r="L404">
        <v>1.919834771547871</v>
      </c>
      <c r="M404">
        <v>77.90000000000001</v>
      </c>
      <c r="N404">
        <v>47.27</v>
      </c>
    </row>
    <row r="405" spans="1:14">
      <c r="A405" s="1" t="s">
        <v>417</v>
      </c>
      <c r="B405">
        <f>HYPERLINK("https://www.suredividend.com/sure-analysis-research-database/","Blue Bird Corp")</f>
        <v>0</v>
      </c>
      <c r="C405" t="s">
        <v>3186</v>
      </c>
      <c r="D405">
        <v>18.92</v>
      </c>
      <c r="E405">
        <v>0</v>
      </c>
      <c r="F405" t="s">
        <v>3182</v>
      </c>
      <c r="G405" t="s">
        <v>3182</v>
      </c>
      <c r="H405">
        <v>0</v>
      </c>
      <c r="I405">
        <v>608.566057</v>
      </c>
      <c r="J405">
        <v>0</v>
      </c>
      <c r="K405" t="s">
        <v>3182</v>
      </c>
      <c r="L405">
        <v>0.8746078152872081</v>
      </c>
      <c r="M405">
        <v>28.8</v>
      </c>
      <c r="N405">
        <v>8.91</v>
      </c>
    </row>
    <row r="406" spans="1:14">
      <c r="A406" s="1" t="s">
        <v>418</v>
      </c>
      <c r="B406">
        <f>HYPERLINK("https://www.suredividend.com/sure-analysis-research-database/","Bellicum Pharmaceuticals Inc")</f>
        <v>0</v>
      </c>
      <c r="C406" t="s">
        <v>3180</v>
      </c>
      <c r="D406">
        <v>0.14</v>
      </c>
      <c r="E406">
        <v>0</v>
      </c>
      <c r="F406" t="s">
        <v>3182</v>
      </c>
      <c r="G406" t="s">
        <v>3182</v>
      </c>
      <c r="H406">
        <v>0</v>
      </c>
      <c r="I406">
        <v>1.329482</v>
      </c>
      <c r="J406">
        <v>0</v>
      </c>
      <c r="K406" t="s">
        <v>3182</v>
      </c>
      <c r="M406">
        <v>0.59</v>
      </c>
      <c r="N406">
        <v>0.125</v>
      </c>
    </row>
    <row r="407" spans="1:14">
      <c r="A407" s="1" t="s">
        <v>419</v>
      </c>
      <c r="B407">
        <f>HYPERLINK("https://www.suredividend.com/sure-analysis-research-database/","TopBuild Corp")</f>
        <v>0</v>
      </c>
      <c r="C407" t="s">
        <v>3183</v>
      </c>
      <c r="D407">
        <v>254.75</v>
      </c>
      <c r="E407">
        <v>0</v>
      </c>
      <c r="F407" t="s">
        <v>3182</v>
      </c>
      <c r="G407" t="s">
        <v>3182</v>
      </c>
      <c r="H407">
        <v>0</v>
      </c>
      <c r="I407">
        <v>8094.412234</v>
      </c>
      <c r="J407">
        <v>13.23249894802577</v>
      </c>
      <c r="K407">
        <v>0</v>
      </c>
      <c r="L407">
        <v>1.558834443783149</v>
      </c>
      <c r="M407">
        <v>307.54</v>
      </c>
      <c r="N407">
        <v>140.66</v>
      </c>
    </row>
    <row r="408" spans="1:14">
      <c r="A408" s="1" t="s">
        <v>420</v>
      </c>
      <c r="B408">
        <f>HYPERLINK("https://www.suredividend.com/sure-analysis-research-database/","Builders Firstsource Inc")</f>
        <v>0</v>
      </c>
      <c r="C408" t="s">
        <v>3183</v>
      </c>
      <c r="D408">
        <v>121.25</v>
      </c>
      <c r="E408">
        <v>0</v>
      </c>
      <c r="F408" t="s">
        <v>3182</v>
      </c>
      <c r="G408" t="s">
        <v>3182</v>
      </c>
      <c r="H408">
        <v>0</v>
      </c>
      <c r="I408">
        <v>15160.693085</v>
      </c>
      <c r="J408">
        <v>8.146858731544796</v>
      </c>
      <c r="K408">
        <v>0</v>
      </c>
      <c r="L408">
        <v>1.547296143616203</v>
      </c>
      <c r="M408">
        <v>156.85</v>
      </c>
      <c r="N408">
        <v>55.35</v>
      </c>
    </row>
    <row r="409" spans="1:14">
      <c r="A409" s="1" t="s">
        <v>421</v>
      </c>
      <c r="B409">
        <f>HYPERLINK("https://www.suredividend.com/sure-analysis-research-database/","Biolife Solutions Inc")</f>
        <v>0</v>
      </c>
      <c r="C409" t="s">
        <v>3180</v>
      </c>
      <c r="D409">
        <v>11.05</v>
      </c>
      <c r="E409">
        <v>0</v>
      </c>
      <c r="F409" t="s">
        <v>3182</v>
      </c>
      <c r="G409" t="s">
        <v>3182</v>
      </c>
      <c r="H409">
        <v>0</v>
      </c>
      <c r="I409">
        <v>480.565495</v>
      </c>
      <c r="J409" t="s">
        <v>3182</v>
      </c>
      <c r="K409">
        <v>-0</v>
      </c>
      <c r="L409">
        <v>2.738641120850805</v>
      </c>
      <c r="M409">
        <v>26.89</v>
      </c>
      <c r="N409">
        <v>8.92</v>
      </c>
    </row>
    <row r="410" spans="1:14">
      <c r="A410" s="1" t="s">
        <v>422</v>
      </c>
      <c r="B410">
        <f>HYPERLINK("https://www.suredividend.com/sure-analysis-BLK/","Blackrock Inc.")</f>
        <v>0</v>
      </c>
      <c r="C410" t="s">
        <v>3184</v>
      </c>
      <c r="D410">
        <v>644.49</v>
      </c>
      <c r="E410">
        <v>0.03103228909680522</v>
      </c>
      <c r="F410">
        <v>0.02459016393442615</v>
      </c>
      <c r="G410">
        <v>0.098209341014591</v>
      </c>
      <c r="H410">
        <v>19.66662937467608</v>
      </c>
      <c r="I410">
        <v>96224.053942</v>
      </c>
      <c r="J410">
        <v>18.54742751391095</v>
      </c>
      <c r="K410">
        <v>0.5738730485753161</v>
      </c>
      <c r="L410">
        <v>1.285609285134703</v>
      </c>
      <c r="M410">
        <v>764.9299999999999</v>
      </c>
      <c r="N410">
        <v>596.1799999999999</v>
      </c>
    </row>
    <row r="411" spans="1:14">
      <c r="A411" s="1" t="s">
        <v>423</v>
      </c>
      <c r="B411">
        <f>HYPERLINK("https://www.suredividend.com/sure-analysis-research-database/","Blackbaud Inc")</f>
        <v>0</v>
      </c>
      <c r="C411" t="s">
        <v>3185</v>
      </c>
      <c r="D411">
        <v>71.48999999999999</v>
      </c>
      <c r="E411">
        <v>0</v>
      </c>
      <c r="F411" t="s">
        <v>3182</v>
      </c>
      <c r="G411" t="s">
        <v>3182</v>
      </c>
      <c r="H411">
        <v>0</v>
      </c>
      <c r="I411">
        <v>3850.079795</v>
      </c>
      <c r="J411" t="s">
        <v>3182</v>
      </c>
      <c r="K411">
        <v>-0</v>
      </c>
      <c r="L411">
        <v>0.9626579299023861</v>
      </c>
      <c r="M411">
        <v>78.70999999999999</v>
      </c>
      <c r="N411">
        <v>53.02</v>
      </c>
    </row>
    <row r="412" spans="1:14">
      <c r="A412" s="1" t="s">
        <v>424</v>
      </c>
      <c r="B412">
        <f>HYPERLINK("https://www.suredividend.com/sure-analysis-research-database/","Ball Corp.")</f>
        <v>0</v>
      </c>
      <c r="C412" t="s">
        <v>3186</v>
      </c>
      <c r="D412">
        <v>69.48999999999999</v>
      </c>
      <c r="E412">
        <v>0.010760406380108</v>
      </c>
      <c r="F412" t="s">
        <v>3182</v>
      </c>
      <c r="G412" t="s">
        <v>3182</v>
      </c>
      <c r="H412">
        <v>0.7477406393537671</v>
      </c>
      <c r="I412">
        <v>22222.129619</v>
      </c>
      <c r="J412">
        <v>19.77057795253558</v>
      </c>
      <c r="K412">
        <v>0.2192787798691399</v>
      </c>
      <c r="M412">
        <v>97.77</v>
      </c>
      <c r="N412">
        <v>69.09999999999999</v>
      </c>
    </row>
    <row r="413" spans="1:14">
      <c r="A413" s="1" t="s">
        <v>425</v>
      </c>
      <c r="B413">
        <f>HYPERLINK("https://www.suredividend.com/sure-analysis-research-database/","Bloomin Brands Inc")</f>
        <v>0</v>
      </c>
      <c r="C413" t="s">
        <v>3186</v>
      </c>
      <c r="D413">
        <v>23.57</v>
      </c>
      <c r="E413">
        <v>0.035627589706086</v>
      </c>
      <c r="F413" t="s">
        <v>3182</v>
      </c>
      <c r="G413" t="s">
        <v>3182</v>
      </c>
      <c r="H413">
        <v>0.8397422893724521</v>
      </c>
      <c r="I413">
        <v>2052.88296</v>
      </c>
      <c r="J413">
        <v>8.224065316782777</v>
      </c>
      <c r="K413">
        <v>0.3345586810248813</v>
      </c>
      <c r="L413">
        <v>0.8115684290967931</v>
      </c>
      <c r="M413">
        <v>28.5</v>
      </c>
      <c r="N413">
        <v>19.02</v>
      </c>
    </row>
    <row r="414" spans="1:14">
      <c r="A414" s="1" t="s">
        <v>426</v>
      </c>
      <c r="B414">
        <f>HYPERLINK("https://www.suredividend.com/sure-analysis-research-database/","Bluebird bio Inc")</f>
        <v>0</v>
      </c>
      <c r="C414" t="s">
        <v>3180</v>
      </c>
      <c r="D414">
        <v>3.05</v>
      </c>
      <c r="E414">
        <v>0</v>
      </c>
      <c r="F414" t="s">
        <v>3182</v>
      </c>
      <c r="G414" t="s">
        <v>3182</v>
      </c>
      <c r="H414">
        <v>0</v>
      </c>
      <c r="I414">
        <v>326.205854</v>
      </c>
      <c r="J414" t="s">
        <v>3182</v>
      </c>
      <c r="K414">
        <v>-0</v>
      </c>
      <c r="L414">
        <v>1.88479400761415</v>
      </c>
      <c r="M414">
        <v>8.58</v>
      </c>
      <c r="N414">
        <v>2.52</v>
      </c>
    </row>
    <row r="415" spans="1:14">
      <c r="A415" s="1" t="s">
        <v>427</v>
      </c>
      <c r="B415">
        <f>HYPERLINK("https://www.suredividend.com/sure-analysis-research-database/","BMC Stock Holdings Inc")</f>
        <v>0</v>
      </c>
      <c r="C415" t="s">
        <v>3183</v>
      </c>
      <c r="D415">
        <v>53.68</v>
      </c>
      <c r="E415">
        <v>0</v>
      </c>
      <c r="F415" t="s">
        <v>3182</v>
      </c>
      <c r="G415" t="s">
        <v>3182</v>
      </c>
      <c r="H415">
        <v>0</v>
      </c>
      <c r="I415">
        <v>0</v>
      </c>
      <c r="J415">
        <v>0</v>
      </c>
      <c r="K415" t="s">
        <v>3182</v>
      </c>
    </row>
    <row r="416" spans="1:14">
      <c r="A416" s="1" t="s">
        <v>428</v>
      </c>
      <c r="B416">
        <f>HYPERLINK("https://www.suredividend.com/sure-analysis-BMI/","Badger Meter Inc.")</f>
        <v>0</v>
      </c>
      <c r="C416" t="s">
        <v>3183</v>
      </c>
      <c r="D416">
        <v>142.4</v>
      </c>
      <c r="E416">
        <v>0.007584269662921348</v>
      </c>
      <c r="F416">
        <v>0.2</v>
      </c>
      <c r="G416">
        <v>0.1247461131420948</v>
      </c>
      <c r="H416">
        <v>0.942723249609945</v>
      </c>
      <c r="I416">
        <v>4178.994858</v>
      </c>
      <c r="J416">
        <v>48.92519970029034</v>
      </c>
      <c r="K416">
        <v>0.325076982624119</v>
      </c>
      <c r="L416">
        <v>0.8398134490955951</v>
      </c>
      <c r="M416">
        <v>170.58</v>
      </c>
      <c r="N416">
        <v>103.39</v>
      </c>
    </row>
    <row r="417" spans="1:14">
      <c r="A417" s="1" t="s">
        <v>429</v>
      </c>
      <c r="B417">
        <f>HYPERLINK("https://www.suredividend.com/sure-analysis-BMRC/","Bank of Marin Bancorp")</f>
        <v>0</v>
      </c>
      <c r="C417" t="s">
        <v>3184</v>
      </c>
      <c r="D417">
        <v>18.15</v>
      </c>
      <c r="E417">
        <v>0.05509641873278237</v>
      </c>
      <c r="F417">
        <v>0</v>
      </c>
      <c r="G417">
        <v>0.05642162229904302</v>
      </c>
      <c r="H417">
        <v>1.185929209145982</v>
      </c>
      <c r="I417">
        <v>292.57967</v>
      </c>
      <c r="J417">
        <v>7.493204676535369</v>
      </c>
      <c r="K417">
        <v>0.4860365611254025</v>
      </c>
      <c r="L417">
        <v>0.9613345350840021</v>
      </c>
      <c r="M417">
        <v>32.89</v>
      </c>
      <c r="N417">
        <v>12.22</v>
      </c>
    </row>
    <row r="418" spans="1:14">
      <c r="A418" s="1" t="s">
        <v>430</v>
      </c>
      <c r="B418">
        <f>HYPERLINK("https://www.suredividend.com/sure-analysis-research-database/","Biomarin Pharmaceutical Inc.")</f>
        <v>0</v>
      </c>
      <c r="C418" t="s">
        <v>3180</v>
      </c>
      <c r="D418">
        <v>79.67</v>
      </c>
      <c r="E418">
        <v>0</v>
      </c>
      <c r="F418" t="s">
        <v>3182</v>
      </c>
      <c r="G418" t="s">
        <v>3182</v>
      </c>
      <c r="H418">
        <v>0</v>
      </c>
      <c r="I418">
        <v>14991.884165</v>
      </c>
      <c r="J418">
        <v>149.9323355593003</v>
      </c>
      <c r="K418">
        <v>0</v>
      </c>
      <c r="L418">
        <v>0.60095524488801</v>
      </c>
      <c r="M418">
        <v>117.77</v>
      </c>
      <c r="N418">
        <v>76.02</v>
      </c>
    </row>
    <row r="419" spans="1:14">
      <c r="A419" s="1" t="s">
        <v>431</v>
      </c>
      <c r="B419">
        <f>HYPERLINK("https://www.suredividend.com/sure-analysis-research-database/","Bryn Mawr Bank Corp.")</f>
        <v>0</v>
      </c>
      <c r="C419" t="s">
        <v>3184</v>
      </c>
      <c r="D419">
        <v>45.01</v>
      </c>
      <c r="E419">
        <v>0</v>
      </c>
      <c r="F419" t="s">
        <v>3182</v>
      </c>
      <c r="G419" t="s">
        <v>3182</v>
      </c>
      <c r="H419">
        <v>1.100000023841858</v>
      </c>
      <c r="I419">
        <v>0</v>
      </c>
      <c r="J419">
        <v>0</v>
      </c>
      <c r="K419">
        <v>0.304709147878631</v>
      </c>
    </row>
    <row r="420" spans="1:14">
      <c r="A420" s="1" t="s">
        <v>432</v>
      </c>
      <c r="B420">
        <f>HYPERLINK("https://www.suredividend.com/sure-analysis-BMY/","Bristol-Myers Squibb Co.")</f>
        <v>0</v>
      </c>
      <c r="C420" t="s">
        <v>3180</v>
      </c>
      <c r="D420">
        <v>51.13</v>
      </c>
      <c r="E420">
        <v>0.0445922159202034</v>
      </c>
      <c r="F420">
        <v>0.05555555555555558</v>
      </c>
      <c r="G420">
        <v>0.06811545670713715</v>
      </c>
      <c r="H420">
        <v>2.248315175196836</v>
      </c>
      <c r="I420">
        <v>104037.163348</v>
      </c>
      <c r="J420">
        <v>12.55729189480507</v>
      </c>
      <c r="K420">
        <v>0.5706383693392985</v>
      </c>
      <c r="L420">
        <v>0.289059324394714</v>
      </c>
      <c r="M420">
        <v>78.63</v>
      </c>
      <c r="N420">
        <v>49.49</v>
      </c>
    </row>
    <row r="421" spans="1:14">
      <c r="A421" s="1" t="s">
        <v>433</v>
      </c>
      <c r="B421">
        <f>HYPERLINK("https://www.suredividend.com/sure-analysis-research-database/","Barnes &amp; Noble Education Inc")</f>
        <v>0</v>
      </c>
      <c r="C421" t="s">
        <v>3186</v>
      </c>
      <c r="D421">
        <v>1.04</v>
      </c>
      <c r="E421">
        <v>0</v>
      </c>
      <c r="F421" t="s">
        <v>3182</v>
      </c>
      <c r="G421" t="s">
        <v>3182</v>
      </c>
      <c r="H421">
        <v>0</v>
      </c>
      <c r="I421">
        <v>54.813592</v>
      </c>
      <c r="J421" t="s">
        <v>3182</v>
      </c>
      <c r="K421">
        <v>-0</v>
      </c>
      <c r="L421">
        <v>1.018266743330037</v>
      </c>
      <c r="M421">
        <v>3.22</v>
      </c>
      <c r="N421">
        <v>0.75</v>
      </c>
    </row>
    <row r="422" spans="1:14">
      <c r="A422" s="1" t="s">
        <v>434</v>
      </c>
      <c r="B422">
        <f>HYPERLINK("https://www.suredividend.com/sure-analysis-research-database/","Benefitfocus Inc")</f>
        <v>0</v>
      </c>
      <c r="C422" t="s">
        <v>3185</v>
      </c>
      <c r="D422">
        <v>10.5</v>
      </c>
      <c r="E422">
        <v>0</v>
      </c>
      <c r="F422" t="s">
        <v>3182</v>
      </c>
      <c r="G422" t="s">
        <v>3182</v>
      </c>
      <c r="H422">
        <v>0</v>
      </c>
      <c r="I422">
        <v>0</v>
      </c>
      <c r="J422">
        <v>0</v>
      </c>
      <c r="K422">
        <v>-0</v>
      </c>
    </row>
    <row r="423" spans="1:14">
      <c r="A423" s="1" t="s">
        <v>435</v>
      </c>
      <c r="B423">
        <f>HYPERLINK("https://www.suredividend.com/sure-analysis-research-database/","Bank of Commerce Holdings")</f>
        <v>0</v>
      </c>
      <c r="C423" t="s">
        <v>3184</v>
      </c>
      <c r="D423">
        <v>15.17</v>
      </c>
      <c r="E423">
        <v>0</v>
      </c>
      <c r="F423" t="s">
        <v>3182</v>
      </c>
      <c r="G423" t="s">
        <v>3182</v>
      </c>
      <c r="H423">
        <v>0.239999994635582</v>
      </c>
      <c r="I423">
        <v>0</v>
      </c>
      <c r="J423">
        <v>0</v>
      </c>
      <c r="K423" t="s">
        <v>3182</v>
      </c>
    </row>
    <row r="424" spans="1:14">
      <c r="A424" s="1" t="s">
        <v>436</v>
      </c>
      <c r="B424">
        <f>HYPERLINK("https://www.suredividend.com/sure-analysis-research-database/","Bank of Hawaii Corp.")</f>
        <v>0</v>
      </c>
      <c r="C424" t="s">
        <v>3184</v>
      </c>
      <c r="D424">
        <v>53.16</v>
      </c>
      <c r="E424">
        <v>0.051576658755791</v>
      </c>
      <c r="F424">
        <v>0</v>
      </c>
      <c r="G424">
        <v>0.02456913836308061</v>
      </c>
      <c r="H424">
        <v>2.741815179457854</v>
      </c>
      <c r="I424">
        <v>2113.140248</v>
      </c>
      <c r="J424">
        <v>10.8792409648057</v>
      </c>
      <c r="K424">
        <v>0.557279508019889</v>
      </c>
      <c r="L424">
        <v>1.461641391777395</v>
      </c>
      <c r="M424">
        <v>78.90000000000001</v>
      </c>
      <c r="N424">
        <v>29.89</v>
      </c>
    </row>
    <row r="425" spans="1:14">
      <c r="A425" s="1" t="s">
        <v>437</v>
      </c>
      <c r="B425">
        <f>HYPERLINK("https://www.suredividend.com/sure-analysis-BOKF/","BOK Financial Corp.")</f>
        <v>0</v>
      </c>
      <c r="C425" t="s">
        <v>3184</v>
      </c>
      <c r="D425">
        <v>68.64</v>
      </c>
      <c r="E425">
        <v>0.03146853146853147</v>
      </c>
      <c r="F425">
        <v>0.01886792452830188</v>
      </c>
      <c r="G425">
        <v>0.01551127839748156</v>
      </c>
      <c r="H425">
        <v>2.12958559435203</v>
      </c>
      <c r="I425">
        <v>4555.582437</v>
      </c>
      <c r="J425">
        <v>7.188239046824088</v>
      </c>
      <c r="K425">
        <v>0.2234612376025215</v>
      </c>
      <c r="L425">
        <v>0.9738832011245181</v>
      </c>
      <c r="M425">
        <v>106.47</v>
      </c>
      <c r="N425">
        <v>62.42</v>
      </c>
    </row>
    <row r="426" spans="1:14">
      <c r="A426" s="1" t="s">
        <v>438</v>
      </c>
      <c r="B426">
        <f>HYPERLINK("https://www.suredividend.com/sure-analysis-research-database/","Boston Omaha Corp")</f>
        <v>0</v>
      </c>
      <c r="C426" t="s">
        <v>3191</v>
      </c>
      <c r="D426">
        <v>25.76</v>
      </c>
      <c r="E426">
        <v>0</v>
      </c>
      <c r="F426" t="s">
        <v>3182</v>
      </c>
      <c r="G426" t="s">
        <v>3182</v>
      </c>
      <c r="H426">
        <v>0</v>
      </c>
      <c r="I426">
        <v>734.689497</v>
      </c>
      <c r="J426">
        <v>0</v>
      </c>
      <c r="K426" t="s">
        <v>3182</v>
      </c>
      <c r="L426">
        <v>1.424991853937054</v>
      </c>
      <c r="M426">
        <v>47.65</v>
      </c>
      <c r="N426">
        <v>23.85</v>
      </c>
    </row>
    <row r="427" spans="1:14">
      <c r="A427" s="1" t="s">
        <v>439</v>
      </c>
      <c r="B427">
        <f>HYPERLINK("https://www.suredividend.com/sure-analysis-research-database/","DMC Global Inc")</f>
        <v>0</v>
      </c>
      <c r="C427" t="s">
        <v>3189</v>
      </c>
      <c r="D427">
        <v>18.99</v>
      </c>
      <c r="E427">
        <v>0</v>
      </c>
      <c r="F427" t="s">
        <v>3182</v>
      </c>
      <c r="G427" t="s">
        <v>3182</v>
      </c>
      <c r="H427">
        <v>0</v>
      </c>
      <c r="I427">
        <v>375.32495</v>
      </c>
      <c r="J427">
        <v>11.58732208113365</v>
      </c>
      <c r="K427">
        <v>0</v>
      </c>
      <c r="L427">
        <v>1.383709166023733</v>
      </c>
      <c r="M427">
        <v>28.01</v>
      </c>
      <c r="N427">
        <v>14.82</v>
      </c>
    </row>
    <row r="428" spans="1:14">
      <c r="A428" s="1" t="s">
        <v>440</v>
      </c>
      <c r="B428">
        <f>HYPERLINK("https://www.suredividend.com/sure-analysis-research-database/","Boot Barn Holdings Inc")</f>
        <v>0</v>
      </c>
      <c r="C428" t="s">
        <v>3186</v>
      </c>
      <c r="D428">
        <v>69.31999999999999</v>
      </c>
      <c r="E428">
        <v>0</v>
      </c>
      <c r="F428" t="s">
        <v>3182</v>
      </c>
      <c r="G428" t="s">
        <v>3182</v>
      </c>
      <c r="H428">
        <v>0</v>
      </c>
      <c r="I428">
        <v>2079.029496</v>
      </c>
      <c r="J428">
        <v>12.56302267475587</v>
      </c>
      <c r="K428">
        <v>0</v>
      </c>
      <c r="L428">
        <v>1.612456638802784</v>
      </c>
      <c r="M428">
        <v>104.91</v>
      </c>
      <c r="N428">
        <v>51.99</v>
      </c>
    </row>
    <row r="429" spans="1:14">
      <c r="A429" s="1" t="s">
        <v>441</v>
      </c>
      <c r="B429">
        <f>HYPERLINK("https://www.suredividend.com/sure-analysis-research-database/","Bank of James Financial Group Inc")</f>
        <v>0</v>
      </c>
      <c r="C429" t="s">
        <v>3184</v>
      </c>
      <c r="D429">
        <v>9.8499</v>
      </c>
      <c r="E429">
        <v>0.031804988556524</v>
      </c>
      <c r="F429">
        <v>0.1428571428571428</v>
      </c>
      <c r="G429">
        <v>0.05922384104881218</v>
      </c>
      <c r="H429">
        <v>0.313275956782915</v>
      </c>
      <c r="I429">
        <v>44.751425</v>
      </c>
      <c r="J429">
        <v>0</v>
      </c>
      <c r="K429" t="s">
        <v>3182</v>
      </c>
      <c r="M429">
        <v>12.99</v>
      </c>
      <c r="N429">
        <v>7.86</v>
      </c>
    </row>
    <row r="430" spans="1:14">
      <c r="A430" s="1" t="s">
        <v>442</v>
      </c>
      <c r="B430">
        <f>HYPERLINK("https://www.suredividend.com/sure-analysis-research-database/","Box Inc")</f>
        <v>0</v>
      </c>
      <c r="C430" t="s">
        <v>3185</v>
      </c>
      <c r="D430">
        <v>25.12</v>
      </c>
      <c r="E430">
        <v>0</v>
      </c>
      <c r="F430" t="s">
        <v>3182</v>
      </c>
      <c r="G430" t="s">
        <v>3182</v>
      </c>
      <c r="H430">
        <v>0</v>
      </c>
      <c r="I430">
        <v>3618.421905</v>
      </c>
      <c r="J430">
        <v>120.0259364102564</v>
      </c>
      <c r="K430">
        <v>0</v>
      </c>
      <c r="L430">
        <v>0.8554413706796881</v>
      </c>
      <c r="M430">
        <v>34.98</v>
      </c>
      <c r="N430">
        <v>23.57</v>
      </c>
    </row>
    <row r="431" spans="1:14">
      <c r="A431" s="1" t="s">
        <v>443</v>
      </c>
      <c r="B431">
        <f>HYPERLINK("https://www.suredividend.com/sure-analysis-research-database/","Boston Private Financial Holdings Inc")</f>
        <v>0</v>
      </c>
      <c r="C431" t="s">
        <v>3184</v>
      </c>
      <c r="D431">
        <v>14.75</v>
      </c>
      <c r="E431">
        <v>0</v>
      </c>
      <c r="F431" t="s">
        <v>3182</v>
      </c>
      <c r="G431" t="s">
        <v>3182</v>
      </c>
      <c r="H431">
        <v>0.239999994635581</v>
      </c>
      <c r="I431">
        <v>0</v>
      </c>
      <c r="J431">
        <v>0</v>
      </c>
      <c r="K431">
        <v>0.3617726780759437</v>
      </c>
    </row>
    <row r="432" spans="1:14">
      <c r="A432" s="1" t="s">
        <v>444</v>
      </c>
      <c r="B432">
        <f>HYPERLINK("https://www.suredividend.com/sure-analysis-research-database/","Blueprint Medicines Corp")</f>
        <v>0</v>
      </c>
      <c r="C432" t="s">
        <v>3180</v>
      </c>
      <c r="D432">
        <v>59.4</v>
      </c>
      <c r="E432">
        <v>0</v>
      </c>
      <c r="F432" t="s">
        <v>3182</v>
      </c>
      <c r="G432" t="s">
        <v>3182</v>
      </c>
      <c r="H432">
        <v>0</v>
      </c>
      <c r="I432">
        <v>3610.908893</v>
      </c>
      <c r="J432" t="s">
        <v>3182</v>
      </c>
      <c r="K432">
        <v>-0</v>
      </c>
      <c r="L432">
        <v>0.9117121371411661</v>
      </c>
      <c r="M432">
        <v>68</v>
      </c>
      <c r="N432">
        <v>37.82</v>
      </c>
    </row>
    <row r="433" spans="1:14">
      <c r="A433" s="1" t="s">
        <v>445</v>
      </c>
      <c r="B433">
        <f>HYPERLINK("https://www.suredividend.com/sure-analysis-research-database/","Popular Inc.")</f>
        <v>0</v>
      </c>
      <c r="C433" t="s">
        <v>3184</v>
      </c>
      <c r="D433">
        <v>68</v>
      </c>
      <c r="E433">
        <v>0.031571314546812</v>
      </c>
      <c r="F433">
        <v>0</v>
      </c>
      <c r="G433">
        <v>0.1288813207301975</v>
      </c>
      <c r="H433">
        <v>2.146849389183257</v>
      </c>
      <c r="I433">
        <v>4904.685844</v>
      </c>
      <c r="J433">
        <v>4.962945865515284</v>
      </c>
      <c r="K433">
        <v>0.1572783435299089</v>
      </c>
      <c r="L433">
        <v>1.176242000171593</v>
      </c>
      <c r="M433">
        <v>72.75</v>
      </c>
      <c r="N433">
        <v>47.12</v>
      </c>
    </row>
    <row r="434" spans="1:14">
      <c r="A434" s="1" t="s">
        <v>446</v>
      </c>
      <c r="B434">
        <f>HYPERLINK("https://www.suredividend.com/sure-analysis-research-database/","Princeton Bancorp Inc")</f>
        <v>0</v>
      </c>
      <c r="C434" t="s">
        <v>3184</v>
      </c>
      <c r="D434">
        <v>31.7</v>
      </c>
      <c r="E434">
        <v>0.027798951295996</v>
      </c>
      <c r="F434" t="s">
        <v>3182</v>
      </c>
      <c r="G434" t="s">
        <v>3182</v>
      </c>
      <c r="H434">
        <v>0.8812267560830951</v>
      </c>
      <c r="I434">
        <v>199.305888</v>
      </c>
      <c r="J434">
        <v>0</v>
      </c>
      <c r="K434" t="s">
        <v>3182</v>
      </c>
      <c r="L434">
        <v>0.471784541524125</v>
      </c>
      <c r="M434">
        <v>36</v>
      </c>
      <c r="N434">
        <v>23.02</v>
      </c>
    </row>
    <row r="435" spans="1:14">
      <c r="A435" s="1" t="s">
        <v>447</v>
      </c>
      <c r="B435">
        <f>HYPERLINK("https://www.suredividend.com/sure-analysis-research-database/","Bio-Path Holdings Inc")</f>
        <v>0</v>
      </c>
      <c r="C435" t="s">
        <v>3180</v>
      </c>
      <c r="D435">
        <v>0.6441</v>
      </c>
      <c r="E435">
        <v>0</v>
      </c>
      <c r="F435" t="s">
        <v>3182</v>
      </c>
      <c r="G435" t="s">
        <v>3182</v>
      </c>
      <c r="H435">
        <v>0</v>
      </c>
      <c r="I435">
        <v>7.956351</v>
      </c>
      <c r="J435">
        <v>0</v>
      </c>
      <c r="K435" t="s">
        <v>3182</v>
      </c>
      <c r="L435">
        <v>0.7602763040370011</v>
      </c>
      <c r="M435">
        <v>3.18</v>
      </c>
      <c r="N435">
        <v>0.32</v>
      </c>
    </row>
    <row r="436" spans="1:14">
      <c r="A436" s="1" t="s">
        <v>448</v>
      </c>
      <c r="B436">
        <f>HYPERLINK("https://www.suredividend.com/sure-analysis-BR/","Broadridge Financial Solutions, Inc.")</f>
        <v>0</v>
      </c>
      <c r="C436" t="s">
        <v>3185</v>
      </c>
      <c r="D436">
        <v>178.81</v>
      </c>
      <c r="E436">
        <v>0.01789609082266093</v>
      </c>
      <c r="F436">
        <v>0.103448275862069</v>
      </c>
      <c r="G436">
        <v>0.1052732255496012</v>
      </c>
      <c r="H436">
        <v>2.955318152521131</v>
      </c>
      <c r="I436">
        <v>21120.476094</v>
      </c>
      <c r="J436">
        <v>33.49266745039645</v>
      </c>
      <c r="K436">
        <v>0.5576071985888926</v>
      </c>
      <c r="L436">
        <v>0.9359939306155991</v>
      </c>
      <c r="M436">
        <v>189.01</v>
      </c>
      <c r="N436">
        <v>128.86</v>
      </c>
    </row>
    <row r="437" spans="1:14">
      <c r="A437" s="1" t="s">
        <v>449</v>
      </c>
      <c r="B437">
        <f>HYPERLINK("https://www.suredividend.com/sure-analysis-BRC/","Brady Corp.")</f>
        <v>0</v>
      </c>
      <c r="C437" t="s">
        <v>3183</v>
      </c>
      <c r="D437">
        <v>52.17</v>
      </c>
      <c r="E437">
        <v>0.01801801801801802</v>
      </c>
      <c r="F437">
        <v>0.02173913043478271</v>
      </c>
      <c r="G437">
        <v>0.02033265364950054</v>
      </c>
      <c r="H437">
        <v>0.918869089591809</v>
      </c>
      <c r="I437">
        <v>2338.529797</v>
      </c>
      <c r="J437">
        <v>13.43326419341126</v>
      </c>
      <c r="K437">
        <v>0.2632862720893435</v>
      </c>
      <c r="L437">
        <v>0.6498500129714671</v>
      </c>
      <c r="M437">
        <v>57.95</v>
      </c>
      <c r="N437">
        <v>43.9</v>
      </c>
    </row>
    <row r="438" spans="1:14">
      <c r="A438" s="1" t="s">
        <v>450</v>
      </c>
      <c r="B438">
        <f>HYPERLINK("https://www.suredividend.com/sure-analysis-research-database/","Bluerock Residential Growth REIT Inc")</f>
        <v>0</v>
      </c>
      <c r="C438" t="s">
        <v>3187</v>
      </c>
      <c r="D438">
        <v>26.6</v>
      </c>
      <c r="E438">
        <v>0.018213238686806</v>
      </c>
      <c r="F438" t="s">
        <v>3182</v>
      </c>
      <c r="G438" t="s">
        <v>3182</v>
      </c>
      <c r="H438">
        <v>0.48447214906904</v>
      </c>
      <c r="I438">
        <v>811.47806</v>
      </c>
      <c r="J438" t="s">
        <v>3182</v>
      </c>
      <c r="K438" t="s">
        <v>3182</v>
      </c>
      <c r="L438">
        <v>0.027659703872715</v>
      </c>
      <c r="M438">
        <v>27.03</v>
      </c>
      <c r="N438">
        <v>12.31</v>
      </c>
    </row>
    <row r="439" spans="1:14">
      <c r="A439" s="1" t="s">
        <v>451</v>
      </c>
      <c r="B439">
        <f>HYPERLINK("https://www.suredividend.com/sure-analysis-research-database/","Bridgford Foods Corp.")</f>
        <v>0</v>
      </c>
      <c r="C439" t="s">
        <v>3188</v>
      </c>
      <c r="D439">
        <v>10.69</v>
      </c>
      <c r="E439">
        <v>0</v>
      </c>
      <c r="F439" t="s">
        <v>3182</v>
      </c>
      <c r="G439" t="s">
        <v>3182</v>
      </c>
      <c r="H439">
        <v>0</v>
      </c>
      <c r="I439">
        <v>97.031334</v>
      </c>
      <c r="J439">
        <v>0</v>
      </c>
      <c r="K439" t="s">
        <v>3182</v>
      </c>
      <c r="M439">
        <v>14.51</v>
      </c>
      <c r="N439">
        <v>10.03</v>
      </c>
    </row>
    <row r="440" spans="1:14">
      <c r="A440" s="1" t="s">
        <v>452</v>
      </c>
      <c r="B440">
        <f>HYPERLINK("https://www.suredividend.com/sure-analysis-research-database/","Brookline Bancorp, Inc.")</f>
        <v>0</v>
      </c>
      <c r="C440" t="s">
        <v>3184</v>
      </c>
      <c r="D440">
        <v>8.890000000000001</v>
      </c>
      <c r="E440">
        <v>0.058786111142331</v>
      </c>
      <c r="F440">
        <v>0</v>
      </c>
      <c r="G440">
        <v>0.05154749679728043</v>
      </c>
      <c r="H440">
        <v>0.5226085280553261</v>
      </c>
      <c r="I440">
        <v>788.23305</v>
      </c>
      <c r="J440">
        <v>8.831347056154346</v>
      </c>
      <c r="K440">
        <v>0.483896785236413</v>
      </c>
      <c r="L440">
        <v>1.120305361665954</v>
      </c>
      <c r="M440">
        <v>14.7</v>
      </c>
      <c r="N440">
        <v>6.7</v>
      </c>
    </row>
    <row r="441" spans="1:14">
      <c r="A441" s="1" t="s">
        <v>453</v>
      </c>
      <c r="B441">
        <f>HYPERLINK("https://www.suredividend.com/sure-analysis-research-database/","Bruker Corp")</f>
        <v>0</v>
      </c>
      <c r="C441" t="s">
        <v>3180</v>
      </c>
      <c r="D441">
        <v>56.41</v>
      </c>
      <c r="E441">
        <v>0.00353831067703</v>
      </c>
      <c r="F441">
        <v>0</v>
      </c>
      <c r="G441">
        <v>0.04563955259127317</v>
      </c>
      <c r="H441">
        <v>0.199596105291317</v>
      </c>
      <c r="I441">
        <v>8283.983484</v>
      </c>
      <c r="J441">
        <v>25.96046218683798</v>
      </c>
      <c r="K441">
        <v>0.09240560430153565</v>
      </c>
      <c r="L441">
        <v>0.9626083015800261</v>
      </c>
      <c r="M441">
        <v>84.59</v>
      </c>
      <c r="N441">
        <v>53.79</v>
      </c>
    </row>
    <row r="442" spans="1:14">
      <c r="A442" s="1" t="s">
        <v>454</v>
      </c>
      <c r="B442">
        <f>HYPERLINK("https://www.suredividend.com/sure-analysis-research-database/","Barnwell Industries Inc.")</f>
        <v>0</v>
      </c>
      <c r="C442" t="s">
        <v>3189</v>
      </c>
      <c r="D442">
        <v>2.62</v>
      </c>
      <c r="E442">
        <v>0.02255717618168</v>
      </c>
      <c r="F442" t="s">
        <v>3182</v>
      </c>
      <c r="G442" t="s">
        <v>3182</v>
      </c>
      <c r="H442">
        <v>0.05909980159600201</v>
      </c>
      <c r="I442">
        <v>26.175838</v>
      </c>
      <c r="J442">
        <v>0</v>
      </c>
      <c r="K442" t="s">
        <v>3182</v>
      </c>
      <c r="L442">
        <v>0.5462665609077031</v>
      </c>
      <c r="M442">
        <v>3.22</v>
      </c>
      <c r="N442">
        <v>1.85</v>
      </c>
    </row>
    <row r="443" spans="1:14">
      <c r="A443" s="1" t="s">
        <v>455</v>
      </c>
      <c r="B443">
        <f>HYPERLINK("https://www.suredividend.com/sure-analysis-BRO/","Brown &amp; Brown, Inc.")</f>
        <v>0</v>
      </c>
      <c r="C443" t="s">
        <v>3184</v>
      </c>
      <c r="D443">
        <v>70.91</v>
      </c>
      <c r="E443">
        <v>0.007333239317444649</v>
      </c>
      <c r="F443" t="s">
        <v>3182</v>
      </c>
      <c r="G443" t="s">
        <v>3182</v>
      </c>
      <c r="H443">
        <v>0.473772068846825</v>
      </c>
      <c r="I443">
        <v>20180.832196</v>
      </c>
      <c r="J443">
        <v>27.46065069561845</v>
      </c>
      <c r="K443">
        <v>0.1808290339110019</v>
      </c>
      <c r="L443">
        <v>0.853427468770741</v>
      </c>
      <c r="M443">
        <v>74.43000000000001</v>
      </c>
      <c r="N443">
        <v>52.54</v>
      </c>
    </row>
    <row r="444" spans="1:14">
      <c r="A444" s="1" t="s">
        <v>456</v>
      </c>
      <c r="B444">
        <f>HYPERLINK("https://www.suredividend.com/sure-analysis-research-database/","BRT Apartments Corp")</f>
        <v>0</v>
      </c>
      <c r="C444" t="s">
        <v>3187</v>
      </c>
      <c r="D444">
        <v>16.96</v>
      </c>
      <c r="E444">
        <v>0.05775262499611201</v>
      </c>
      <c r="F444">
        <v>0</v>
      </c>
      <c r="G444">
        <v>0.04563955259127317</v>
      </c>
      <c r="H444">
        <v>0.97948451993406</v>
      </c>
      <c r="I444">
        <v>319.871536</v>
      </c>
      <c r="J444">
        <v>32.16729042638777</v>
      </c>
      <c r="K444">
        <v>1.780880945334655</v>
      </c>
      <c r="L444">
        <v>0.9494958791212811</v>
      </c>
      <c r="M444">
        <v>21.45</v>
      </c>
      <c r="N444">
        <v>15.98</v>
      </c>
    </row>
    <row r="445" spans="1:14">
      <c r="A445" s="1" t="s">
        <v>457</v>
      </c>
      <c r="B445">
        <f>HYPERLINK("https://www.suredividend.com/sure-analysis-BRX/","Brixmor Property Group Inc")</f>
        <v>0</v>
      </c>
      <c r="C445" t="s">
        <v>3187</v>
      </c>
      <c r="D445">
        <v>21.37</v>
      </c>
      <c r="E445">
        <v>0.04866635470285447</v>
      </c>
      <c r="F445" t="s">
        <v>3182</v>
      </c>
      <c r="G445" t="s">
        <v>3182</v>
      </c>
      <c r="H445">
        <v>1.021107945366048</v>
      </c>
      <c r="I445">
        <v>6423.74494</v>
      </c>
      <c r="J445">
        <v>18.97428722428002</v>
      </c>
      <c r="K445">
        <v>0.9117035226482572</v>
      </c>
      <c r="L445">
        <v>0.9500794826448441</v>
      </c>
      <c r="M445">
        <v>23.39</v>
      </c>
      <c r="N445">
        <v>18.88</v>
      </c>
    </row>
    <row r="446" spans="1:14">
      <c r="A446" s="1" t="s">
        <v>458</v>
      </c>
      <c r="B446">
        <f>HYPERLINK("https://www.suredividend.com/sure-analysis-research-database/","Berry Corp")</f>
        <v>0</v>
      </c>
      <c r="C446" t="s">
        <v>3189</v>
      </c>
      <c r="D446">
        <v>7.73</v>
      </c>
      <c r="E446">
        <v>0.04573113556399201</v>
      </c>
      <c r="F446">
        <v>-0.9545454545454546</v>
      </c>
      <c r="G446">
        <v>-0.3011728812284208</v>
      </c>
      <c r="H446">
        <v>0.353501677909662</v>
      </c>
      <c r="I446">
        <v>584.861586</v>
      </c>
      <c r="J446">
        <v>2.062749170931278</v>
      </c>
      <c r="K446">
        <v>0.1004266130425176</v>
      </c>
      <c r="L446">
        <v>0.9044990635980851</v>
      </c>
      <c r="M446">
        <v>10.3</v>
      </c>
      <c r="N446">
        <v>6.13</v>
      </c>
    </row>
    <row r="447" spans="1:14">
      <c r="A447" s="1" t="s">
        <v>459</v>
      </c>
      <c r="B447">
        <f>HYPERLINK("https://www.suredividend.com/sure-analysis-research-database/","Bassett Furniture Industries Inc.")</f>
        <v>0</v>
      </c>
      <c r="C447" t="s">
        <v>3186</v>
      </c>
      <c r="D447">
        <v>15.88</v>
      </c>
      <c r="E447">
        <v>0.040543366628113</v>
      </c>
      <c r="F447">
        <v>0.125</v>
      </c>
      <c r="G447">
        <v>0.07565375693257015</v>
      </c>
      <c r="H447">
        <v>0.643828662054436</v>
      </c>
      <c r="I447">
        <v>140.061473</v>
      </c>
      <c r="J447">
        <v>23.51602971121558</v>
      </c>
      <c r="K447">
        <v>0.9595062027636899</v>
      </c>
      <c r="L447">
        <v>0.409600956250131</v>
      </c>
      <c r="M447">
        <v>19.19</v>
      </c>
      <c r="N447">
        <v>13.02</v>
      </c>
    </row>
    <row r="448" spans="1:14">
      <c r="A448" s="1" t="s">
        <v>460</v>
      </c>
      <c r="B448">
        <f>HYPERLINK("https://www.suredividend.com/sure-analysis-research-database/","Biosig Technologies Inc")</f>
        <v>0</v>
      </c>
      <c r="C448" t="s">
        <v>3180</v>
      </c>
      <c r="D448">
        <v>0.46</v>
      </c>
      <c r="E448">
        <v>0</v>
      </c>
      <c r="F448" t="s">
        <v>3182</v>
      </c>
      <c r="G448" t="s">
        <v>3182</v>
      </c>
      <c r="H448">
        <v>0</v>
      </c>
      <c r="I448">
        <v>34.46665</v>
      </c>
      <c r="J448">
        <v>0</v>
      </c>
      <c r="K448" t="s">
        <v>3182</v>
      </c>
      <c r="L448">
        <v>0.5563881293988461</v>
      </c>
      <c r="M448">
        <v>1.65</v>
      </c>
      <c r="N448">
        <v>0.2514</v>
      </c>
    </row>
    <row r="449" spans="1:14">
      <c r="A449" s="1" t="s">
        <v>461</v>
      </c>
      <c r="B449">
        <f>HYPERLINK("https://www.suredividend.com/sure-analysis-research-database/","BSquare Corp")</f>
        <v>0</v>
      </c>
      <c r="C449" t="s">
        <v>3185</v>
      </c>
      <c r="D449">
        <v>1.85</v>
      </c>
      <c r="E449">
        <v>0</v>
      </c>
      <c r="F449" t="s">
        <v>3182</v>
      </c>
      <c r="G449" t="s">
        <v>3182</v>
      </c>
      <c r="H449">
        <v>0</v>
      </c>
      <c r="I449">
        <v>36.711113</v>
      </c>
      <c r="J449" t="s">
        <v>3182</v>
      </c>
      <c r="K449">
        <v>-0</v>
      </c>
      <c r="L449">
        <v>0.047684660457929</v>
      </c>
      <c r="M449">
        <v>1.89</v>
      </c>
      <c r="N449">
        <v>1.02</v>
      </c>
    </row>
    <row r="450" spans="1:14">
      <c r="A450" s="1" t="s">
        <v>462</v>
      </c>
      <c r="B450">
        <f>HYPERLINK("https://www.suredividend.com/sure-analysis-research-database/","Sierra Bancorp")</f>
        <v>0</v>
      </c>
      <c r="C450" t="s">
        <v>3184</v>
      </c>
      <c r="D450">
        <v>17.73</v>
      </c>
      <c r="E450">
        <v>0.050025261766794</v>
      </c>
      <c r="F450">
        <v>0</v>
      </c>
      <c r="G450">
        <v>0.05024607263868264</v>
      </c>
      <c r="H450">
        <v>0.8869478911252641</v>
      </c>
      <c r="I450">
        <v>262.608338</v>
      </c>
      <c r="J450">
        <v>7.352268835041155</v>
      </c>
      <c r="K450">
        <v>0.3711079042365121</v>
      </c>
      <c r="L450">
        <v>0.6579677292515701</v>
      </c>
      <c r="M450">
        <v>21.76</v>
      </c>
      <c r="N450">
        <v>14.32</v>
      </c>
    </row>
    <row r="451" spans="1:14">
      <c r="A451" s="1" t="s">
        <v>463</v>
      </c>
      <c r="B451">
        <f>HYPERLINK("https://www.suredividend.com/sure-analysis-research-database/","Biospecifics Technologies Corp.")</f>
        <v>0</v>
      </c>
      <c r="C451" t="s">
        <v>3180</v>
      </c>
      <c r="D451">
        <v>88.53</v>
      </c>
      <c r="E451">
        <v>0</v>
      </c>
      <c r="F451" t="s">
        <v>3182</v>
      </c>
      <c r="G451" t="s">
        <v>3182</v>
      </c>
      <c r="H451">
        <v>0</v>
      </c>
      <c r="I451">
        <v>0</v>
      </c>
      <c r="J451">
        <v>0</v>
      </c>
      <c r="K451">
        <v>0</v>
      </c>
    </row>
    <row r="452" spans="1:14">
      <c r="A452" s="1" t="s">
        <v>464</v>
      </c>
      <c r="B452">
        <f>HYPERLINK("https://www.suredividend.com/sure-analysis-research-database/","Boston Scientific Corp.")</f>
        <v>0</v>
      </c>
      <c r="C452" t="s">
        <v>3180</v>
      </c>
      <c r="D452">
        <v>52.52</v>
      </c>
      <c r="E452">
        <v>0</v>
      </c>
      <c r="F452" t="s">
        <v>3182</v>
      </c>
      <c r="G452" t="s">
        <v>3182</v>
      </c>
      <c r="H452">
        <v>0</v>
      </c>
      <c r="I452">
        <v>76901.005773</v>
      </c>
      <c r="J452">
        <v>89.62821185636363</v>
      </c>
      <c r="K452">
        <v>0</v>
      </c>
      <c r="L452">
        <v>0.565319333779277</v>
      </c>
      <c r="M452">
        <v>55.38</v>
      </c>
      <c r="N452">
        <v>40.95</v>
      </c>
    </row>
    <row r="453" spans="1:14">
      <c r="A453" s="1" t="s">
        <v>465</v>
      </c>
      <c r="B453">
        <f>HYPERLINK("https://www.suredividend.com/sure-analysis-research-database/","Peabody Energy Corp.")</f>
        <v>0</v>
      </c>
      <c r="C453" t="s">
        <v>3189</v>
      </c>
      <c r="D453">
        <v>23.63</v>
      </c>
      <c r="E453">
        <v>0.006337256063868001</v>
      </c>
      <c r="F453" t="s">
        <v>3182</v>
      </c>
      <c r="G453" t="s">
        <v>3182</v>
      </c>
      <c r="H453">
        <v>0.149749360789214</v>
      </c>
      <c r="I453">
        <v>3138.064</v>
      </c>
      <c r="J453">
        <v>2.157041517734396</v>
      </c>
      <c r="K453">
        <v>0.01675048778402842</v>
      </c>
      <c r="L453">
        <v>1.032163635103889</v>
      </c>
      <c r="M453">
        <v>32.67</v>
      </c>
      <c r="N453">
        <v>17.65</v>
      </c>
    </row>
    <row r="454" spans="1:14">
      <c r="A454" s="1" t="s">
        <v>466</v>
      </c>
      <c r="B454">
        <f>HYPERLINK("https://www.suredividend.com/sure-analysis-research-database/","Burlington Stores Inc")</f>
        <v>0</v>
      </c>
      <c r="C454" t="s">
        <v>3186</v>
      </c>
      <c r="D454">
        <v>126.26</v>
      </c>
      <c r="E454">
        <v>0</v>
      </c>
      <c r="F454" t="s">
        <v>3182</v>
      </c>
      <c r="G454" t="s">
        <v>3182</v>
      </c>
      <c r="H454">
        <v>0</v>
      </c>
      <c r="I454">
        <v>8187.964535</v>
      </c>
      <c r="J454">
        <v>30.82551034842616</v>
      </c>
      <c r="K454">
        <v>0</v>
      </c>
      <c r="L454">
        <v>1.15763534064759</v>
      </c>
      <c r="M454">
        <v>239.94</v>
      </c>
      <c r="N454">
        <v>115.66</v>
      </c>
    </row>
    <row r="455" spans="1:14">
      <c r="A455" s="1" t="s">
        <v>467</v>
      </c>
      <c r="B455">
        <f>HYPERLINK("https://www.suredividend.com/sure-analysis-research-database/","First Busey Corp.")</f>
        <v>0</v>
      </c>
      <c r="C455" t="s">
        <v>3184</v>
      </c>
      <c r="D455">
        <v>20.26</v>
      </c>
      <c r="E455">
        <v>0.04575816311779701</v>
      </c>
      <c r="F455">
        <v>0.04347826086956519</v>
      </c>
      <c r="G455">
        <v>0.02706608708935176</v>
      </c>
      <c r="H455">
        <v>0.927060384766575</v>
      </c>
      <c r="I455">
        <v>1120.002846</v>
      </c>
      <c r="J455">
        <v>8.223342821333647</v>
      </c>
      <c r="K455">
        <v>0.3815063311796605</v>
      </c>
      <c r="L455">
        <v>0.859487511203037</v>
      </c>
      <c r="M455">
        <v>25.81</v>
      </c>
      <c r="N455">
        <v>15.53</v>
      </c>
    </row>
    <row r="456" spans="1:14">
      <c r="A456" s="1" t="s">
        <v>468</v>
      </c>
      <c r="B456">
        <f>HYPERLINK("https://www.suredividend.com/sure-analysis-research-database/","BrightView Holdings Inc")</f>
        <v>0</v>
      </c>
      <c r="C456" t="s">
        <v>3183</v>
      </c>
      <c r="D456">
        <v>6.89</v>
      </c>
      <c r="E456">
        <v>0</v>
      </c>
      <c r="F456" t="s">
        <v>3182</v>
      </c>
      <c r="G456" t="s">
        <v>3182</v>
      </c>
      <c r="H456">
        <v>0</v>
      </c>
      <c r="I456">
        <v>643.690437</v>
      </c>
      <c r="J456" t="s">
        <v>3182</v>
      </c>
      <c r="K456">
        <v>-0</v>
      </c>
      <c r="L456">
        <v>0.9867441630637581</v>
      </c>
      <c r="M456">
        <v>9.32</v>
      </c>
      <c r="N456">
        <v>5.16</v>
      </c>
    </row>
    <row r="457" spans="1:14">
      <c r="A457" s="1" t="s">
        <v>469</v>
      </c>
      <c r="B457">
        <f>HYPERLINK("https://www.suredividend.com/sure-analysis-research-database/","Babcock &amp; Wilcox Enterprises Inc")</f>
        <v>0</v>
      </c>
      <c r="C457" t="s">
        <v>3183</v>
      </c>
      <c r="D457">
        <v>2.55</v>
      </c>
      <c r="E457">
        <v>0</v>
      </c>
      <c r="F457" t="s">
        <v>3182</v>
      </c>
      <c r="G457" t="s">
        <v>3182</v>
      </c>
      <c r="H457">
        <v>0</v>
      </c>
      <c r="I457">
        <v>227.156953</v>
      </c>
      <c r="J457" t="s">
        <v>3182</v>
      </c>
      <c r="K457">
        <v>-0</v>
      </c>
      <c r="L457">
        <v>1.374219794154023</v>
      </c>
      <c r="M457">
        <v>6.83</v>
      </c>
      <c r="N457">
        <v>2.31</v>
      </c>
    </row>
    <row r="458" spans="1:14">
      <c r="A458" s="1" t="s">
        <v>470</v>
      </c>
      <c r="B458">
        <f>HYPERLINK("https://www.suredividend.com/sure-analysis-BWA/","BorgWarner Inc")</f>
        <v>0</v>
      </c>
      <c r="C458" t="s">
        <v>3186</v>
      </c>
      <c r="D458">
        <v>32.26</v>
      </c>
      <c r="E458">
        <v>0.01363918164910105</v>
      </c>
      <c r="F458">
        <v>-0.3529411764705883</v>
      </c>
      <c r="G458">
        <v>-0.08338121623946426</v>
      </c>
      <c r="H458">
        <v>0.6168148433593601</v>
      </c>
      <c r="I458">
        <v>7583.133025</v>
      </c>
      <c r="J458">
        <v>7.990656507060063</v>
      </c>
      <c r="K458">
        <v>0.1793066405114419</v>
      </c>
      <c r="L458">
        <v>0.9621503954759231</v>
      </c>
      <c r="M458">
        <v>50.82</v>
      </c>
      <c r="N458">
        <v>31.63</v>
      </c>
    </row>
    <row r="459" spans="1:14">
      <c r="A459" s="1" t="s">
        <v>471</v>
      </c>
      <c r="B459">
        <f>HYPERLINK("https://www.suredividend.com/sure-analysis-research-database/","Bridgewater Bancshares Inc")</f>
        <v>0</v>
      </c>
      <c r="C459" t="s">
        <v>3184</v>
      </c>
      <c r="D459">
        <v>9.890000000000001</v>
      </c>
      <c r="E459">
        <v>0</v>
      </c>
      <c r="F459" t="s">
        <v>3182</v>
      </c>
      <c r="G459" t="s">
        <v>3182</v>
      </c>
      <c r="H459">
        <v>0</v>
      </c>
      <c r="I459">
        <v>276.681819</v>
      </c>
      <c r="J459">
        <v>6.060672459695085</v>
      </c>
      <c r="K459">
        <v>0</v>
      </c>
      <c r="L459">
        <v>1.122004615992515</v>
      </c>
      <c r="M459">
        <v>20.2</v>
      </c>
      <c r="N459">
        <v>7.9</v>
      </c>
    </row>
    <row r="460" spans="1:14">
      <c r="A460" s="1" t="s">
        <v>472</v>
      </c>
      <c r="B460">
        <f>HYPERLINK("https://www.suredividend.com/sure-analysis-research-database/","Broadwind Inc")</f>
        <v>0</v>
      </c>
      <c r="C460" t="s">
        <v>3183</v>
      </c>
      <c r="D460">
        <v>2.74</v>
      </c>
      <c r="E460">
        <v>0</v>
      </c>
      <c r="F460" t="s">
        <v>3182</v>
      </c>
      <c r="G460" t="s">
        <v>3182</v>
      </c>
      <c r="H460">
        <v>0</v>
      </c>
      <c r="I460">
        <v>58.635625</v>
      </c>
      <c r="J460" t="s">
        <v>3182</v>
      </c>
      <c r="K460">
        <v>-0</v>
      </c>
      <c r="L460">
        <v>2.128057885947542</v>
      </c>
      <c r="M460">
        <v>6.1</v>
      </c>
      <c r="N460">
        <v>1.54</v>
      </c>
    </row>
    <row r="461" spans="1:14">
      <c r="A461" s="1" t="s">
        <v>473</v>
      </c>
      <c r="B461">
        <f>HYPERLINK("https://www.suredividend.com/sure-analysis-research-database/","Bankwell Financial Group Inc")</f>
        <v>0</v>
      </c>
      <c r="C461" t="s">
        <v>3184</v>
      </c>
      <c r="D461">
        <v>25.2</v>
      </c>
      <c r="E461">
        <v>0.031160148509616</v>
      </c>
      <c r="F461">
        <v>0</v>
      </c>
      <c r="G461">
        <v>0.08997698704834534</v>
      </c>
      <c r="H461">
        <v>0.7852357424423271</v>
      </c>
      <c r="I461">
        <v>197.356723</v>
      </c>
      <c r="J461">
        <v>0</v>
      </c>
      <c r="K461" t="s">
        <v>3182</v>
      </c>
      <c r="L461">
        <v>0.7980650543651171</v>
      </c>
      <c r="M461">
        <v>30.87</v>
      </c>
      <c r="N461">
        <v>20.72</v>
      </c>
    </row>
    <row r="462" spans="1:14">
      <c r="A462" s="1" t="s">
        <v>474</v>
      </c>
      <c r="B462">
        <f>HYPERLINK("https://www.suredividend.com/sure-analysis-research-database/","BWX Technologies Inc")</f>
        <v>0</v>
      </c>
      <c r="C462" t="s">
        <v>3183</v>
      </c>
      <c r="D462">
        <v>76.90000000000001</v>
      </c>
      <c r="E462">
        <v>0.011775367460326</v>
      </c>
      <c r="F462">
        <v>0.04545454545454541</v>
      </c>
      <c r="G462">
        <v>0.07528000640556964</v>
      </c>
      <c r="H462">
        <v>0.905525757699127</v>
      </c>
      <c r="I462">
        <v>7033.754164</v>
      </c>
      <c r="J462">
        <v>31.36470283469413</v>
      </c>
      <c r="K462">
        <v>0.3711171138111176</v>
      </c>
      <c r="L462">
        <v>0.7021095632908061</v>
      </c>
      <c r="M462">
        <v>79.42</v>
      </c>
      <c r="N462">
        <v>54.63</v>
      </c>
    </row>
    <row r="463" spans="1:14">
      <c r="A463" s="1" t="s">
        <v>475</v>
      </c>
      <c r="B463">
        <f>HYPERLINK("https://www.suredividend.com/sure-analysis-research-database/","Bluelinx Hldgs Inc")</f>
        <v>0</v>
      </c>
      <c r="C463" t="s">
        <v>3183</v>
      </c>
      <c r="D463">
        <v>76.36</v>
      </c>
      <c r="E463">
        <v>0</v>
      </c>
      <c r="F463" t="s">
        <v>3182</v>
      </c>
      <c r="G463" t="s">
        <v>3182</v>
      </c>
      <c r="H463">
        <v>0</v>
      </c>
      <c r="I463">
        <v>669.463468</v>
      </c>
      <c r="J463">
        <v>6.786524221559921</v>
      </c>
      <c r="K463">
        <v>0</v>
      </c>
      <c r="L463">
        <v>1.601325506940461</v>
      </c>
      <c r="M463">
        <v>98.33</v>
      </c>
      <c r="N463">
        <v>61.56</v>
      </c>
    </row>
    <row r="464" spans="1:14">
      <c r="A464" s="1" t="s">
        <v>476</v>
      </c>
      <c r="B464">
        <f>HYPERLINK("https://www.suredividend.com/sure-analysis-BXMT/","Blackstone Mortgage Trust Inc")</f>
        <v>0</v>
      </c>
      <c r="C464" t="s">
        <v>3187</v>
      </c>
      <c r="D464">
        <v>21.23</v>
      </c>
      <c r="E464">
        <v>0.1168158266603862</v>
      </c>
      <c r="F464">
        <v>0</v>
      </c>
      <c r="G464">
        <v>0</v>
      </c>
      <c r="H464">
        <v>2.935900935119301</v>
      </c>
      <c r="I464">
        <v>3657.877178</v>
      </c>
      <c r="J464">
        <v>18.16306179307914</v>
      </c>
      <c r="K464">
        <v>2.446584112599418</v>
      </c>
      <c r="L464">
        <v>1.275288536830688</v>
      </c>
      <c r="M464">
        <v>23.15</v>
      </c>
      <c r="N464">
        <v>15.43</v>
      </c>
    </row>
    <row r="465" spans="1:14">
      <c r="A465" s="1" t="s">
        <v>477</v>
      </c>
      <c r="B465">
        <f>HYPERLINK("https://www.suredividend.com/sure-analysis-BXP/","Boston Properties, Inc.")</f>
        <v>0</v>
      </c>
      <c r="C465" t="s">
        <v>3187</v>
      </c>
      <c r="D465">
        <v>55.84</v>
      </c>
      <c r="E465">
        <v>0.07020057306590258</v>
      </c>
      <c r="F465">
        <v>0</v>
      </c>
      <c r="G465">
        <v>0.006237490039030291</v>
      </c>
      <c r="H465">
        <v>3.820348996111793</v>
      </c>
      <c r="I465">
        <v>8759.316416</v>
      </c>
      <c r="J465">
        <v>13.3270594137462</v>
      </c>
      <c r="K465">
        <v>0.913959089978898</v>
      </c>
      <c r="L465">
        <v>1.376863591023064</v>
      </c>
      <c r="M465">
        <v>75.34</v>
      </c>
      <c r="N465">
        <v>43.81</v>
      </c>
    </row>
    <row r="466" spans="1:14">
      <c r="A466" s="1" t="s">
        <v>478</v>
      </c>
      <c r="B466">
        <f>HYPERLINK("https://www.suredividend.com/sure-analysis-research-database/","Byline Bancorp Inc")</f>
        <v>0</v>
      </c>
      <c r="C466" t="s">
        <v>3184</v>
      </c>
      <c r="D466">
        <v>19.6</v>
      </c>
      <c r="E466">
        <v>0.018250993321267</v>
      </c>
      <c r="F466" t="s">
        <v>3182</v>
      </c>
      <c r="G466" t="s">
        <v>3182</v>
      </c>
      <c r="H466">
        <v>0.357719469096847</v>
      </c>
      <c r="I466">
        <v>856.377998</v>
      </c>
      <c r="J466">
        <v>8.975579570703895</v>
      </c>
      <c r="K466">
        <v>0.1397341676159559</v>
      </c>
      <c r="L466">
        <v>1.070381258641364</v>
      </c>
      <c r="M466">
        <v>25.68</v>
      </c>
      <c r="N466">
        <v>16.25</v>
      </c>
    </row>
    <row r="467" spans="1:14">
      <c r="A467" s="1" t="s">
        <v>479</v>
      </c>
      <c r="B467">
        <f>HYPERLINK("https://www.suredividend.com/sure-analysis-research-database/","Boyd Gaming Corp.")</f>
        <v>0</v>
      </c>
      <c r="C467" t="s">
        <v>3186</v>
      </c>
      <c r="D467">
        <v>56.16</v>
      </c>
      <c r="E467">
        <v>0.011176915858409</v>
      </c>
      <c r="F467" t="s">
        <v>3182</v>
      </c>
      <c r="G467" t="s">
        <v>3182</v>
      </c>
      <c r="H467">
        <v>0.627695594608305</v>
      </c>
      <c r="I467">
        <v>5616.676279</v>
      </c>
      <c r="J467">
        <v>7.780720210009821</v>
      </c>
      <c r="K467">
        <v>0.0911024085062852</v>
      </c>
      <c r="L467">
        <v>0.9607990144903161</v>
      </c>
      <c r="M467">
        <v>72.81999999999999</v>
      </c>
      <c r="N467">
        <v>52.4</v>
      </c>
    </row>
    <row r="468" spans="1:14">
      <c r="A468" s="1" t="s">
        <v>480</v>
      </c>
      <c r="B468">
        <f>HYPERLINK("https://www.suredividend.com/sure-analysis-research-database/","Broadway Financial Corp.")</f>
        <v>0</v>
      </c>
      <c r="C468" t="s">
        <v>3184</v>
      </c>
      <c r="D468">
        <v>5.8</v>
      </c>
      <c r="E468">
        <v>0</v>
      </c>
      <c r="F468" t="s">
        <v>3182</v>
      </c>
      <c r="G468" t="s">
        <v>3182</v>
      </c>
      <c r="H468">
        <v>0</v>
      </c>
      <c r="I468">
        <v>286.777845</v>
      </c>
      <c r="J468">
        <v>0</v>
      </c>
      <c r="K468" t="s">
        <v>3182</v>
      </c>
      <c r="L468">
        <v>0.409276496990826</v>
      </c>
      <c r="M468">
        <v>11.36</v>
      </c>
      <c r="N468">
        <v>5.12</v>
      </c>
    </row>
    <row r="469" spans="1:14">
      <c r="A469" s="1" t="s">
        <v>481</v>
      </c>
      <c r="B469">
        <f>HYPERLINK("https://www.suredividend.com/sure-analysis-research-database/","Beyond Meat Inc")</f>
        <v>0</v>
      </c>
      <c r="C469" t="s">
        <v>3188</v>
      </c>
      <c r="D469">
        <v>7</v>
      </c>
      <c r="E469">
        <v>0</v>
      </c>
      <c r="F469" t="s">
        <v>3182</v>
      </c>
      <c r="G469" t="s">
        <v>3182</v>
      </c>
      <c r="H469">
        <v>0</v>
      </c>
      <c r="I469">
        <v>450.700537</v>
      </c>
      <c r="J469" t="s">
        <v>3182</v>
      </c>
      <c r="K469">
        <v>-0</v>
      </c>
      <c r="L469">
        <v>2.718289763152177</v>
      </c>
      <c r="M469">
        <v>22.87</v>
      </c>
      <c r="N469">
        <v>5.58</v>
      </c>
    </row>
    <row r="470" spans="1:14">
      <c r="A470" s="1" t="s">
        <v>482</v>
      </c>
      <c r="B470">
        <f>HYPERLINK("https://www.suredividend.com/sure-analysis-research-database/","Beazer Homes USA Inc.")</f>
        <v>0</v>
      </c>
      <c r="C470" t="s">
        <v>3186</v>
      </c>
      <c r="D470">
        <v>27.08</v>
      </c>
      <c r="E470">
        <v>0</v>
      </c>
      <c r="F470" t="s">
        <v>3182</v>
      </c>
      <c r="G470" t="s">
        <v>3182</v>
      </c>
      <c r="H470">
        <v>0</v>
      </c>
      <c r="I470">
        <v>848.665915</v>
      </c>
      <c r="J470">
        <v>4.474245379643396</v>
      </c>
      <c r="K470">
        <v>0</v>
      </c>
      <c r="L470">
        <v>1.735862241292069</v>
      </c>
      <c r="M470">
        <v>35.93</v>
      </c>
      <c r="N470">
        <v>10.74</v>
      </c>
    </row>
    <row r="471" spans="1:14">
      <c r="A471" s="1" t="s">
        <v>483</v>
      </c>
      <c r="B471">
        <f>HYPERLINK("https://www.suredividend.com/sure-analysis-C/","Citigroup Inc")</f>
        <v>0</v>
      </c>
      <c r="C471" t="s">
        <v>3184</v>
      </c>
      <c r="D471">
        <v>41.35</v>
      </c>
      <c r="E471">
        <v>0.05126964933494559</v>
      </c>
      <c r="F471">
        <v>0.03921568627450989</v>
      </c>
      <c r="G471">
        <v>0.03326726610994291</v>
      </c>
      <c r="H471">
        <v>2.026646968343232</v>
      </c>
      <c r="I471">
        <v>80498.18846</v>
      </c>
      <c r="J471">
        <v>6.537658447165597</v>
      </c>
      <c r="K471">
        <v>0.3227144854049733</v>
      </c>
      <c r="L471">
        <v>1.083461906575832</v>
      </c>
      <c r="M471">
        <v>51.54</v>
      </c>
      <c r="N471">
        <v>38.17</v>
      </c>
    </row>
    <row r="472" spans="1:14">
      <c r="A472" s="1" t="s">
        <v>484</v>
      </c>
      <c r="B472">
        <f>HYPERLINK("https://www.suredividend.com/sure-analysis-research-database/","Cable One Inc")</f>
        <v>0</v>
      </c>
      <c r="C472" t="s">
        <v>3191</v>
      </c>
      <c r="D472">
        <v>562.45</v>
      </c>
      <c r="E472">
        <v>0.020310264061832</v>
      </c>
      <c r="F472">
        <v>0.03508771929824572</v>
      </c>
      <c r="G472">
        <v>0.08083252207959757</v>
      </c>
      <c r="H472">
        <v>11.42350802157791</v>
      </c>
      <c r="I472">
        <v>3162.150707</v>
      </c>
      <c r="J472">
        <v>29.81220439006684</v>
      </c>
      <c r="K472">
        <v>0.6633860639708425</v>
      </c>
      <c r="L472">
        <v>1.230258956773982</v>
      </c>
      <c r="M472">
        <v>850.75</v>
      </c>
      <c r="N472">
        <v>520.05</v>
      </c>
    </row>
    <row r="473" spans="1:14">
      <c r="A473" s="1" t="s">
        <v>485</v>
      </c>
      <c r="B473">
        <f>HYPERLINK("https://www.suredividend.com/sure-analysis-research-database/","Camden National Corp.")</f>
        <v>0</v>
      </c>
      <c r="C473" t="s">
        <v>3184</v>
      </c>
      <c r="D473">
        <v>30.63</v>
      </c>
      <c r="E473">
        <v>0.052595666947002</v>
      </c>
      <c r="F473">
        <v>0.04999999999999982</v>
      </c>
      <c r="G473">
        <v>0.06961037572506878</v>
      </c>
      <c r="H473">
        <v>1.61100527858669</v>
      </c>
      <c r="I473">
        <v>445.816924</v>
      </c>
      <c r="J473">
        <v>8.163201507516526</v>
      </c>
      <c r="K473">
        <v>0.4319049004253861</v>
      </c>
      <c r="L473">
        <v>0.7365665255774611</v>
      </c>
      <c r="M473">
        <v>40.58</v>
      </c>
      <c r="N473">
        <v>26.2</v>
      </c>
    </row>
    <row r="474" spans="1:14">
      <c r="A474" s="1" t="s">
        <v>486</v>
      </c>
      <c r="B474">
        <f>HYPERLINK("https://www.suredividend.com/sure-analysis-research-database/","Credit Acceptance Corp.")</f>
        <v>0</v>
      </c>
      <c r="C474" t="s">
        <v>3184</v>
      </c>
      <c r="D474">
        <v>436.25</v>
      </c>
      <c r="E474">
        <v>0</v>
      </c>
      <c r="F474" t="s">
        <v>3182</v>
      </c>
      <c r="G474" t="s">
        <v>3182</v>
      </c>
      <c r="H474">
        <v>0</v>
      </c>
      <c r="I474">
        <v>5482.204116</v>
      </c>
      <c r="J474">
        <v>17.1426019895247</v>
      </c>
      <c r="K474">
        <v>0</v>
      </c>
      <c r="L474">
        <v>1.628429027367681</v>
      </c>
      <c r="M474">
        <v>576.05</v>
      </c>
      <c r="N474">
        <v>358</v>
      </c>
    </row>
    <row r="475" spans="1:14">
      <c r="A475" s="1" t="s">
        <v>487</v>
      </c>
      <c r="B475">
        <f>HYPERLINK("https://www.suredividend.com/sure-analysis-research-database/","Caci International Inc.")</f>
        <v>0</v>
      </c>
      <c r="C475" t="s">
        <v>3185</v>
      </c>
      <c r="D475">
        <v>326.12</v>
      </c>
      <c r="E475">
        <v>0</v>
      </c>
      <c r="F475" t="s">
        <v>3182</v>
      </c>
      <c r="G475" t="s">
        <v>3182</v>
      </c>
      <c r="H475">
        <v>0</v>
      </c>
      <c r="I475">
        <v>7265.31147</v>
      </c>
      <c r="J475">
        <v>19.03623271607752</v>
      </c>
      <c r="K475">
        <v>0</v>
      </c>
      <c r="L475">
        <v>0.5078449674525191</v>
      </c>
      <c r="M475">
        <v>359.33</v>
      </c>
      <c r="N475">
        <v>275.79</v>
      </c>
    </row>
    <row r="476" spans="1:14">
      <c r="A476" s="1" t="s">
        <v>488</v>
      </c>
      <c r="B476">
        <f>HYPERLINK("https://www.suredividend.com/sure-analysis-research-database/","Cadence Bank")</f>
        <v>0</v>
      </c>
      <c r="C476" t="s">
        <v>3184</v>
      </c>
      <c r="D476">
        <v>22.71</v>
      </c>
      <c r="E476">
        <v>0.04008042081320001</v>
      </c>
      <c r="F476">
        <v>0.06818181818181834</v>
      </c>
      <c r="G476">
        <v>0.06073271303853334</v>
      </c>
      <c r="H476">
        <v>0.9102263566677741</v>
      </c>
      <c r="I476">
        <v>2331.093635</v>
      </c>
      <c r="J476">
        <v>5.7915225925153</v>
      </c>
      <c r="K476">
        <v>0.4156284733642804</v>
      </c>
      <c r="L476">
        <v>1.409248269948841</v>
      </c>
      <c r="M476">
        <v>28.21</v>
      </c>
      <c r="N476">
        <v>16.58</v>
      </c>
    </row>
    <row r="477" spans="1:14">
      <c r="A477" s="1" t="s">
        <v>489</v>
      </c>
      <c r="B477">
        <f>HYPERLINK("https://www.suredividend.com/sure-analysis-CAG/","Conagra Brands Inc")</f>
        <v>0</v>
      </c>
      <c r="C477" t="s">
        <v>3188</v>
      </c>
      <c r="D477">
        <v>27.67</v>
      </c>
      <c r="E477">
        <v>0.05059631369714492</v>
      </c>
      <c r="F477">
        <v>0.06060606060606055</v>
      </c>
      <c r="G477">
        <v>0.1049479537965032</v>
      </c>
      <c r="H477">
        <v>1.337380687034436</v>
      </c>
      <c r="I477">
        <v>13225.371267</v>
      </c>
      <c r="J477">
        <v>12.23664995121206</v>
      </c>
      <c r="K477">
        <v>0.5943914164597494</v>
      </c>
      <c r="L477">
        <v>0.21730631664149</v>
      </c>
      <c r="M477">
        <v>39.63</v>
      </c>
      <c r="N477">
        <v>24.84</v>
      </c>
    </row>
    <row r="478" spans="1:14">
      <c r="A478" s="1" t="s">
        <v>490</v>
      </c>
      <c r="B478">
        <f>HYPERLINK("https://www.suredividend.com/sure-analysis-CAH/","Cardinal Health, Inc.")</f>
        <v>0</v>
      </c>
      <c r="C478" t="s">
        <v>3180</v>
      </c>
      <c r="D478">
        <v>93.78</v>
      </c>
      <c r="E478">
        <v>0.02132650885050117</v>
      </c>
      <c r="F478">
        <v>0.009885011095420726</v>
      </c>
      <c r="G478">
        <v>0.01000157902008803</v>
      </c>
      <c r="H478">
        <v>1.975518527886776</v>
      </c>
      <c r="I478">
        <v>23103.080277</v>
      </c>
      <c r="J478">
        <v>88.5175489537931</v>
      </c>
      <c r="K478">
        <v>1.983054133594435</v>
      </c>
      <c r="L478">
        <v>0.299940819539244</v>
      </c>
      <c r="M478">
        <v>94.90000000000001</v>
      </c>
      <c r="N478">
        <v>67.33</v>
      </c>
    </row>
    <row r="479" spans="1:14">
      <c r="A479" s="1" t="s">
        <v>491</v>
      </c>
      <c r="B479">
        <f>HYPERLINK("https://www.suredividend.com/sure-analysis-research-database/","Cai International Inc")</f>
        <v>0</v>
      </c>
      <c r="C479" t="s">
        <v>3183</v>
      </c>
      <c r="D479">
        <v>56</v>
      </c>
      <c r="E479">
        <v>0.020353586160917</v>
      </c>
      <c r="F479" t="s">
        <v>3182</v>
      </c>
      <c r="G479" t="s">
        <v>3182</v>
      </c>
      <c r="H479">
        <v>1.139800825011352</v>
      </c>
      <c r="I479">
        <v>972.022744</v>
      </c>
      <c r="J479">
        <v>7.46246012821005</v>
      </c>
      <c r="K479">
        <v>0.1550749421784152</v>
      </c>
      <c r="L479">
        <v>0.271361684984798</v>
      </c>
      <c r="M479">
        <v>56.13</v>
      </c>
      <c r="N479">
        <v>29.43</v>
      </c>
    </row>
    <row r="480" spans="1:14">
      <c r="A480" s="1" t="s">
        <v>492</v>
      </c>
      <c r="B480">
        <f>HYPERLINK("https://www.suredividend.com/sure-analysis-CAKE/","Cheesecake Factory Inc.")</f>
        <v>0</v>
      </c>
      <c r="C480" t="s">
        <v>3186</v>
      </c>
      <c r="D480">
        <v>30.24</v>
      </c>
      <c r="E480">
        <v>0.03571428571428572</v>
      </c>
      <c r="F480" t="s">
        <v>3182</v>
      </c>
      <c r="G480" t="s">
        <v>3182</v>
      </c>
      <c r="H480">
        <v>1.056711780704242</v>
      </c>
      <c r="I480">
        <v>1550.572088</v>
      </c>
      <c r="J480">
        <v>23.84431696135571</v>
      </c>
      <c r="K480">
        <v>0.8066502142780474</v>
      </c>
      <c r="L480">
        <v>0.9291314525097141</v>
      </c>
      <c r="M480">
        <v>39.68</v>
      </c>
      <c r="N480">
        <v>28.58</v>
      </c>
    </row>
    <row r="481" spans="1:14">
      <c r="A481" s="1" t="s">
        <v>493</v>
      </c>
      <c r="B481">
        <f>HYPERLINK("https://www.suredividend.com/sure-analysis-research-database/","Caleres Inc")</f>
        <v>0</v>
      </c>
      <c r="C481" t="s">
        <v>3186</v>
      </c>
      <c r="D481">
        <v>26.31</v>
      </c>
      <c r="E481">
        <v>0.010597595580528</v>
      </c>
      <c r="F481">
        <v>0</v>
      </c>
      <c r="G481">
        <v>0</v>
      </c>
      <c r="H481">
        <v>0.278822739723697</v>
      </c>
      <c r="I481">
        <v>935.040114</v>
      </c>
      <c r="J481">
        <v>6.572708713772573</v>
      </c>
      <c r="K481">
        <v>0.06767542226303326</v>
      </c>
      <c r="L481">
        <v>1.092818863389379</v>
      </c>
      <c r="M481">
        <v>29.9</v>
      </c>
      <c r="N481">
        <v>16.76</v>
      </c>
    </row>
    <row r="482" spans="1:14">
      <c r="A482" s="1" t="s">
        <v>494</v>
      </c>
      <c r="B482">
        <f>HYPERLINK("https://www.suredividend.com/sure-analysis-research-database/","Calithera Biosciences Inc")</f>
        <v>0</v>
      </c>
      <c r="C482" t="s">
        <v>3180</v>
      </c>
      <c r="D482">
        <v>0.03</v>
      </c>
      <c r="E482">
        <v>0</v>
      </c>
      <c r="F482" t="s">
        <v>3182</v>
      </c>
      <c r="G482" t="s">
        <v>3182</v>
      </c>
      <c r="H482">
        <v>0</v>
      </c>
      <c r="I482">
        <v>0.146175</v>
      </c>
      <c r="J482">
        <v>0</v>
      </c>
      <c r="K482" t="s">
        <v>3182</v>
      </c>
      <c r="M482">
        <v>0.4999</v>
      </c>
      <c r="N482">
        <v>0.01</v>
      </c>
    </row>
    <row r="483" spans="1:14">
      <c r="A483" s="1" t="s">
        <v>495</v>
      </c>
      <c r="B483">
        <f>HYPERLINK("https://www.suredividend.com/sure-analysis-research-database/","Cal-Maine Foods, Inc.")</f>
        <v>0</v>
      </c>
      <c r="C483" t="s">
        <v>3188</v>
      </c>
      <c r="D483">
        <v>49.72</v>
      </c>
      <c r="E483">
        <v>0.08332932424021</v>
      </c>
      <c r="F483" t="s">
        <v>3182</v>
      </c>
      <c r="G483" t="s">
        <v>3182</v>
      </c>
      <c r="H483">
        <v>4.14313400122326</v>
      </c>
      <c r="I483">
        <v>2196.759518</v>
      </c>
      <c r="J483">
        <v>3.466763119134303</v>
      </c>
      <c r="K483">
        <v>0.319439784211508</v>
      </c>
      <c r="L483">
        <v>0.09310787199145801</v>
      </c>
      <c r="M483">
        <v>59.16</v>
      </c>
      <c r="N483">
        <v>41.89</v>
      </c>
    </row>
    <row r="484" spans="1:14">
      <c r="A484" s="1" t="s">
        <v>496</v>
      </c>
      <c r="B484">
        <f>HYPERLINK("https://www.suredividend.com/sure-analysis-research-database/","Calix Inc")</f>
        <v>0</v>
      </c>
      <c r="C484" t="s">
        <v>3185</v>
      </c>
      <c r="D484">
        <v>33.59</v>
      </c>
      <c r="E484">
        <v>0</v>
      </c>
      <c r="F484" t="s">
        <v>3182</v>
      </c>
      <c r="G484" t="s">
        <v>3182</v>
      </c>
      <c r="H484">
        <v>0</v>
      </c>
      <c r="I484">
        <v>2213.581</v>
      </c>
      <c r="J484">
        <v>46.25986917723768</v>
      </c>
      <c r="K484">
        <v>0</v>
      </c>
      <c r="L484">
        <v>1.244898738057341</v>
      </c>
      <c r="M484">
        <v>77.44</v>
      </c>
      <c r="N484">
        <v>31.95</v>
      </c>
    </row>
    <row r="485" spans="1:14">
      <c r="A485" s="1" t="s">
        <v>497</v>
      </c>
      <c r="B485">
        <f>HYPERLINK("https://www.suredividend.com/sure-analysis-research-database/","Calamp Corp.")</f>
        <v>0</v>
      </c>
      <c r="C485" t="s">
        <v>3185</v>
      </c>
      <c r="D485">
        <v>0.231</v>
      </c>
      <c r="E485">
        <v>0</v>
      </c>
      <c r="F485" t="s">
        <v>3182</v>
      </c>
      <c r="G485" t="s">
        <v>3182</v>
      </c>
      <c r="H485">
        <v>0</v>
      </c>
      <c r="I485">
        <v>8.755739</v>
      </c>
      <c r="J485" t="s">
        <v>3182</v>
      </c>
      <c r="K485">
        <v>-0</v>
      </c>
      <c r="L485">
        <v>1.77109419205576</v>
      </c>
      <c r="M485">
        <v>5.36</v>
      </c>
      <c r="N485">
        <v>0.22</v>
      </c>
    </row>
    <row r="486" spans="1:14">
      <c r="A486" s="1" t="s">
        <v>498</v>
      </c>
      <c r="B486">
        <f>HYPERLINK("https://www.suredividend.com/sure-analysis-research-database/","Capricor Therapeutics Inc")</f>
        <v>0</v>
      </c>
      <c r="C486" t="s">
        <v>3180</v>
      </c>
      <c r="D486">
        <v>2.83</v>
      </c>
      <c r="E486">
        <v>0</v>
      </c>
      <c r="F486" t="s">
        <v>3182</v>
      </c>
      <c r="G486" t="s">
        <v>3182</v>
      </c>
      <c r="H486">
        <v>0</v>
      </c>
      <c r="I486">
        <v>72.948534</v>
      </c>
      <c r="J486">
        <v>0</v>
      </c>
      <c r="K486" t="s">
        <v>3182</v>
      </c>
      <c r="L486">
        <v>0.9773584895298171</v>
      </c>
      <c r="M486">
        <v>8.220000000000001</v>
      </c>
      <c r="N486">
        <v>2.7</v>
      </c>
    </row>
    <row r="487" spans="1:14">
      <c r="A487" s="1" t="s">
        <v>499</v>
      </c>
      <c r="B487">
        <f>HYPERLINK("https://www.suredividend.com/sure-analysis-research-database/","Avis Budget Group Inc")</f>
        <v>0</v>
      </c>
      <c r="C487" t="s">
        <v>3183</v>
      </c>
      <c r="D487">
        <v>186.98</v>
      </c>
      <c r="E487">
        <v>0</v>
      </c>
      <c r="F487" t="s">
        <v>3182</v>
      </c>
      <c r="G487" t="s">
        <v>3182</v>
      </c>
      <c r="H487">
        <v>0</v>
      </c>
      <c r="I487">
        <v>7243.407749</v>
      </c>
      <c r="J487">
        <v>3.286482644791288</v>
      </c>
      <c r="K487">
        <v>0</v>
      </c>
      <c r="L487">
        <v>1.525390861866402</v>
      </c>
      <c r="M487">
        <v>251.26</v>
      </c>
      <c r="N487">
        <v>153.55</v>
      </c>
    </row>
    <row r="488" spans="1:14">
      <c r="A488" s="1" t="s">
        <v>500</v>
      </c>
      <c r="B488">
        <f>HYPERLINK("https://www.suredividend.com/sure-analysis-research-database/","Cara Therapeutics Inc")</f>
        <v>0</v>
      </c>
      <c r="C488" t="s">
        <v>3180</v>
      </c>
      <c r="D488">
        <v>1.19</v>
      </c>
      <c r="E488">
        <v>0</v>
      </c>
      <c r="F488" t="s">
        <v>3182</v>
      </c>
      <c r="G488" t="s">
        <v>3182</v>
      </c>
      <c r="H488">
        <v>0</v>
      </c>
      <c r="I488">
        <v>64.35244</v>
      </c>
      <c r="J488" t="s">
        <v>3182</v>
      </c>
      <c r="K488">
        <v>-0</v>
      </c>
      <c r="L488">
        <v>1.626857222696005</v>
      </c>
      <c r="M488">
        <v>12.81</v>
      </c>
      <c r="N488">
        <v>1.03</v>
      </c>
    </row>
    <row r="489" spans="1:14">
      <c r="A489" s="1" t="s">
        <v>501</v>
      </c>
      <c r="B489">
        <f>HYPERLINK("https://www.suredividend.com/sure-analysis-research-database/","Carter Bankshares Inc")</f>
        <v>0</v>
      </c>
      <c r="C489" t="s">
        <v>3184</v>
      </c>
      <c r="D489">
        <v>11.16</v>
      </c>
      <c r="E489">
        <v>0</v>
      </c>
      <c r="F489" t="s">
        <v>3182</v>
      </c>
      <c r="G489" t="s">
        <v>3182</v>
      </c>
      <c r="H489">
        <v>0</v>
      </c>
      <c r="I489">
        <v>256.186203</v>
      </c>
      <c r="J489">
        <v>6.266632506054157</v>
      </c>
      <c r="K489">
        <v>0</v>
      </c>
      <c r="L489">
        <v>0.878478866069463</v>
      </c>
      <c r="M489">
        <v>18.84</v>
      </c>
      <c r="N489">
        <v>10.43</v>
      </c>
    </row>
    <row r="490" spans="1:14">
      <c r="A490" s="1" t="s">
        <v>502</v>
      </c>
      <c r="B490">
        <f>HYPERLINK("https://www.suredividend.com/sure-analysis-research-database/","CarGurus Inc")</f>
        <v>0</v>
      </c>
      <c r="C490" t="s">
        <v>3191</v>
      </c>
      <c r="D490">
        <v>17.8</v>
      </c>
      <c r="E490">
        <v>0</v>
      </c>
      <c r="F490" t="s">
        <v>3182</v>
      </c>
      <c r="G490" t="s">
        <v>3182</v>
      </c>
      <c r="H490">
        <v>0</v>
      </c>
      <c r="I490">
        <v>1735.482574</v>
      </c>
      <c r="J490">
        <v>5.809030023832157</v>
      </c>
      <c r="K490">
        <v>0</v>
      </c>
      <c r="L490">
        <v>1.515751092950348</v>
      </c>
      <c r="M490">
        <v>24.22</v>
      </c>
      <c r="N490">
        <v>9.140000000000001</v>
      </c>
    </row>
    <row r="491" spans="1:14">
      <c r="A491" s="1" t="s">
        <v>503</v>
      </c>
      <c r="B491">
        <f>HYPERLINK("https://www.suredividend.com/sure-analysis-research-database/","Cars.com")</f>
        <v>0</v>
      </c>
      <c r="C491" t="s">
        <v>3186</v>
      </c>
      <c r="D491">
        <v>16.81</v>
      </c>
      <c r="E491">
        <v>0</v>
      </c>
      <c r="F491" t="s">
        <v>3182</v>
      </c>
      <c r="G491" t="s">
        <v>3182</v>
      </c>
      <c r="H491">
        <v>0</v>
      </c>
      <c r="I491">
        <v>1117.329316</v>
      </c>
      <c r="J491">
        <v>9.894349536244974</v>
      </c>
      <c r="K491">
        <v>0</v>
      </c>
      <c r="L491">
        <v>1.28635843156766</v>
      </c>
      <c r="M491">
        <v>22.84</v>
      </c>
      <c r="N491">
        <v>12.7</v>
      </c>
    </row>
    <row r="492" spans="1:14">
      <c r="A492" s="1" t="s">
        <v>504</v>
      </c>
      <c r="B492">
        <f>HYPERLINK("https://www.suredividend.com/sure-analysis-research-database/","Maplebear Inc.")</f>
        <v>0</v>
      </c>
      <c r="C492" t="s">
        <v>3182</v>
      </c>
      <c r="D492">
        <v>26.66</v>
      </c>
      <c r="E492">
        <v>0</v>
      </c>
      <c r="F492" t="s">
        <v>3182</v>
      </c>
      <c r="G492" t="s">
        <v>3182</v>
      </c>
      <c r="H492">
        <v>0</v>
      </c>
      <c r="I492">
        <v>7370.400966</v>
      </c>
      <c r="J492" t="s">
        <v>3182</v>
      </c>
      <c r="K492">
        <v>-0</v>
      </c>
      <c r="L492">
        <v>1.178156795339976</v>
      </c>
      <c r="M492">
        <v>42.95</v>
      </c>
      <c r="N492">
        <v>23.36</v>
      </c>
    </row>
    <row r="493" spans="1:14">
      <c r="A493" s="1" t="s">
        <v>505</v>
      </c>
      <c r="B493">
        <f>HYPERLINK("https://www.suredividend.com/sure-analysis-research-database/","Casa Systems Inc")</f>
        <v>0</v>
      </c>
      <c r="C493" t="s">
        <v>3185</v>
      </c>
      <c r="D493">
        <v>0.62</v>
      </c>
      <c r="E493">
        <v>0</v>
      </c>
      <c r="F493" t="s">
        <v>3182</v>
      </c>
      <c r="G493" t="s">
        <v>3182</v>
      </c>
      <c r="H493">
        <v>0</v>
      </c>
      <c r="I493">
        <v>60.246226</v>
      </c>
      <c r="J493" t="s">
        <v>3182</v>
      </c>
      <c r="K493">
        <v>-0</v>
      </c>
      <c r="L493">
        <v>1.382375228018939</v>
      </c>
      <c r="M493">
        <v>3.97</v>
      </c>
      <c r="N493">
        <v>0.49</v>
      </c>
    </row>
    <row r="494" spans="1:14">
      <c r="A494" s="1" t="s">
        <v>506</v>
      </c>
      <c r="B494">
        <f>HYPERLINK("https://www.suredividend.com/sure-analysis-research-database/","Pathward Financial Inc")</f>
        <v>0</v>
      </c>
      <c r="C494" t="s">
        <v>3184</v>
      </c>
      <c r="D494">
        <v>48.04</v>
      </c>
      <c r="E494">
        <v>0.004153633226626</v>
      </c>
      <c r="F494">
        <v>0</v>
      </c>
      <c r="G494">
        <v>0</v>
      </c>
      <c r="H494">
        <v>0.199540540207116</v>
      </c>
      <c r="I494">
        <v>1259.876047</v>
      </c>
      <c r="J494">
        <v>8.468331685565451</v>
      </c>
      <c r="K494">
        <v>0.03695195189020667</v>
      </c>
      <c r="L494">
        <v>1.245170860089111</v>
      </c>
      <c r="M494">
        <v>60.37</v>
      </c>
      <c r="N494">
        <v>39.63</v>
      </c>
    </row>
    <row r="495" spans="1:14">
      <c r="A495" s="1" t="s">
        <v>507</v>
      </c>
      <c r="B495">
        <f>HYPERLINK("https://www.suredividend.com/sure-analysis-research-database/","CASI Pharmaceuticals Inc")</f>
        <v>0</v>
      </c>
      <c r="C495" t="s">
        <v>3180</v>
      </c>
      <c r="D495">
        <v>4.86</v>
      </c>
      <c r="E495">
        <v>0</v>
      </c>
      <c r="F495" t="s">
        <v>3182</v>
      </c>
      <c r="G495" t="s">
        <v>3182</v>
      </c>
      <c r="H495">
        <v>0</v>
      </c>
      <c r="I495">
        <v>64.742524</v>
      </c>
      <c r="J495" t="s">
        <v>3182</v>
      </c>
      <c r="K495">
        <v>-0</v>
      </c>
      <c r="L495">
        <v>0.305175772927107</v>
      </c>
      <c r="M495">
        <v>4.95</v>
      </c>
      <c r="N495">
        <v>1.45</v>
      </c>
    </row>
    <row r="496" spans="1:14">
      <c r="A496" s="1" t="s">
        <v>508</v>
      </c>
      <c r="B496">
        <f>HYPERLINK("https://www.suredividend.com/sure-analysis-CASS/","Cass Information Systems Inc")</f>
        <v>0</v>
      </c>
      <c r="C496" t="s">
        <v>3183</v>
      </c>
      <c r="D496">
        <v>39.07</v>
      </c>
      <c r="E496">
        <v>0.03071410289224469</v>
      </c>
      <c r="F496">
        <v>0.03571428571428559</v>
      </c>
      <c r="G496">
        <v>0.0220800938152379</v>
      </c>
      <c r="H496">
        <v>1.13669306765723</v>
      </c>
      <c r="I496">
        <v>533.967932</v>
      </c>
      <c r="J496">
        <v>16.51157833730171</v>
      </c>
      <c r="K496">
        <v>0.4857662682295855</v>
      </c>
      <c r="L496">
        <v>0.752326667739581</v>
      </c>
      <c r="M496">
        <v>49.65</v>
      </c>
      <c r="N496">
        <v>34.01</v>
      </c>
    </row>
    <row r="497" spans="1:14">
      <c r="A497" s="1" t="s">
        <v>509</v>
      </c>
      <c r="B497">
        <f>HYPERLINK("https://www.suredividend.com/sure-analysis-CASY/","Casey`s General Stores, Inc.")</f>
        <v>0</v>
      </c>
      <c r="C497" t="s">
        <v>3188</v>
      </c>
      <c r="D497">
        <v>270.75</v>
      </c>
      <c r="E497">
        <v>0.006352723915050785</v>
      </c>
      <c r="F497">
        <v>0.131578947368421</v>
      </c>
      <c r="G497">
        <v>0.08196719070537761</v>
      </c>
      <c r="H497">
        <v>1.613014974590203</v>
      </c>
      <c r="I497">
        <v>10089.941697</v>
      </c>
      <c r="J497">
        <v>21.79271893709665</v>
      </c>
      <c r="K497">
        <v>0.1307143415389143</v>
      </c>
      <c r="L497">
        <v>0.4152961692427971</v>
      </c>
      <c r="M497">
        <v>283.28</v>
      </c>
      <c r="N497">
        <v>200.47</v>
      </c>
    </row>
    <row r="498" spans="1:14">
      <c r="A498" s="1" t="s">
        <v>510</v>
      </c>
      <c r="B498">
        <f>HYPERLINK("https://www.suredividend.com/sure-analysis-CAT/","Caterpillar Inc.")</f>
        <v>0</v>
      </c>
      <c r="C498" t="s">
        <v>3183</v>
      </c>
      <c r="D498">
        <v>239.12</v>
      </c>
      <c r="E498">
        <v>0.02174640347942456</v>
      </c>
      <c r="F498">
        <v>0.08333333333333348</v>
      </c>
      <c r="G498">
        <v>0.08614793340566318</v>
      </c>
      <c r="H498">
        <v>4.962800321186527</v>
      </c>
      <c r="I498">
        <v>0.000239</v>
      </c>
      <c r="J498">
        <v>2.860287081339713E-08</v>
      </c>
      <c r="K498">
        <v>0.3092087427530546</v>
      </c>
      <c r="L498">
        <v>0.9511110705705931</v>
      </c>
      <c r="M498">
        <v>292.37</v>
      </c>
      <c r="N498">
        <v>201.99</v>
      </c>
    </row>
    <row r="499" spans="1:14">
      <c r="A499" s="1" t="s">
        <v>511</v>
      </c>
      <c r="B499">
        <f>HYPERLINK("https://www.suredividend.com/sure-analysis-CATC/","Cambridge Bancorp")</f>
        <v>0</v>
      </c>
      <c r="C499" t="s">
        <v>3184</v>
      </c>
      <c r="D499">
        <v>55.53</v>
      </c>
      <c r="E499">
        <v>0.04826220061228165</v>
      </c>
      <c r="F499" t="s">
        <v>3182</v>
      </c>
      <c r="G499" t="s">
        <v>3182</v>
      </c>
      <c r="H499">
        <v>2.584717066849735</v>
      </c>
      <c r="I499">
        <v>435.68105</v>
      </c>
      <c r="J499">
        <v>9.582568293669995</v>
      </c>
      <c r="K499">
        <v>0.4336773602096871</v>
      </c>
      <c r="L499">
        <v>0.9297489528371361</v>
      </c>
      <c r="M499">
        <v>85.59999999999999</v>
      </c>
      <c r="N499">
        <v>41.4</v>
      </c>
    </row>
    <row r="500" spans="1:14">
      <c r="A500" s="1" t="s">
        <v>512</v>
      </c>
      <c r="B500">
        <f>HYPERLINK("https://www.suredividend.com/sure-analysis-research-database/","Cardtronics plc")</f>
        <v>0</v>
      </c>
      <c r="C500" t="s">
        <v>3183</v>
      </c>
      <c r="D500">
        <v>39.01</v>
      </c>
      <c r="E500">
        <v>0</v>
      </c>
      <c r="F500" t="s">
        <v>3182</v>
      </c>
      <c r="G500" t="s">
        <v>3182</v>
      </c>
      <c r="H500">
        <v>0</v>
      </c>
      <c r="I500">
        <v>0</v>
      </c>
      <c r="J500">
        <v>0</v>
      </c>
      <c r="K500">
        <v>0</v>
      </c>
    </row>
    <row r="501" spans="1:14">
      <c r="A501" s="1" t="s">
        <v>513</v>
      </c>
      <c r="B501">
        <f>HYPERLINK("https://www.suredividend.com/sure-analysis-research-database/","Cato Corp.")</f>
        <v>0</v>
      </c>
      <c r="C501" t="s">
        <v>3186</v>
      </c>
      <c r="D501">
        <v>7.08</v>
      </c>
      <c r="E501">
        <v>0.09303975816888901</v>
      </c>
      <c r="F501" t="s">
        <v>3182</v>
      </c>
      <c r="G501" t="s">
        <v>3182</v>
      </c>
      <c r="H501">
        <v>0.658721487835734</v>
      </c>
      <c r="I501">
        <v>133.286466</v>
      </c>
      <c r="J501" t="s">
        <v>3182</v>
      </c>
      <c r="K501" t="s">
        <v>3182</v>
      </c>
      <c r="L501">
        <v>0.759298345510494</v>
      </c>
      <c r="M501">
        <v>10.99</v>
      </c>
      <c r="N501">
        <v>6.91</v>
      </c>
    </row>
    <row r="502" spans="1:14">
      <c r="A502" s="1" t="s">
        <v>514</v>
      </c>
      <c r="B502">
        <f>HYPERLINK("https://www.suredividend.com/sure-analysis-research-database/","Cathay General Bancorp")</f>
        <v>0</v>
      </c>
      <c r="C502" t="s">
        <v>3184</v>
      </c>
      <c r="D502">
        <v>35.89</v>
      </c>
      <c r="E502">
        <v>0.03686767270796201</v>
      </c>
      <c r="F502">
        <v>0</v>
      </c>
      <c r="G502">
        <v>0.01864637644473</v>
      </c>
      <c r="H502">
        <v>1.323180773488778</v>
      </c>
      <c r="I502">
        <v>2604.292781</v>
      </c>
      <c r="J502">
        <v>6.749267956321286</v>
      </c>
      <c r="K502">
        <v>0.2515552801309464</v>
      </c>
      <c r="L502">
        <v>1.168224912366803</v>
      </c>
      <c r="M502">
        <v>44.69</v>
      </c>
      <c r="N502">
        <v>26.13</v>
      </c>
    </row>
    <row r="503" spans="1:14">
      <c r="A503" s="1" t="s">
        <v>515</v>
      </c>
      <c r="B503">
        <f>HYPERLINK("https://www.suredividend.com/sure-analysis-CB/","Chubb Limited")</f>
        <v>0</v>
      </c>
      <c r="C503" t="s">
        <v>3184</v>
      </c>
      <c r="D503">
        <v>218.6</v>
      </c>
      <c r="E503">
        <v>0.01573650503202196</v>
      </c>
      <c r="F503">
        <v>0.03614457831325302</v>
      </c>
      <c r="G503">
        <v>0.03332067321552157</v>
      </c>
      <c r="H503">
        <v>3.358500531029996</v>
      </c>
      <c r="I503">
        <v>89786.664879</v>
      </c>
      <c r="J503">
        <v>15.45647527615769</v>
      </c>
      <c r="K503">
        <v>0.2417926948185742</v>
      </c>
      <c r="L503">
        <v>0.430096691121318</v>
      </c>
      <c r="M503">
        <v>228.36</v>
      </c>
      <c r="N503">
        <v>181.81</v>
      </c>
    </row>
    <row r="504" spans="1:14">
      <c r="A504" s="1" t="s">
        <v>516</v>
      </c>
      <c r="B504">
        <f>HYPERLINK("https://www.suredividend.com/sure-analysis-research-database/","Colony Bankcorp, Inc.")</f>
        <v>0</v>
      </c>
      <c r="C504" t="s">
        <v>3184</v>
      </c>
      <c r="D504">
        <v>10.31</v>
      </c>
      <c r="E504">
        <v>0.03133338824364</v>
      </c>
      <c r="F504">
        <v>0.02325581395348841</v>
      </c>
      <c r="G504">
        <v>0.0796084730466029</v>
      </c>
      <c r="H504">
        <v>0.323047232791933</v>
      </c>
      <c r="I504">
        <v>181.113461</v>
      </c>
      <c r="J504">
        <v>0</v>
      </c>
      <c r="K504" t="s">
        <v>3182</v>
      </c>
      <c r="L504">
        <v>0.6295539289288361</v>
      </c>
      <c r="M504">
        <v>13.49</v>
      </c>
      <c r="N504">
        <v>8.220000000000001</v>
      </c>
    </row>
    <row r="505" spans="1:14">
      <c r="A505" s="1" t="s">
        <v>517</v>
      </c>
      <c r="B505">
        <f>HYPERLINK("https://www.suredividend.com/sure-analysis-research-database/","Cymabay Therapeutics Inc")</f>
        <v>0</v>
      </c>
      <c r="C505" t="s">
        <v>3180</v>
      </c>
      <c r="D505">
        <v>16.4</v>
      </c>
      <c r="E505">
        <v>0</v>
      </c>
      <c r="F505" t="s">
        <v>3182</v>
      </c>
      <c r="G505" t="s">
        <v>3182</v>
      </c>
      <c r="H505">
        <v>0</v>
      </c>
      <c r="I505">
        <v>1809.834989</v>
      </c>
      <c r="J505">
        <v>0</v>
      </c>
      <c r="K505" t="s">
        <v>3182</v>
      </c>
      <c r="L505">
        <v>1.106343312056345</v>
      </c>
      <c r="M505">
        <v>18.2</v>
      </c>
      <c r="N505">
        <v>3.16</v>
      </c>
    </row>
    <row r="506" spans="1:14">
      <c r="A506" s="1" t="s">
        <v>518</v>
      </c>
      <c r="B506">
        <f>HYPERLINK("https://www.suredividend.com/sure-analysis-research-database/","Cincinnati Bell, Inc.")</f>
        <v>0</v>
      </c>
      <c r="C506" t="s">
        <v>3191</v>
      </c>
      <c r="D506">
        <v>15.48</v>
      </c>
      <c r="E506">
        <v>0</v>
      </c>
      <c r="F506" t="s">
        <v>3182</v>
      </c>
      <c r="G506" t="s">
        <v>3182</v>
      </c>
      <c r="H506">
        <v>0</v>
      </c>
      <c r="I506">
        <v>788.250052</v>
      </c>
      <c r="J506" t="s">
        <v>3182</v>
      </c>
      <c r="K506">
        <v>-0</v>
      </c>
      <c r="L506">
        <v>0.024309038434413</v>
      </c>
      <c r="M506">
        <v>15.51</v>
      </c>
      <c r="N506">
        <v>14.96</v>
      </c>
    </row>
    <row r="507" spans="1:14">
      <c r="A507" s="1" t="s">
        <v>519</v>
      </c>
      <c r="B507">
        <f>HYPERLINK("https://www.suredividend.com/sure-analysis-research-database/","CB Financial Services Inc")</f>
        <v>0</v>
      </c>
      <c r="C507" t="s">
        <v>3184</v>
      </c>
      <c r="D507">
        <v>20.93</v>
      </c>
      <c r="E507">
        <v>0.04521628277374901</v>
      </c>
      <c r="F507">
        <v>0.04166666666666674</v>
      </c>
      <c r="G507">
        <v>0.01681614782195462</v>
      </c>
      <c r="H507">
        <v>0.964463311564082</v>
      </c>
      <c r="I507">
        <v>109.117412</v>
      </c>
      <c r="J507">
        <v>0</v>
      </c>
      <c r="K507" t="s">
        <v>3182</v>
      </c>
      <c r="M507">
        <v>24.1</v>
      </c>
      <c r="N507">
        <v>16.59</v>
      </c>
    </row>
    <row r="508" spans="1:14">
      <c r="A508" s="1" t="s">
        <v>520</v>
      </c>
      <c r="B508">
        <f>HYPERLINK("https://www.suredividend.com/sure-analysis-research-database/","CBL&amp; Associates Properties, Inc.")</f>
        <v>0</v>
      </c>
      <c r="C508" t="s">
        <v>3187</v>
      </c>
      <c r="D508">
        <v>21.17</v>
      </c>
      <c r="E508">
        <v>0.062639404976345</v>
      </c>
      <c r="F508" t="s">
        <v>3182</v>
      </c>
      <c r="G508" t="s">
        <v>3182</v>
      </c>
      <c r="H508">
        <v>1.326076203349236</v>
      </c>
      <c r="I508">
        <v>678.592093</v>
      </c>
      <c r="J508" t="s">
        <v>3182</v>
      </c>
      <c r="K508" t="s">
        <v>3182</v>
      </c>
      <c r="L508">
        <v>0.7144138041832041</v>
      </c>
      <c r="M508">
        <v>27.34</v>
      </c>
      <c r="N508">
        <v>19.9</v>
      </c>
    </row>
    <row r="509" spans="1:14">
      <c r="A509" s="1" t="s">
        <v>521</v>
      </c>
      <c r="B509">
        <f>HYPERLINK("https://www.suredividend.com/sure-analysis-research-database/","Cellular Biomedicine Group Inc")</f>
        <v>0</v>
      </c>
      <c r="C509" t="s">
        <v>3180</v>
      </c>
      <c r="D509">
        <v>19.75</v>
      </c>
      <c r="E509">
        <v>0</v>
      </c>
      <c r="F509" t="s">
        <v>3182</v>
      </c>
      <c r="G509" t="s">
        <v>3182</v>
      </c>
      <c r="H509">
        <v>0</v>
      </c>
      <c r="I509">
        <v>0</v>
      </c>
      <c r="J509">
        <v>0</v>
      </c>
      <c r="K509" t="s">
        <v>3182</v>
      </c>
    </row>
    <row r="510" spans="1:14">
      <c r="A510" s="1" t="s">
        <v>522</v>
      </c>
      <c r="B510">
        <f>HYPERLINK("https://www.suredividend.com/sure-analysis-CBOE/","Cboe Global Markets Inc.")</f>
        <v>0</v>
      </c>
      <c r="C510" t="s">
        <v>3184</v>
      </c>
      <c r="D510">
        <v>162.8</v>
      </c>
      <c r="E510">
        <v>0.01351351351351351</v>
      </c>
      <c r="F510">
        <v>0.1000000000000001</v>
      </c>
      <c r="G510">
        <v>0.1215023788961798</v>
      </c>
      <c r="H510">
        <v>2.029745470799043</v>
      </c>
      <c r="I510">
        <v>17178.143994</v>
      </c>
      <c r="J510">
        <v>26.46863481355932</v>
      </c>
      <c r="K510">
        <v>0.3332915387190547</v>
      </c>
      <c r="L510">
        <v>0.178076596739678</v>
      </c>
      <c r="M510">
        <v>167.21</v>
      </c>
      <c r="N510">
        <v>111.61</v>
      </c>
    </row>
    <row r="511" spans="1:14">
      <c r="A511" s="1" t="s">
        <v>523</v>
      </c>
      <c r="B511">
        <f>HYPERLINK("https://www.suredividend.com/sure-analysis-research-database/","CBRE Group Inc")</f>
        <v>0</v>
      </c>
      <c r="C511" t="s">
        <v>3187</v>
      </c>
      <c r="D511">
        <v>71.7</v>
      </c>
      <c r="E511">
        <v>0</v>
      </c>
      <c r="F511" t="s">
        <v>3182</v>
      </c>
      <c r="G511" t="s">
        <v>3182</v>
      </c>
      <c r="H511">
        <v>0</v>
      </c>
      <c r="I511">
        <v>21853.643832</v>
      </c>
      <c r="J511">
        <v>37.04258565275613</v>
      </c>
      <c r="K511">
        <v>0</v>
      </c>
      <c r="L511">
        <v>1.360213357667813</v>
      </c>
      <c r="M511">
        <v>89.58</v>
      </c>
      <c r="N511">
        <v>64.63</v>
      </c>
    </row>
    <row r="512" spans="1:14">
      <c r="A512" s="1" t="s">
        <v>524</v>
      </c>
      <c r="B512">
        <f>HYPERLINK("https://www.suredividend.com/sure-analysis-CBRL/","Cracker Barrel Old Country Store Inc")</f>
        <v>0</v>
      </c>
      <c r="C512" t="s">
        <v>3186</v>
      </c>
      <c r="D512">
        <v>67.31999999999999</v>
      </c>
      <c r="E512">
        <v>0.07724301841948902</v>
      </c>
      <c r="F512" t="s">
        <v>3182</v>
      </c>
      <c r="G512" t="s">
        <v>3182</v>
      </c>
      <c r="H512">
        <v>4.980813058186776</v>
      </c>
      <c r="I512">
        <v>1491.654008</v>
      </c>
      <c r="J512">
        <v>15.05960633821302</v>
      </c>
      <c r="K512">
        <v>1.119283833300399</v>
      </c>
      <c r="L512">
        <v>0.822048799350769</v>
      </c>
      <c r="M512">
        <v>112.49</v>
      </c>
      <c r="N512">
        <v>60.45</v>
      </c>
    </row>
    <row r="513" spans="1:14">
      <c r="A513" s="1" t="s">
        <v>525</v>
      </c>
      <c r="B513">
        <f>HYPERLINK("https://www.suredividend.com/sure-analysis-CBSH/","Commerce Bancshares, Inc.")</f>
        <v>0</v>
      </c>
      <c r="C513" t="s">
        <v>3184</v>
      </c>
      <c r="D513">
        <v>45.86</v>
      </c>
      <c r="E513">
        <v>0.02354993458351505</v>
      </c>
      <c r="F513" t="s">
        <v>3182</v>
      </c>
      <c r="G513" t="s">
        <v>3182</v>
      </c>
      <c r="H513">
        <v>1.059402166662042</v>
      </c>
      <c r="I513">
        <v>5718.742367</v>
      </c>
      <c r="J513">
        <v>11.5023580330665</v>
      </c>
      <c r="K513">
        <v>0.2716415811953954</v>
      </c>
      <c r="L513">
        <v>0.9706566817611391</v>
      </c>
      <c r="M513">
        <v>73.02</v>
      </c>
      <c r="N513">
        <v>42.96</v>
      </c>
    </row>
    <row r="514" spans="1:14">
      <c r="A514" s="1" t="s">
        <v>526</v>
      </c>
      <c r="B514">
        <f>HYPERLINK("https://www.suredividend.com/sure-analysis-research-database/","Cabot Corp.")</f>
        <v>0</v>
      </c>
      <c r="C514" t="s">
        <v>3181</v>
      </c>
      <c r="D514">
        <v>66.75</v>
      </c>
      <c r="E514">
        <v>0.022883780338811</v>
      </c>
      <c r="F514">
        <v>0.08108108108108114</v>
      </c>
      <c r="G514">
        <v>0.03922410156720635</v>
      </c>
      <c r="H514">
        <v>1.527492337615695</v>
      </c>
      <c r="I514">
        <v>3733.793682</v>
      </c>
      <c r="J514">
        <v>12.40463017275747</v>
      </c>
      <c r="K514">
        <v>0.2876633404172684</v>
      </c>
      <c r="L514">
        <v>1.421909911396797</v>
      </c>
      <c r="M514">
        <v>82.78</v>
      </c>
      <c r="N514">
        <v>63.36</v>
      </c>
    </row>
    <row r="515" spans="1:14">
      <c r="A515" s="1" t="s">
        <v>527</v>
      </c>
      <c r="B515">
        <f>HYPERLINK("https://www.suredividend.com/sure-analysis-CBU/","Community Bank System, Inc.")</f>
        <v>0</v>
      </c>
      <c r="C515" t="s">
        <v>3184</v>
      </c>
      <c r="D515">
        <v>42.06</v>
      </c>
      <c r="E515">
        <v>0.04279600570613409</v>
      </c>
      <c r="F515">
        <v>0.02272727272727271</v>
      </c>
      <c r="G515">
        <v>0.03439350143683439</v>
      </c>
      <c r="H515">
        <v>1.745327680591161</v>
      </c>
      <c r="I515">
        <v>2251.337713</v>
      </c>
      <c r="J515">
        <v>14.54239795829781</v>
      </c>
      <c r="K515">
        <v>0.6081281117042373</v>
      </c>
      <c r="L515">
        <v>1.115741453109308</v>
      </c>
      <c r="M515">
        <v>63.69</v>
      </c>
      <c r="N515">
        <v>35.38</v>
      </c>
    </row>
    <row r="516" spans="1:14">
      <c r="A516" s="1" t="s">
        <v>528</v>
      </c>
      <c r="B516">
        <f>HYPERLINK("https://www.suredividend.com/sure-analysis-research-database/","Cbiz Inc")</f>
        <v>0</v>
      </c>
      <c r="C516" t="s">
        <v>3183</v>
      </c>
      <c r="D516">
        <v>53.88</v>
      </c>
      <c r="E516">
        <v>0</v>
      </c>
      <c r="F516" t="s">
        <v>3182</v>
      </c>
      <c r="G516" t="s">
        <v>3182</v>
      </c>
      <c r="H516">
        <v>0</v>
      </c>
      <c r="I516">
        <v>2685.477908</v>
      </c>
      <c r="J516">
        <v>21.9748288409011</v>
      </c>
      <c r="K516">
        <v>0</v>
      </c>
      <c r="L516">
        <v>0.8719956823318461</v>
      </c>
      <c r="M516">
        <v>56.96</v>
      </c>
      <c r="N516">
        <v>45.22</v>
      </c>
    </row>
    <row r="517" spans="1:14">
      <c r="A517" s="1" t="s">
        <v>529</v>
      </c>
      <c r="B517">
        <f>HYPERLINK("https://www.suredividend.com/sure-analysis-CC/","Chemours Company")</f>
        <v>0</v>
      </c>
      <c r="C517" t="s">
        <v>3181</v>
      </c>
      <c r="D517">
        <v>24.44</v>
      </c>
      <c r="E517">
        <v>0.0409165302782324</v>
      </c>
      <c r="F517">
        <v>0</v>
      </c>
      <c r="G517">
        <v>0</v>
      </c>
      <c r="H517">
        <v>0.988308500902166</v>
      </c>
      <c r="I517">
        <v>3627.831465</v>
      </c>
      <c r="J517" t="s">
        <v>3182</v>
      </c>
      <c r="K517" t="s">
        <v>3182</v>
      </c>
      <c r="L517">
        <v>1.577680824405104</v>
      </c>
      <c r="M517">
        <v>38.77</v>
      </c>
      <c r="N517">
        <v>22.88</v>
      </c>
    </row>
    <row r="518" spans="1:14">
      <c r="A518" s="1" t="s">
        <v>530</v>
      </c>
      <c r="B518">
        <f>HYPERLINK("https://www.suredividend.com/sure-analysis-research-database/","Capital City Bank Group, Inc.")</f>
        <v>0</v>
      </c>
      <c r="C518" t="s">
        <v>3184</v>
      </c>
      <c r="D518">
        <v>29.33</v>
      </c>
      <c r="E518">
        <v>0.024481038904762</v>
      </c>
      <c r="F518">
        <v>0.1764705882352942</v>
      </c>
      <c r="G518">
        <v>0.173160676311841</v>
      </c>
      <c r="H518">
        <v>0.7180288710766951</v>
      </c>
      <c r="I518">
        <v>498.364625</v>
      </c>
      <c r="J518">
        <v>9.495553410944288</v>
      </c>
      <c r="K518">
        <v>0.2331262568430828</v>
      </c>
      <c r="L518">
        <v>0.705688736904413</v>
      </c>
      <c r="M518">
        <v>35.93</v>
      </c>
      <c r="N518">
        <v>26.12</v>
      </c>
    </row>
    <row r="519" spans="1:14">
      <c r="A519" s="1" t="s">
        <v>531</v>
      </c>
      <c r="B519">
        <f>HYPERLINK("https://www.suredividend.com/sure-analysis-research-database/","Chase Corp.")</f>
        <v>0</v>
      </c>
      <c r="C519" t="s">
        <v>3181</v>
      </c>
      <c r="D519">
        <v>127.1</v>
      </c>
      <c r="E519">
        <v>0.007867820613690001</v>
      </c>
      <c r="F519" t="s">
        <v>3182</v>
      </c>
      <c r="G519" t="s">
        <v>3182</v>
      </c>
      <c r="H519">
        <v>1</v>
      </c>
      <c r="I519">
        <v>1208.528189</v>
      </c>
      <c r="J519">
        <v>0</v>
      </c>
      <c r="K519" t="s">
        <v>3182</v>
      </c>
      <c r="L519">
        <v>0.7741066546104971</v>
      </c>
      <c r="M519">
        <v>135.27</v>
      </c>
      <c r="N519">
        <v>81.18000000000001</v>
      </c>
    </row>
    <row r="520" spans="1:14">
      <c r="A520" s="1" t="s">
        <v>532</v>
      </c>
      <c r="B520">
        <f>HYPERLINK("https://www.suredividend.com/sure-analysis-CCI/","Crown Castle Inc")</f>
        <v>0</v>
      </c>
      <c r="C520" t="s">
        <v>3187</v>
      </c>
      <c r="D520">
        <v>97.55</v>
      </c>
      <c r="E520">
        <v>0.06417221937467965</v>
      </c>
      <c r="F520">
        <v>0.06462585034013602</v>
      </c>
      <c r="G520">
        <v>0.06824867764100917</v>
      </c>
      <c r="H520">
        <v>6.124693688334772</v>
      </c>
      <c r="I520">
        <v>42305.341967</v>
      </c>
      <c r="J520">
        <v>24.79797301711606</v>
      </c>
      <c r="K520">
        <v>1.558446231128441</v>
      </c>
      <c r="L520">
        <v>1.049678343078297</v>
      </c>
      <c r="M520">
        <v>147.66</v>
      </c>
      <c r="N520">
        <v>84.72</v>
      </c>
    </row>
    <row r="521" spans="1:14">
      <c r="A521" s="1" t="s">
        <v>533</v>
      </c>
      <c r="B521">
        <f>HYPERLINK("https://www.suredividend.com/sure-analysis-research-database/","Crown Holdings, Inc.")</f>
        <v>0</v>
      </c>
      <c r="C521" t="s">
        <v>3186</v>
      </c>
      <c r="D521">
        <v>81.03</v>
      </c>
      <c r="E521">
        <v>0.011553555366322</v>
      </c>
      <c r="F521" t="s">
        <v>3182</v>
      </c>
      <c r="G521" t="s">
        <v>3182</v>
      </c>
      <c r="H521">
        <v>0.9361845913331061</v>
      </c>
      <c r="I521">
        <v>9775.976901</v>
      </c>
      <c r="J521">
        <v>19.2820057212426</v>
      </c>
      <c r="K521">
        <v>0.2207982526729024</v>
      </c>
      <c r="L521">
        <v>1.093687622332081</v>
      </c>
      <c r="M521">
        <v>96.09</v>
      </c>
      <c r="N521">
        <v>71.58</v>
      </c>
    </row>
    <row r="522" spans="1:14">
      <c r="A522" s="1" t="s">
        <v>534</v>
      </c>
      <c r="B522">
        <f>HYPERLINK("https://www.suredividend.com/sure-analysis-research-database/","Carnival Corp.")</f>
        <v>0</v>
      </c>
      <c r="C522" t="s">
        <v>3186</v>
      </c>
      <c r="D522">
        <v>11.9</v>
      </c>
      <c r="E522">
        <v>0</v>
      </c>
      <c r="F522" t="s">
        <v>3182</v>
      </c>
      <c r="G522" t="s">
        <v>3182</v>
      </c>
      <c r="H522">
        <v>0</v>
      </c>
      <c r="I522">
        <v>13321.398225</v>
      </c>
      <c r="J522" t="s">
        <v>3182</v>
      </c>
      <c r="K522">
        <v>-0</v>
      </c>
      <c r="L522">
        <v>2.181727226496755</v>
      </c>
      <c r="M522">
        <v>19.55</v>
      </c>
      <c r="N522">
        <v>7.53</v>
      </c>
    </row>
    <row r="523" spans="1:14">
      <c r="A523" s="1" t="s">
        <v>535</v>
      </c>
      <c r="B523">
        <f>HYPERLINK("https://www.suredividend.com/sure-analysis-research-database/","CMC Materials Inc")</f>
        <v>0</v>
      </c>
      <c r="C523" t="s">
        <v>3185</v>
      </c>
      <c r="D523">
        <v>173.69</v>
      </c>
      <c r="E523">
        <v>0</v>
      </c>
      <c r="F523" t="s">
        <v>3182</v>
      </c>
      <c r="G523" t="s">
        <v>3182</v>
      </c>
      <c r="H523">
        <v>1.38000002503395</v>
      </c>
      <c r="I523">
        <v>0</v>
      </c>
      <c r="J523">
        <v>0</v>
      </c>
      <c r="K523">
        <v>0.3565891537555426</v>
      </c>
    </row>
    <row r="524" spans="1:14">
      <c r="A524" s="1" t="s">
        <v>536</v>
      </c>
      <c r="B524">
        <f>HYPERLINK("https://www.suredividend.com/sure-analysis-research-database/","CNB Financial Corp (PA)")</f>
        <v>0</v>
      </c>
      <c r="C524" t="s">
        <v>3184</v>
      </c>
      <c r="D524">
        <v>19.1</v>
      </c>
      <c r="E524">
        <v>0.035708843738604</v>
      </c>
      <c r="F524">
        <v>0</v>
      </c>
      <c r="G524">
        <v>0.005814345444414393</v>
      </c>
      <c r="H524">
        <v>0.6820389154073421</v>
      </c>
      <c r="I524">
        <v>399.148095</v>
      </c>
      <c r="J524">
        <v>6.850093439049925</v>
      </c>
      <c r="K524">
        <v>0.2351858328990835</v>
      </c>
      <c r="L524">
        <v>0.88978505760765</v>
      </c>
      <c r="M524">
        <v>25.22</v>
      </c>
      <c r="N524">
        <v>15.85</v>
      </c>
    </row>
    <row r="525" spans="1:14">
      <c r="A525" s="1" t="s">
        <v>537</v>
      </c>
      <c r="B525">
        <f>HYPERLINK("https://www.suredividend.com/sure-analysis-research-database/","Clear Channel Outdoor Holdings Inc.")</f>
        <v>0</v>
      </c>
      <c r="C525" t="s">
        <v>3191</v>
      </c>
      <c r="D525">
        <v>1.07</v>
      </c>
      <c r="E525">
        <v>0</v>
      </c>
      <c r="F525" t="s">
        <v>3182</v>
      </c>
      <c r="G525" t="s">
        <v>3182</v>
      </c>
      <c r="H525">
        <v>0</v>
      </c>
      <c r="I525">
        <v>516.718149</v>
      </c>
      <c r="J525" t="s">
        <v>3182</v>
      </c>
      <c r="K525">
        <v>-0</v>
      </c>
      <c r="L525">
        <v>2.219048712021579</v>
      </c>
      <c r="M525">
        <v>2.14</v>
      </c>
      <c r="N525">
        <v>0.9501000000000001</v>
      </c>
    </row>
    <row r="526" spans="1:14">
      <c r="A526" s="1" t="s">
        <v>538</v>
      </c>
      <c r="B526">
        <f>HYPERLINK("https://www.suredividend.com/sure-analysis-CCOI/","Cogent Communications Holdings Inc")</f>
        <v>0</v>
      </c>
      <c r="C526" t="s">
        <v>3191</v>
      </c>
      <c r="D526">
        <v>65.48</v>
      </c>
      <c r="E526">
        <v>0.0577275503970678</v>
      </c>
      <c r="F526">
        <v>0.04419889502762442</v>
      </c>
      <c r="G526">
        <v>0.11032151746146</v>
      </c>
      <c r="H526">
        <v>3.604805204280461</v>
      </c>
      <c r="I526">
        <v>3201.972</v>
      </c>
      <c r="J526">
        <v>2.851631910057923</v>
      </c>
      <c r="K526">
        <v>0.1522942629607292</v>
      </c>
      <c r="L526">
        <v>0.603450234834734</v>
      </c>
      <c r="M526">
        <v>71.87</v>
      </c>
      <c r="N526">
        <v>49.27</v>
      </c>
    </row>
    <row r="527" spans="1:14">
      <c r="A527" s="1" t="s">
        <v>539</v>
      </c>
      <c r="B527">
        <f>HYPERLINK("https://www.suredividend.com/sure-analysis-research-database/","Cross Country Healthcares, Inc.")</f>
        <v>0</v>
      </c>
      <c r="C527" t="s">
        <v>3183</v>
      </c>
      <c r="D527">
        <v>19.91</v>
      </c>
      <c r="E527">
        <v>0</v>
      </c>
      <c r="F527" t="s">
        <v>3182</v>
      </c>
      <c r="G527" t="s">
        <v>3182</v>
      </c>
      <c r="H527">
        <v>0</v>
      </c>
      <c r="I527">
        <v>712.829268</v>
      </c>
      <c r="J527">
        <v>5.731751443332128</v>
      </c>
      <c r="K527">
        <v>0</v>
      </c>
      <c r="L527">
        <v>0.316148288963052</v>
      </c>
      <c r="M527">
        <v>37.69</v>
      </c>
      <c r="N527">
        <v>15.65</v>
      </c>
    </row>
    <row r="528" spans="1:14">
      <c r="A528" s="1" t="s">
        <v>540</v>
      </c>
      <c r="B528">
        <f>HYPERLINK("https://www.suredividend.com/sure-analysis-research-database/","Century Communities Inc")</f>
        <v>0</v>
      </c>
      <c r="C528" t="s">
        <v>3186</v>
      </c>
      <c r="D528">
        <v>66.56999999999999</v>
      </c>
      <c r="E528">
        <v>0.013303004820179</v>
      </c>
      <c r="F528" t="s">
        <v>3182</v>
      </c>
      <c r="G528" t="s">
        <v>3182</v>
      </c>
      <c r="H528">
        <v>0.8855810308793171</v>
      </c>
      <c r="I528">
        <v>2115.236121</v>
      </c>
      <c r="J528">
        <v>8.550035855817619</v>
      </c>
      <c r="K528">
        <v>0.1153100300624111</v>
      </c>
      <c r="L528">
        <v>1.354223768374597</v>
      </c>
      <c r="M528">
        <v>82.43000000000001</v>
      </c>
      <c r="N528">
        <v>41.57</v>
      </c>
    </row>
    <row r="529" spans="1:14">
      <c r="A529" s="1" t="s">
        <v>541</v>
      </c>
      <c r="B529">
        <f>HYPERLINK("https://www.suredividend.com/sure-analysis-research-database/","ChemoCentryx Inc")</f>
        <v>0</v>
      </c>
      <c r="C529" t="s">
        <v>3180</v>
      </c>
      <c r="D529">
        <v>51.99</v>
      </c>
      <c r="E529">
        <v>0</v>
      </c>
      <c r="F529" t="s">
        <v>3182</v>
      </c>
      <c r="G529" t="s">
        <v>3182</v>
      </c>
      <c r="H529">
        <v>0</v>
      </c>
      <c r="I529">
        <v>0</v>
      </c>
      <c r="J529">
        <v>0</v>
      </c>
      <c r="K529" t="s">
        <v>3182</v>
      </c>
    </row>
    <row r="530" spans="1:14">
      <c r="A530" s="1" t="s">
        <v>542</v>
      </c>
      <c r="B530">
        <f>HYPERLINK("https://www.suredividend.com/sure-analysis-research-database/","Ceridian HCM Holding Inc.")</f>
        <v>0</v>
      </c>
      <c r="C530" t="s">
        <v>3185</v>
      </c>
      <c r="D530">
        <v>67.08</v>
      </c>
      <c r="E530">
        <v>0</v>
      </c>
      <c r="F530" t="s">
        <v>3182</v>
      </c>
      <c r="G530" t="s">
        <v>3182</v>
      </c>
      <c r="H530">
        <v>0</v>
      </c>
      <c r="I530">
        <v>10438.489988</v>
      </c>
      <c r="J530" t="s">
        <v>3182</v>
      </c>
      <c r="K530">
        <v>-0</v>
      </c>
      <c r="L530">
        <v>1.882809626331413</v>
      </c>
      <c r="M530">
        <v>79.66</v>
      </c>
      <c r="N530">
        <v>52.92</v>
      </c>
    </row>
    <row r="531" spans="1:14">
      <c r="A531" s="1" t="s">
        <v>543</v>
      </c>
      <c r="B531">
        <f>HYPERLINK("https://www.suredividend.com/sure-analysis-research-database/","Coeur Mining Inc")</f>
        <v>0</v>
      </c>
      <c r="C531" t="s">
        <v>3181</v>
      </c>
      <c r="D531">
        <v>2.41</v>
      </c>
      <c r="E531">
        <v>0</v>
      </c>
      <c r="F531" t="s">
        <v>3182</v>
      </c>
      <c r="G531" t="s">
        <v>3182</v>
      </c>
      <c r="H531">
        <v>0</v>
      </c>
      <c r="I531">
        <v>851.1245290000001</v>
      </c>
      <c r="J531" t="s">
        <v>3182</v>
      </c>
      <c r="K531">
        <v>-0</v>
      </c>
      <c r="L531">
        <v>0.7709569980596671</v>
      </c>
      <c r="M531">
        <v>4.55</v>
      </c>
      <c r="N531">
        <v>2.02</v>
      </c>
    </row>
    <row r="532" spans="1:14">
      <c r="A532" s="1" t="s">
        <v>544</v>
      </c>
      <c r="B532">
        <f>HYPERLINK("https://www.suredividend.com/sure-analysis-research-database/","CDK Global Inc")</f>
        <v>0</v>
      </c>
      <c r="C532" t="s">
        <v>3185</v>
      </c>
      <c r="D532">
        <v>54.76</v>
      </c>
      <c r="E532">
        <v>0</v>
      </c>
      <c r="F532" t="s">
        <v>3182</v>
      </c>
      <c r="G532" t="s">
        <v>3182</v>
      </c>
      <c r="H532">
        <v>0.600000023841857</v>
      </c>
      <c r="I532">
        <v>0</v>
      </c>
      <c r="J532">
        <v>0</v>
      </c>
      <c r="K532">
        <v>0.2884615499239697</v>
      </c>
    </row>
    <row r="533" spans="1:14">
      <c r="A533" s="1" t="s">
        <v>545</v>
      </c>
      <c r="B533">
        <f>HYPERLINK("https://www.suredividend.com/sure-analysis-research-database/","Cardlytics Inc")</f>
        <v>0</v>
      </c>
      <c r="C533" t="s">
        <v>3191</v>
      </c>
      <c r="D533">
        <v>13.22</v>
      </c>
      <c r="E533">
        <v>0</v>
      </c>
      <c r="F533" t="s">
        <v>3182</v>
      </c>
      <c r="G533" t="s">
        <v>3182</v>
      </c>
      <c r="H533">
        <v>0</v>
      </c>
      <c r="I533">
        <v>498.714043</v>
      </c>
      <c r="J533" t="s">
        <v>3182</v>
      </c>
      <c r="K533">
        <v>-0</v>
      </c>
      <c r="L533">
        <v>3.579112107408327</v>
      </c>
      <c r="M533">
        <v>19.57</v>
      </c>
      <c r="N533">
        <v>2.57</v>
      </c>
    </row>
    <row r="534" spans="1:14">
      <c r="A534" s="1" t="s">
        <v>546</v>
      </c>
      <c r="B534">
        <f>HYPERLINK("https://www.suredividend.com/sure-analysis-research-database/","Avid Bioservices Inc")</f>
        <v>0</v>
      </c>
      <c r="C534" t="s">
        <v>3180</v>
      </c>
      <c r="D534">
        <v>6.14</v>
      </c>
      <c r="E534">
        <v>0</v>
      </c>
      <c r="F534" t="s">
        <v>3182</v>
      </c>
      <c r="G534" t="s">
        <v>3182</v>
      </c>
      <c r="H534">
        <v>0</v>
      </c>
      <c r="I534">
        <v>387.513415</v>
      </c>
      <c r="J534" t="s">
        <v>3182</v>
      </c>
      <c r="K534">
        <v>-0</v>
      </c>
      <c r="L534">
        <v>1.636029825572191</v>
      </c>
      <c r="M534">
        <v>21.05</v>
      </c>
      <c r="N534">
        <v>5.8</v>
      </c>
    </row>
    <row r="535" spans="1:14">
      <c r="A535" s="1" t="s">
        <v>547</v>
      </c>
      <c r="B535">
        <f>HYPERLINK("https://www.suredividend.com/sure-analysis-research-database/","Caredx Inc")</f>
        <v>0</v>
      </c>
      <c r="C535" t="s">
        <v>3180</v>
      </c>
      <c r="D535">
        <v>5.95</v>
      </c>
      <c r="E535">
        <v>0</v>
      </c>
      <c r="F535" t="s">
        <v>3182</v>
      </c>
      <c r="G535" t="s">
        <v>3182</v>
      </c>
      <c r="H535">
        <v>0</v>
      </c>
      <c r="I535">
        <v>322.304646</v>
      </c>
      <c r="J535">
        <v>0</v>
      </c>
      <c r="K535" t="s">
        <v>3182</v>
      </c>
      <c r="L535">
        <v>1.058658662319332</v>
      </c>
      <c r="M535">
        <v>18.95</v>
      </c>
      <c r="N535">
        <v>4.8</v>
      </c>
    </row>
    <row r="536" spans="1:14">
      <c r="A536" s="1" t="s">
        <v>548</v>
      </c>
      <c r="B536">
        <f>HYPERLINK("https://www.suredividend.com/sure-analysis-research-database/","Cadence Design Systems, Inc.")</f>
        <v>0</v>
      </c>
      <c r="C536" t="s">
        <v>3185</v>
      </c>
      <c r="D536">
        <v>244.48</v>
      </c>
      <c r="E536">
        <v>0</v>
      </c>
      <c r="F536" t="s">
        <v>3182</v>
      </c>
      <c r="G536" t="s">
        <v>3182</v>
      </c>
      <c r="H536">
        <v>0</v>
      </c>
      <c r="I536">
        <v>66513.71776</v>
      </c>
      <c r="J536">
        <v>69.45608592817528</v>
      </c>
      <c r="K536">
        <v>0</v>
      </c>
      <c r="L536">
        <v>1.324652230658804</v>
      </c>
      <c r="M536">
        <v>255.85</v>
      </c>
      <c r="N536">
        <v>138.76</v>
      </c>
    </row>
    <row r="537" spans="1:14">
      <c r="A537" s="1" t="s">
        <v>549</v>
      </c>
      <c r="B537">
        <f>HYPERLINK("https://www.suredividend.com/sure-analysis-research-database/","Cedar Realty Trust Inc")</f>
        <v>0</v>
      </c>
      <c r="C537" t="s">
        <v>3187</v>
      </c>
      <c r="D537">
        <v>29</v>
      </c>
      <c r="E537">
        <v>0.00454503099161</v>
      </c>
      <c r="F537" t="s">
        <v>3182</v>
      </c>
      <c r="G537" t="s">
        <v>3182</v>
      </c>
      <c r="H537">
        <v>0.131805898756695</v>
      </c>
      <c r="I537">
        <v>395.570846</v>
      </c>
      <c r="J537" t="s">
        <v>3182</v>
      </c>
      <c r="K537" t="s">
        <v>3182</v>
      </c>
      <c r="L537">
        <v>0.2880788602943</v>
      </c>
      <c r="M537">
        <v>29.26</v>
      </c>
      <c r="N537">
        <v>16.64</v>
      </c>
    </row>
    <row r="538" spans="1:14">
      <c r="A538" s="1" t="s">
        <v>550</v>
      </c>
      <c r="B538">
        <f>HYPERLINK("https://www.suredividend.com/sure-analysis-research-database/","Cidara Therapeutics Inc")</f>
        <v>0</v>
      </c>
      <c r="C538" t="s">
        <v>3180</v>
      </c>
      <c r="D538">
        <v>0.8647</v>
      </c>
      <c r="E538">
        <v>0</v>
      </c>
      <c r="F538" t="s">
        <v>3182</v>
      </c>
      <c r="G538" t="s">
        <v>3182</v>
      </c>
      <c r="H538">
        <v>0</v>
      </c>
      <c r="I538">
        <v>78.040685</v>
      </c>
      <c r="J538" t="s">
        <v>3182</v>
      </c>
      <c r="K538">
        <v>-0</v>
      </c>
      <c r="M538">
        <v>2.1</v>
      </c>
      <c r="N538">
        <v>0.4601</v>
      </c>
    </row>
    <row r="539" spans="1:14">
      <c r="A539" s="1" t="s">
        <v>551</v>
      </c>
      <c r="B539">
        <f>HYPERLINK("https://www.suredividend.com/sure-analysis-research-database/","CDW Corp")</f>
        <v>0</v>
      </c>
      <c r="C539" t="s">
        <v>3185</v>
      </c>
      <c r="D539">
        <v>206.67</v>
      </c>
      <c r="E539">
        <v>0.011322446354013</v>
      </c>
      <c r="F539">
        <v>0.1799999999999999</v>
      </c>
      <c r="G539">
        <v>0.1486983549970351</v>
      </c>
      <c r="H539">
        <v>2.340009987983962</v>
      </c>
      <c r="I539">
        <v>27703.66978</v>
      </c>
      <c r="J539">
        <v>25.70629097105873</v>
      </c>
      <c r="K539">
        <v>0.2973329082571743</v>
      </c>
      <c r="L539">
        <v>1.01754090043402</v>
      </c>
      <c r="M539">
        <v>215.81</v>
      </c>
      <c r="N539">
        <v>158.63</v>
      </c>
    </row>
    <row r="540" spans="1:14">
      <c r="A540" s="1" t="s">
        <v>552</v>
      </c>
      <c r="B540">
        <f>HYPERLINK("https://www.suredividend.com/sure-analysis-research-database/","Chromadex Corp")</f>
        <v>0</v>
      </c>
      <c r="C540" t="s">
        <v>3180</v>
      </c>
      <c r="D540">
        <v>1.41</v>
      </c>
      <c r="E540">
        <v>0</v>
      </c>
      <c r="F540" t="s">
        <v>3182</v>
      </c>
      <c r="G540" t="s">
        <v>3182</v>
      </c>
      <c r="H540">
        <v>0</v>
      </c>
      <c r="I540">
        <v>105.795637</v>
      </c>
      <c r="J540">
        <v>0</v>
      </c>
      <c r="K540" t="s">
        <v>3182</v>
      </c>
      <c r="L540">
        <v>1.232697583760488</v>
      </c>
      <c r="M540">
        <v>2.24</v>
      </c>
      <c r="N540">
        <v>1.25</v>
      </c>
    </row>
    <row r="541" spans="1:14">
      <c r="A541" s="1" t="s">
        <v>553</v>
      </c>
      <c r="B541">
        <f>HYPERLINK("https://www.suredividend.com/sure-analysis-research-database/","Codexis Inc.")</f>
        <v>0</v>
      </c>
      <c r="C541" t="s">
        <v>3180</v>
      </c>
      <c r="D541">
        <v>1.8</v>
      </c>
      <c r="E541">
        <v>0</v>
      </c>
      <c r="F541" t="s">
        <v>3182</v>
      </c>
      <c r="G541" t="s">
        <v>3182</v>
      </c>
      <c r="H541">
        <v>0</v>
      </c>
      <c r="I541">
        <v>125.647189</v>
      </c>
      <c r="J541">
        <v>0</v>
      </c>
      <c r="K541" t="s">
        <v>3182</v>
      </c>
      <c r="L541">
        <v>2.400006910637498</v>
      </c>
      <c r="M541">
        <v>6.98</v>
      </c>
      <c r="N541">
        <v>1.45</v>
      </c>
    </row>
    <row r="542" spans="1:14">
      <c r="A542" s="1" t="s">
        <v>554</v>
      </c>
      <c r="B542">
        <f>HYPERLINK("https://www.suredividend.com/sure-analysis-research-database/","Cadiz Inc.")</f>
        <v>0</v>
      </c>
      <c r="C542" t="s">
        <v>3190</v>
      </c>
      <c r="D542">
        <v>3.24</v>
      </c>
      <c r="E542">
        <v>0</v>
      </c>
      <c r="F542" t="s">
        <v>3182</v>
      </c>
      <c r="G542" t="s">
        <v>3182</v>
      </c>
      <c r="H542">
        <v>0</v>
      </c>
      <c r="I542">
        <v>215.769763</v>
      </c>
      <c r="J542" t="s">
        <v>3182</v>
      </c>
      <c r="K542">
        <v>-0</v>
      </c>
      <c r="L542">
        <v>1.426461866337111</v>
      </c>
      <c r="M542">
        <v>5.8</v>
      </c>
      <c r="N542">
        <v>1.71</v>
      </c>
    </row>
    <row r="543" spans="1:14">
      <c r="A543" s="1" t="s">
        <v>555</v>
      </c>
      <c r="B543">
        <f>HYPERLINK("https://www.suredividend.com/sure-analysis-CE/","Celanese Corp")</f>
        <v>0</v>
      </c>
      <c r="C543" t="s">
        <v>3181</v>
      </c>
      <c r="D543">
        <v>115.57</v>
      </c>
      <c r="E543">
        <v>0.02422774076317383</v>
      </c>
      <c r="F543">
        <v>0</v>
      </c>
      <c r="G543">
        <v>0.05327276858309049</v>
      </c>
      <c r="H543">
        <v>2.774969376750364</v>
      </c>
      <c r="I543">
        <v>12580.051759</v>
      </c>
      <c r="J543">
        <v>9.91335835998424</v>
      </c>
      <c r="K543">
        <v>0.2390154501938298</v>
      </c>
      <c r="L543">
        <v>1.561279911210052</v>
      </c>
      <c r="M543">
        <v>130.26</v>
      </c>
      <c r="N543">
        <v>87.92</v>
      </c>
    </row>
    <row r="544" spans="1:14">
      <c r="A544" s="1" t="s">
        <v>556</v>
      </c>
      <c r="B544">
        <f>HYPERLINK("https://www.suredividend.com/sure-analysis-research-database/","Ceco Environmental Corp.")</f>
        <v>0</v>
      </c>
      <c r="C544" t="s">
        <v>3182</v>
      </c>
      <c r="D544">
        <v>15.79</v>
      </c>
      <c r="E544">
        <v>0</v>
      </c>
      <c r="F544" t="s">
        <v>3182</v>
      </c>
      <c r="G544" t="s">
        <v>3182</v>
      </c>
      <c r="H544">
        <v>0</v>
      </c>
      <c r="I544">
        <v>548.942982</v>
      </c>
      <c r="J544">
        <v>0</v>
      </c>
      <c r="K544" t="s">
        <v>3182</v>
      </c>
      <c r="L544">
        <v>0.8284768702902741</v>
      </c>
      <c r="M544">
        <v>16.98</v>
      </c>
      <c r="N544">
        <v>8.41</v>
      </c>
    </row>
    <row r="545" spans="1:14">
      <c r="A545" s="1" t="s">
        <v>557</v>
      </c>
      <c r="B545">
        <f>HYPERLINK("https://www.suredividend.com/sure-analysis-research-database/","Camber Energy Inc")</f>
        <v>0</v>
      </c>
      <c r="C545" t="s">
        <v>3189</v>
      </c>
      <c r="D545">
        <v>0.341</v>
      </c>
      <c r="E545">
        <v>0</v>
      </c>
      <c r="F545" t="s">
        <v>3182</v>
      </c>
      <c r="G545" t="s">
        <v>3182</v>
      </c>
      <c r="H545">
        <v>0</v>
      </c>
      <c r="I545">
        <v>51.181921</v>
      </c>
      <c r="J545" t="s">
        <v>3182</v>
      </c>
      <c r="K545">
        <v>-0</v>
      </c>
      <c r="L545">
        <v>1.875725332213122</v>
      </c>
      <c r="M545">
        <v>8</v>
      </c>
      <c r="N545">
        <v>0.204</v>
      </c>
    </row>
    <row r="546" spans="1:14">
      <c r="A546" s="1" t="s">
        <v>558</v>
      </c>
      <c r="B546">
        <f>HYPERLINK("https://www.suredividend.com/sure-analysis-research-database/","Consol Energy Inc")</f>
        <v>0</v>
      </c>
      <c r="C546" t="s">
        <v>3189</v>
      </c>
      <c r="D546">
        <v>97.92</v>
      </c>
      <c r="E546">
        <v>0.03241080109458</v>
      </c>
      <c r="F546" t="s">
        <v>3182</v>
      </c>
      <c r="G546" t="s">
        <v>3182</v>
      </c>
      <c r="H546">
        <v>3.173665643181303</v>
      </c>
      <c r="I546">
        <v>3036.485687</v>
      </c>
      <c r="J546">
        <v>4.388987206674357</v>
      </c>
      <c r="K546">
        <v>0.1585247574016635</v>
      </c>
      <c r="L546">
        <v>1.006546195369237</v>
      </c>
      <c r="M546">
        <v>112.49</v>
      </c>
      <c r="N546">
        <v>48.47</v>
      </c>
    </row>
    <row r="547" spans="1:14">
      <c r="A547" s="1" t="s">
        <v>559</v>
      </c>
      <c r="B547">
        <f>HYPERLINK("https://www.suredividend.com/sure-analysis-research-database/","Celcuity Inc")</f>
        <v>0</v>
      </c>
      <c r="C547" t="s">
        <v>3180</v>
      </c>
      <c r="D547">
        <v>10.07</v>
      </c>
      <c r="E547">
        <v>0</v>
      </c>
      <c r="F547" t="s">
        <v>3182</v>
      </c>
      <c r="G547" t="s">
        <v>3182</v>
      </c>
      <c r="H547">
        <v>0</v>
      </c>
      <c r="I547">
        <v>222.44774</v>
      </c>
      <c r="J547">
        <v>0</v>
      </c>
      <c r="K547" t="s">
        <v>3182</v>
      </c>
      <c r="L547">
        <v>0.261430408548192</v>
      </c>
      <c r="M547">
        <v>14.4</v>
      </c>
      <c r="N547">
        <v>7.5</v>
      </c>
    </row>
    <row r="548" spans="1:14">
      <c r="A548" s="1" t="s">
        <v>560</v>
      </c>
      <c r="B548">
        <f>HYPERLINK("https://www.suredividend.com/sure-analysis-research-database/","Celsius Holdings Inc")</f>
        <v>0</v>
      </c>
      <c r="C548" t="s">
        <v>3188</v>
      </c>
      <c r="D548">
        <v>162.01</v>
      </c>
      <c r="E548">
        <v>0</v>
      </c>
      <c r="F548" t="s">
        <v>3182</v>
      </c>
      <c r="G548" t="s">
        <v>3182</v>
      </c>
      <c r="H548">
        <v>0</v>
      </c>
      <c r="I548">
        <v>12457.147686</v>
      </c>
      <c r="J548" t="s">
        <v>3182</v>
      </c>
      <c r="K548">
        <v>-0</v>
      </c>
      <c r="L548">
        <v>1.614119388839693</v>
      </c>
      <c r="M548">
        <v>206.85</v>
      </c>
      <c r="N548">
        <v>78.25</v>
      </c>
    </row>
    <row r="549" spans="1:14">
      <c r="A549" s="1" t="s">
        <v>561</v>
      </c>
      <c r="B549">
        <f>HYPERLINK("https://www.suredividend.com/sure-analysis-research-database/","Chembio Diagnostics Inc.")</f>
        <v>0</v>
      </c>
      <c r="C549" t="s">
        <v>3180</v>
      </c>
      <c r="D549">
        <v>0.455</v>
      </c>
      <c r="E549">
        <v>0</v>
      </c>
      <c r="F549" t="s">
        <v>3182</v>
      </c>
      <c r="G549" t="s">
        <v>3182</v>
      </c>
      <c r="H549">
        <v>0</v>
      </c>
      <c r="I549">
        <v>0</v>
      </c>
      <c r="J549">
        <v>0</v>
      </c>
      <c r="K549" t="s">
        <v>3182</v>
      </c>
    </row>
    <row r="550" spans="1:14">
      <c r="A550" s="1" t="s">
        <v>562</v>
      </c>
      <c r="B550">
        <f>HYPERLINK("https://www.suredividend.com/sure-analysis-research-database/","Central Garden &amp; Pet Co.")</f>
        <v>0</v>
      </c>
      <c r="C550" t="s">
        <v>3188</v>
      </c>
      <c r="D550">
        <v>44.31</v>
      </c>
      <c r="E550">
        <v>0</v>
      </c>
      <c r="F550" t="s">
        <v>3182</v>
      </c>
      <c r="G550" t="s">
        <v>3182</v>
      </c>
      <c r="H550">
        <v>0</v>
      </c>
      <c r="I550">
        <v>2135.183667</v>
      </c>
      <c r="J550">
        <v>17.67272812751411</v>
      </c>
      <c r="K550">
        <v>0</v>
      </c>
      <c r="L550">
        <v>0.621769239585318</v>
      </c>
      <c r="M550">
        <v>48.48</v>
      </c>
      <c r="N550">
        <v>35.6</v>
      </c>
    </row>
    <row r="551" spans="1:14">
      <c r="A551" s="1" t="s">
        <v>563</v>
      </c>
      <c r="B551">
        <f>HYPERLINK("https://www.suredividend.com/sure-analysis-research-database/","Central Garden &amp; Pet Co.")</f>
        <v>0</v>
      </c>
      <c r="C551" t="s">
        <v>3188</v>
      </c>
      <c r="D551">
        <v>40.11</v>
      </c>
      <c r="E551">
        <v>0</v>
      </c>
      <c r="F551" t="s">
        <v>3182</v>
      </c>
      <c r="G551" t="s">
        <v>3182</v>
      </c>
      <c r="H551">
        <v>0</v>
      </c>
      <c r="I551">
        <v>2135.183667</v>
      </c>
      <c r="J551">
        <v>17.67272812751411</v>
      </c>
      <c r="K551">
        <v>0</v>
      </c>
      <c r="L551">
        <v>0.622943150066069</v>
      </c>
      <c r="M551">
        <v>45.93</v>
      </c>
      <c r="N551">
        <v>33.77</v>
      </c>
    </row>
    <row r="552" spans="1:14">
      <c r="A552" s="1" t="s">
        <v>564</v>
      </c>
      <c r="B552">
        <f>HYPERLINK("https://www.suredividend.com/sure-analysis-research-database/","Century Aluminum Co.")</f>
        <v>0</v>
      </c>
      <c r="C552" t="s">
        <v>3181</v>
      </c>
      <c r="D552">
        <v>6.83</v>
      </c>
      <c r="E552">
        <v>0</v>
      </c>
      <c r="F552" t="s">
        <v>3182</v>
      </c>
      <c r="G552" t="s">
        <v>3182</v>
      </c>
      <c r="H552">
        <v>0</v>
      </c>
      <c r="I552">
        <v>630.988683</v>
      </c>
      <c r="J552" t="s">
        <v>3182</v>
      </c>
      <c r="K552">
        <v>-0</v>
      </c>
      <c r="L552">
        <v>2.634724191699478</v>
      </c>
      <c r="M552">
        <v>12.97</v>
      </c>
      <c r="N552">
        <v>5.7</v>
      </c>
    </row>
    <row r="553" spans="1:14">
      <c r="A553" s="1" t="s">
        <v>565</v>
      </c>
      <c r="B553">
        <f>HYPERLINK("https://www.suredividend.com/sure-analysis-research-database/","Cerner Corp.")</f>
        <v>0</v>
      </c>
      <c r="C553" t="s">
        <v>3180</v>
      </c>
      <c r="D553">
        <v>94.92</v>
      </c>
      <c r="E553">
        <v>0</v>
      </c>
      <c r="F553" t="s">
        <v>3182</v>
      </c>
      <c r="G553" t="s">
        <v>3182</v>
      </c>
      <c r="H553">
        <v>0.9800000190734861</v>
      </c>
      <c r="I553">
        <v>0</v>
      </c>
      <c r="J553">
        <v>0</v>
      </c>
      <c r="K553">
        <v>0.4949495045825688</v>
      </c>
    </row>
    <row r="554" spans="1:14">
      <c r="A554" s="1" t="s">
        <v>566</v>
      </c>
      <c r="B554">
        <f>HYPERLINK("https://www.suredividend.com/sure-analysis-research-database/","Cerus Corp.")</f>
        <v>0</v>
      </c>
      <c r="C554" t="s">
        <v>3180</v>
      </c>
      <c r="D554">
        <v>1.59</v>
      </c>
      <c r="E554">
        <v>0</v>
      </c>
      <c r="F554" t="s">
        <v>3182</v>
      </c>
      <c r="G554" t="s">
        <v>3182</v>
      </c>
      <c r="H554">
        <v>0</v>
      </c>
      <c r="I554">
        <v>287.478441</v>
      </c>
      <c r="J554" t="s">
        <v>3182</v>
      </c>
      <c r="K554">
        <v>-0</v>
      </c>
      <c r="L554">
        <v>1.904334646402258</v>
      </c>
      <c r="M554">
        <v>4.25</v>
      </c>
      <c r="N554">
        <v>1.21</v>
      </c>
    </row>
    <row r="555" spans="1:14">
      <c r="A555" s="1" t="s">
        <v>567</v>
      </c>
      <c r="B555">
        <f>HYPERLINK("https://www.suredividend.com/sure-analysis-research-database/","Cemtrex Inc.")</f>
        <v>0</v>
      </c>
      <c r="C555" t="s">
        <v>3183</v>
      </c>
      <c r="D555">
        <v>4.38</v>
      </c>
      <c r="E555">
        <v>0</v>
      </c>
      <c r="F555" t="s">
        <v>3182</v>
      </c>
      <c r="G555" t="s">
        <v>3182</v>
      </c>
      <c r="H555">
        <v>0</v>
      </c>
      <c r="I555">
        <v>4.372703</v>
      </c>
      <c r="J555">
        <v>0</v>
      </c>
      <c r="K555" t="s">
        <v>3182</v>
      </c>
      <c r="M555">
        <v>379.75</v>
      </c>
      <c r="N555">
        <v>3.76</v>
      </c>
    </row>
    <row r="556" spans="1:14">
      <c r="A556" s="1" t="s">
        <v>568</v>
      </c>
      <c r="B556">
        <f>HYPERLINK("https://www.suredividend.com/sure-analysis-research-database/","Ceva Inc.")</f>
        <v>0</v>
      </c>
      <c r="C556" t="s">
        <v>3185</v>
      </c>
      <c r="D556">
        <v>18.23</v>
      </c>
      <c r="E556">
        <v>0</v>
      </c>
      <c r="F556" t="s">
        <v>3182</v>
      </c>
      <c r="G556" t="s">
        <v>3182</v>
      </c>
      <c r="H556">
        <v>0</v>
      </c>
      <c r="I556">
        <v>430.829918</v>
      </c>
      <c r="J556" t="s">
        <v>3182</v>
      </c>
      <c r="K556">
        <v>-0</v>
      </c>
      <c r="L556">
        <v>1.539716671100985</v>
      </c>
      <c r="M556">
        <v>36.29</v>
      </c>
      <c r="N556">
        <v>16.38</v>
      </c>
    </row>
    <row r="557" spans="1:14">
      <c r="A557" s="1" t="s">
        <v>569</v>
      </c>
      <c r="B557">
        <f>HYPERLINK("https://www.suredividend.com/sure-analysis-CF/","CF Industries Holdings Inc")</f>
        <v>0</v>
      </c>
      <c r="C557" t="s">
        <v>3181</v>
      </c>
      <c r="D557">
        <v>80.31999999999999</v>
      </c>
      <c r="E557">
        <v>0.0199203187250996</v>
      </c>
      <c r="F557">
        <v>0</v>
      </c>
      <c r="G557">
        <v>0.05922384104881218</v>
      </c>
      <c r="H557">
        <v>1.587430544757064</v>
      </c>
      <c r="I557">
        <v>15497.552838</v>
      </c>
      <c r="J557">
        <v>6.497925718406709</v>
      </c>
      <c r="K557">
        <v>0.131409813307704</v>
      </c>
      <c r="L557">
        <v>0.570447702630528</v>
      </c>
      <c r="M557">
        <v>110.27</v>
      </c>
      <c r="N557">
        <v>59.78</v>
      </c>
    </row>
    <row r="558" spans="1:14">
      <c r="A558" s="1" t="s">
        <v>570</v>
      </c>
      <c r="B558">
        <f>HYPERLINK("https://www.suredividend.com/sure-analysis-research-database/","CF Bankshares Inc")</f>
        <v>0</v>
      </c>
      <c r="C558" t="s">
        <v>3184</v>
      </c>
      <c r="D558">
        <v>15.2299</v>
      </c>
      <c r="E558">
        <v>0.01494933733723</v>
      </c>
      <c r="F558" t="s">
        <v>3182</v>
      </c>
      <c r="G558" t="s">
        <v>3182</v>
      </c>
      <c r="H558">
        <v>0.22767691271229</v>
      </c>
      <c r="I558">
        <v>80.54823</v>
      </c>
      <c r="J558">
        <v>0</v>
      </c>
      <c r="K558" t="s">
        <v>3182</v>
      </c>
      <c r="M558">
        <v>23.4</v>
      </c>
      <c r="N558">
        <v>14.53</v>
      </c>
    </row>
    <row r="559" spans="1:14">
      <c r="A559" s="1" t="s">
        <v>571</v>
      </c>
      <c r="B559">
        <f>HYPERLINK("https://www.suredividend.com/sure-analysis-CFFI/","C &amp; F Financial Corp")</f>
        <v>0</v>
      </c>
      <c r="C559" t="s">
        <v>3184</v>
      </c>
      <c r="D559">
        <v>54</v>
      </c>
      <c r="E559">
        <v>0.03259259259259259</v>
      </c>
      <c r="F559">
        <v>0.04761904761904767</v>
      </c>
      <c r="G559">
        <v>0.03526180275714541</v>
      </c>
      <c r="H559">
        <v>1.702088919033837</v>
      </c>
      <c r="I559">
        <v>183.273948</v>
      </c>
      <c r="J559">
        <v>6.205313966480447</v>
      </c>
      <c r="K559">
        <v>0.2000104487701336</v>
      </c>
      <c r="L559">
        <v>0.204735293064577</v>
      </c>
      <c r="M559">
        <v>60.79</v>
      </c>
      <c r="N559">
        <v>46.47</v>
      </c>
    </row>
    <row r="560" spans="1:14">
      <c r="A560" s="1" t="s">
        <v>572</v>
      </c>
      <c r="B560">
        <f>HYPERLINK("https://www.suredividend.com/sure-analysis-research-database/","Capitol Federal Financial")</f>
        <v>0</v>
      </c>
      <c r="C560" t="s">
        <v>3184</v>
      </c>
      <c r="D560">
        <v>5.33</v>
      </c>
      <c r="E560">
        <v>0.06118700503246201</v>
      </c>
      <c r="F560">
        <v>-0.6964285714285714</v>
      </c>
      <c r="G560">
        <v>0</v>
      </c>
      <c r="H560">
        <v>0.326126736823023</v>
      </c>
      <c r="I560">
        <v>725.876545</v>
      </c>
      <c r="J560">
        <v>12.47296282854492</v>
      </c>
      <c r="K560">
        <v>0.7519638847660203</v>
      </c>
      <c r="L560">
        <v>0.832627649999078</v>
      </c>
      <c r="M560">
        <v>8.199999999999999</v>
      </c>
      <c r="N560">
        <v>4.08</v>
      </c>
    </row>
    <row r="561" spans="1:14">
      <c r="A561" s="1" t="s">
        <v>573</v>
      </c>
      <c r="B561">
        <f>HYPERLINK("https://www.suredividend.com/sure-analysis-CFG/","Citizens Financial Group Inc")</f>
        <v>0</v>
      </c>
      <c r="C561" t="s">
        <v>3184</v>
      </c>
      <c r="D561">
        <v>24.9</v>
      </c>
      <c r="E561">
        <v>0.06746987951807229</v>
      </c>
      <c r="F561">
        <v>0</v>
      </c>
      <c r="G561">
        <v>0.05589288248337687</v>
      </c>
      <c r="H561">
        <v>1.640703048291337</v>
      </c>
      <c r="I561">
        <v>11760.130809</v>
      </c>
      <c r="J561">
        <v>5.434441224121996</v>
      </c>
      <c r="K561">
        <v>0.372041507549056</v>
      </c>
      <c r="L561">
        <v>1.374708281998468</v>
      </c>
      <c r="M561">
        <v>42.81</v>
      </c>
      <c r="N561">
        <v>22.36</v>
      </c>
    </row>
    <row r="562" spans="1:14">
      <c r="A562" s="1" t="s">
        <v>574</v>
      </c>
      <c r="B562">
        <f>HYPERLINK("https://www.suredividend.com/sure-analysis-research-database/","Conformis Inc.")</f>
        <v>0</v>
      </c>
      <c r="C562" t="s">
        <v>3180</v>
      </c>
      <c r="D562">
        <v>2.26</v>
      </c>
      <c r="E562">
        <v>0</v>
      </c>
      <c r="F562" t="s">
        <v>3182</v>
      </c>
      <c r="G562" t="s">
        <v>3182</v>
      </c>
      <c r="H562">
        <v>0</v>
      </c>
      <c r="I562">
        <v>0</v>
      </c>
      <c r="J562">
        <v>0</v>
      </c>
      <c r="K562">
        <v>-0</v>
      </c>
    </row>
    <row r="563" spans="1:14">
      <c r="A563" s="1" t="s">
        <v>575</v>
      </c>
      <c r="B563">
        <f>HYPERLINK("https://www.suredividend.com/sure-analysis-CFR/","Cullen Frost Bankers Inc.")</f>
        <v>0</v>
      </c>
      <c r="C563" t="s">
        <v>3184</v>
      </c>
      <c r="D563">
        <v>94.89</v>
      </c>
      <c r="E563">
        <v>0.03878174728633154</v>
      </c>
      <c r="F563">
        <v>0.05747126436781613</v>
      </c>
      <c r="G563">
        <v>0.06547338305040862</v>
      </c>
      <c r="H563">
        <v>3.485255701202303</v>
      </c>
      <c r="I563">
        <v>6077.437859</v>
      </c>
      <c r="J563">
        <v>9.028838887766412</v>
      </c>
      <c r="K563">
        <v>0.3338367529887263</v>
      </c>
      <c r="L563">
        <v>1.007495718798671</v>
      </c>
      <c r="M563">
        <v>155.78</v>
      </c>
      <c r="N563">
        <v>82.25</v>
      </c>
    </row>
    <row r="564" spans="1:14">
      <c r="A564" s="1" t="s">
        <v>576</v>
      </c>
      <c r="B564">
        <f>HYPERLINK("https://www.suredividend.com/sure-analysis-research-database/","Cancer Genetics Inc.")</f>
        <v>0</v>
      </c>
      <c r="C564" t="s">
        <v>3180</v>
      </c>
      <c r="D564">
        <v>4.61</v>
      </c>
      <c r="E564">
        <v>0</v>
      </c>
      <c r="F564" t="s">
        <v>3182</v>
      </c>
      <c r="G564" t="s">
        <v>3182</v>
      </c>
      <c r="H564">
        <v>0</v>
      </c>
      <c r="I564">
        <v>35.886914</v>
      </c>
      <c r="J564">
        <v>0</v>
      </c>
      <c r="K564" t="s">
        <v>3182</v>
      </c>
      <c r="M564">
        <v>17.5</v>
      </c>
      <c r="N564">
        <v>2.11</v>
      </c>
    </row>
    <row r="565" spans="1:14">
      <c r="A565" s="1" t="s">
        <v>577</v>
      </c>
      <c r="B565">
        <f>HYPERLINK("https://www.suredividend.com/sure-analysis-research-database/","Cognex Corp.")</f>
        <v>0</v>
      </c>
      <c r="C565" t="s">
        <v>3185</v>
      </c>
      <c r="D565">
        <v>35.23</v>
      </c>
      <c r="E565">
        <v>0.007930716821258</v>
      </c>
      <c r="F565">
        <v>0.07692307692307709</v>
      </c>
      <c r="G565">
        <v>0.06961037572506878</v>
      </c>
      <c r="H565">
        <v>0.27939915361295</v>
      </c>
      <c r="I565">
        <v>6064.565901</v>
      </c>
      <c r="J565">
        <v>38.55021676854229</v>
      </c>
      <c r="K565">
        <v>0.3083195250639484</v>
      </c>
      <c r="L565">
        <v>1.26787770614362</v>
      </c>
      <c r="M565">
        <v>59.42</v>
      </c>
      <c r="N565">
        <v>34.28</v>
      </c>
    </row>
    <row r="566" spans="1:14">
      <c r="A566" s="1" t="s">
        <v>578</v>
      </c>
      <c r="B566">
        <f>HYPERLINK("https://www.suredividend.com/sure-analysis-research-database/","Comstock Holding Co. Inc")</f>
        <v>0</v>
      </c>
      <c r="C566" t="s">
        <v>3187</v>
      </c>
      <c r="D566">
        <v>4.45</v>
      </c>
      <c r="E566">
        <v>0</v>
      </c>
      <c r="F566" t="s">
        <v>3182</v>
      </c>
      <c r="G566" t="s">
        <v>3182</v>
      </c>
      <c r="H566">
        <v>0</v>
      </c>
      <c r="I566">
        <v>41.943462</v>
      </c>
      <c r="J566">
        <v>0</v>
      </c>
      <c r="K566" t="s">
        <v>3182</v>
      </c>
      <c r="M566">
        <v>6.94</v>
      </c>
      <c r="N566">
        <v>3.47</v>
      </c>
    </row>
    <row r="567" spans="1:14">
      <c r="A567" s="1" t="s">
        <v>579</v>
      </c>
      <c r="B567">
        <f>HYPERLINK("https://www.suredividend.com/sure-analysis-CHCO/","City Holding Co.")</f>
        <v>0</v>
      </c>
      <c r="C567" t="s">
        <v>3184</v>
      </c>
      <c r="D567">
        <v>94.93000000000001</v>
      </c>
      <c r="E567">
        <v>0.03012746234067207</v>
      </c>
      <c r="F567">
        <v>0.09999999999999987</v>
      </c>
      <c r="G567">
        <v>0.06171030936108779</v>
      </c>
      <c r="H567">
        <v>2.607709213434648</v>
      </c>
      <c r="I567">
        <v>1424.581759</v>
      </c>
      <c r="J567">
        <v>12.4897576639488</v>
      </c>
      <c r="K567">
        <v>0.3395454704993031</v>
      </c>
      <c r="L567">
        <v>0.6318070667418351</v>
      </c>
      <c r="M567">
        <v>99.16</v>
      </c>
      <c r="N567">
        <v>80.09999999999999</v>
      </c>
    </row>
    <row r="568" spans="1:14">
      <c r="A568" s="1" t="s">
        <v>580</v>
      </c>
      <c r="B568">
        <f>HYPERLINK("https://www.suredividend.com/sure-analysis-CHCT/","Community Healthcare Trust Inc")</f>
        <v>0</v>
      </c>
      <c r="C568" t="s">
        <v>3187</v>
      </c>
      <c r="D568">
        <v>27.6</v>
      </c>
      <c r="E568">
        <v>0.06594202898550725</v>
      </c>
      <c r="F568">
        <v>0.02259887005649719</v>
      </c>
      <c r="G568">
        <v>0.02242794724178454</v>
      </c>
      <c r="H568">
        <v>1.762175987281338</v>
      </c>
      <c r="I568">
        <v>752.49871</v>
      </c>
      <c r="J568">
        <v>133.682485272695</v>
      </c>
      <c r="K568">
        <v>7.715306424173984</v>
      </c>
      <c r="L568">
        <v>0.64866596621436</v>
      </c>
      <c r="M568">
        <v>42.32</v>
      </c>
      <c r="N568">
        <v>25.81</v>
      </c>
    </row>
    <row r="569" spans="1:14">
      <c r="A569" s="1" t="s">
        <v>581</v>
      </c>
      <c r="B569">
        <f>HYPERLINK("https://www.suredividend.com/sure-analysis-CHD/","Church &amp; Dwight Co., Inc.")</f>
        <v>0</v>
      </c>
      <c r="C569" t="s">
        <v>3188</v>
      </c>
      <c r="D569">
        <v>91.95999999999999</v>
      </c>
      <c r="E569">
        <v>0.01185297955632884</v>
      </c>
      <c r="F569">
        <v>0.03809523809523818</v>
      </c>
      <c r="G569">
        <v>0.04611986494485665</v>
      </c>
      <c r="H569">
        <v>1.075346514050669</v>
      </c>
      <c r="I569">
        <v>22626.48212</v>
      </c>
      <c r="J569">
        <v>50.64118648164727</v>
      </c>
      <c r="K569">
        <v>0.5941140961605906</v>
      </c>
      <c r="L569">
        <v>0.390287998631077</v>
      </c>
      <c r="M569">
        <v>100.23</v>
      </c>
      <c r="N569">
        <v>69.43000000000001</v>
      </c>
    </row>
    <row r="570" spans="1:14">
      <c r="A570" s="1" t="s">
        <v>582</v>
      </c>
      <c r="B570">
        <f>HYPERLINK("https://www.suredividend.com/sure-analysis-research-database/","Churchill Downs, Inc.")</f>
        <v>0</v>
      </c>
      <c r="C570" t="s">
        <v>3186</v>
      </c>
      <c r="D570">
        <v>114.43</v>
      </c>
      <c r="E570">
        <v>0.003119811179972</v>
      </c>
      <c r="F570" t="s">
        <v>3182</v>
      </c>
      <c r="G570" t="s">
        <v>3182</v>
      </c>
      <c r="H570">
        <v>0.356999993324279</v>
      </c>
      <c r="I570">
        <v>8535.885253</v>
      </c>
      <c r="J570">
        <v>23.66477752314944</v>
      </c>
      <c r="K570">
        <v>0.07579617692659851</v>
      </c>
      <c r="M570">
        <v>150.45</v>
      </c>
      <c r="N570">
        <v>98.08</v>
      </c>
    </row>
    <row r="571" spans="1:14">
      <c r="A571" s="1" t="s">
        <v>583</v>
      </c>
      <c r="B571">
        <f>HYPERLINK("https://www.suredividend.com/sure-analysis-CHE/","Chemed Corp.")</f>
        <v>0</v>
      </c>
      <c r="C571" t="s">
        <v>3180</v>
      </c>
      <c r="D571">
        <v>579.16</v>
      </c>
      <c r="E571">
        <v>0.002762621728019891</v>
      </c>
      <c r="F571">
        <v>0.05263157894736836</v>
      </c>
      <c r="G571">
        <v>0.05922384104881218</v>
      </c>
      <c r="H571">
        <v>1.538004551024399</v>
      </c>
      <c r="I571">
        <v>8731.774659999999</v>
      </c>
      <c r="J571">
        <v>35.70080651904065</v>
      </c>
      <c r="K571">
        <v>0.09523247993959127</v>
      </c>
      <c r="L571">
        <v>0.383175107626814</v>
      </c>
      <c r="M571">
        <v>583.54</v>
      </c>
      <c r="N571">
        <v>473.95</v>
      </c>
    </row>
    <row r="572" spans="1:14">
      <c r="A572" s="1" t="s">
        <v>584</v>
      </c>
      <c r="B572">
        <f>HYPERLINK("https://www.suredividend.com/sure-analysis-research-database/","Chefs` Warehouse Inc")</f>
        <v>0</v>
      </c>
      <c r="C572" t="s">
        <v>3188</v>
      </c>
      <c r="D572">
        <v>23.72</v>
      </c>
      <c r="E572">
        <v>0</v>
      </c>
      <c r="F572" t="s">
        <v>3182</v>
      </c>
      <c r="G572" t="s">
        <v>3182</v>
      </c>
      <c r="H572">
        <v>0</v>
      </c>
      <c r="I572">
        <v>941.684</v>
      </c>
      <c r="J572">
        <v>45.4524568008495</v>
      </c>
      <c r="K572">
        <v>0</v>
      </c>
      <c r="L572">
        <v>1.136721221989196</v>
      </c>
      <c r="M572">
        <v>39.54</v>
      </c>
      <c r="N572">
        <v>17.29</v>
      </c>
    </row>
    <row r="573" spans="1:14">
      <c r="A573" s="1" t="s">
        <v>585</v>
      </c>
      <c r="B573">
        <f>HYPERLINK("https://www.suredividend.com/sure-analysis-research-database/","Chegg Inc")</f>
        <v>0</v>
      </c>
      <c r="C573" t="s">
        <v>3188</v>
      </c>
      <c r="D573">
        <v>7.99</v>
      </c>
      <c r="E573">
        <v>0</v>
      </c>
      <c r="F573" t="s">
        <v>3182</v>
      </c>
      <c r="G573" t="s">
        <v>3182</v>
      </c>
      <c r="H573">
        <v>0</v>
      </c>
      <c r="I573">
        <v>925.361307</v>
      </c>
      <c r="J573">
        <v>89.20864809409042</v>
      </c>
      <c r="K573">
        <v>0</v>
      </c>
      <c r="L573">
        <v>1.084225240482779</v>
      </c>
      <c r="M573">
        <v>30.05</v>
      </c>
      <c r="N573">
        <v>7.32</v>
      </c>
    </row>
    <row r="574" spans="1:14">
      <c r="A574" s="1" t="s">
        <v>586</v>
      </c>
      <c r="B574">
        <f>HYPERLINK("https://www.suredividend.com/sure-analysis-research-database/","Choice Hotels International, Inc.")</f>
        <v>0</v>
      </c>
      <c r="C574" t="s">
        <v>3186</v>
      </c>
      <c r="D574">
        <v>112.46</v>
      </c>
      <c r="E574">
        <v>0.009747791843060001</v>
      </c>
      <c r="F574" t="s">
        <v>3182</v>
      </c>
      <c r="G574" t="s">
        <v>3182</v>
      </c>
      <c r="H574">
        <v>1.096236670670548</v>
      </c>
      <c r="I574">
        <v>5665.464334</v>
      </c>
      <c r="J574">
        <v>0</v>
      </c>
      <c r="K574" t="s">
        <v>3182</v>
      </c>
      <c r="L574">
        <v>0.8168623690662491</v>
      </c>
      <c r="M574">
        <v>135.7</v>
      </c>
      <c r="N574">
        <v>108.47</v>
      </c>
    </row>
    <row r="575" spans="1:14">
      <c r="A575" s="1" t="s">
        <v>587</v>
      </c>
      <c r="B575">
        <f>HYPERLINK("https://www.suredividend.com/sure-analysis-research-database/","Chesapeake Energy Corp.")</f>
        <v>0</v>
      </c>
      <c r="C575" t="s">
        <v>3189</v>
      </c>
      <c r="D575">
        <v>88.7</v>
      </c>
      <c r="E575">
        <v>0.068554355302821</v>
      </c>
      <c r="F575" t="s">
        <v>3182</v>
      </c>
      <c r="G575" t="s">
        <v>3182</v>
      </c>
      <c r="H575">
        <v>6.080771315360253</v>
      </c>
      <c r="I575">
        <v>11626.106535</v>
      </c>
      <c r="J575" t="s">
        <v>3182</v>
      </c>
      <c r="K575" t="s">
        <v>3182</v>
      </c>
      <c r="L575">
        <v>1.026954408151402</v>
      </c>
      <c r="M575">
        <v>102.21</v>
      </c>
      <c r="N575">
        <v>68.18000000000001</v>
      </c>
    </row>
    <row r="576" spans="1:14">
      <c r="A576" s="1" t="s">
        <v>588</v>
      </c>
      <c r="B576">
        <f>HYPERLINK("https://www.suredividend.com/sure-analysis-research-database/","Chiasma Inc")</f>
        <v>0</v>
      </c>
      <c r="C576" t="s">
        <v>3180</v>
      </c>
      <c r="D576">
        <v>3.76</v>
      </c>
      <c r="E576">
        <v>0</v>
      </c>
      <c r="F576" t="s">
        <v>3182</v>
      </c>
      <c r="G576" t="s">
        <v>3182</v>
      </c>
      <c r="H576">
        <v>0</v>
      </c>
      <c r="I576">
        <v>0</v>
      </c>
      <c r="J576">
        <v>0</v>
      </c>
      <c r="K576" t="s">
        <v>3182</v>
      </c>
    </row>
    <row r="577" spans="1:14">
      <c r="A577" s="1" t="s">
        <v>589</v>
      </c>
      <c r="B577">
        <f>HYPERLINK("https://www.suredividend.com/sure-analysis-research-database/","Chemung Financial Corp.")</f>
        <v>0</v>
      </c>
      <c r="C577" t="s">
        <v>3184</v>
      </c>
      <c r="D577">
        <v>42.3</v>
      </c>
      <c r="E577">
        <v>0.028683331883893</v>
      </c>
      <c r="F577">
        <v>0</v>
      </c>
      <c r="G577">
        <v>0.03580420358021419</v>
      </c>
      <c r="H577">
        <v>1.213304938688711</v>
      </c>
      <c r="I577">
        <v>199.648217</v>
      </c>
      <c r="J577">
        <v>0</v>
      </c>
      <c r="K577" t="s">
        <v>3182</v>
      </c>
      <c r="L577">
        <v>0.460358011086183</v>
      </c>
      <c r="M577">
        <v>51.37</v>
      </c>
      <c r="N577">
        <v>32.64</v>
      </c>
    </row>
    <row r="578" spans="1:14">
      <c r="A578" s="1" t="s">
        <v>590</v>
      </c>
      <c r="B578">
        <f>HYPERLINK("https://www.suredividend.com/sure-analysis-research-database/","Cherry Hill Mortgage Investment Corporation")</f>
        <v>0</v>
      </c>
      <c r="C578" t="s">
        <v>3187</v>
      </c>
      <c r="D578">
        <v>3.18</v>
      </c>
      <c r="E578">
        <v>0.24723262875292</v>
      </c>
      <c r="F578">
        <v>-0.4444444444444445</v>
      </c>
      <c r="G578">
        <v>-0.2108146115618069</v>
      </c>
      <c r="H578">
        <v>0.7861997594342881</v>
      </c>
      <c r="I578">
        <v>85.790285</v>
      </c>
      <c r="J578" t="s">
        <v>3182</v>
      </c>
      <c r="K578" t="s">
        <v>3182</v>
      </c>
      <c r="L578">
        <v>0.8859551087671541</v>
      </c>
      <c r="M578">
        <v>6.44</v>
      </c>
      <c r="N578">
        <v>2.77</v>
      </c>
    </row>
    <row r="579" spans="1:14">
      <c r="A579" s="1" t="s">
        <v>591</v>
      </c>
      <c r="B579">
        <f>HYPERLINK("https://www.suredividend.com/sure-analysis-research-database/","Coherus Biosciences Inc")</f>
        <v>0</v>
      </c>
      <c r="C579" t="s">
        <v>3180</v>
      </c>
      <c r="D579">
        <v>3.32</v>
      </c>
      <c r="E579">
        <v>0</v>
      </c>
      <c r="F579" t="s">
        <v>3182</v>
      </c>
      <c r="G579" t="s">
        <v>3182</v>
      </c>
      <c r="H579">
        <v>0</v>
      </c>
      <c r="I579">
        <v>313.635397</v>
      </c>
      <c r="J579" t="s">
        <v>3182</v>
      </c>
      <c r="K579">
        <v>-0</v>
      </c>
      <c r="L579">
        <v>1.772067529444892</v>
      </c>
      <c r="M579">
        <v>10.99</v>
      </c>
      <c r="N579">
        <v>2.56</v>
      </c>
    </row>
    <row r="580" spans="1:14">
      <c r="A580" s="1" t="s">
        <v>592</v>
      </c>
      <c r="B580">
        <f>HYPERLINK("https://www.suredividend.com/sure-analysis-CHRW/","C.H. Robinson Worldwide, Inc.")</f>
        <v>0</v>
      </c>
      <c r="C580" t="s">
        <v>3183</v>
      </c>
      <c r="D580">
        <v>81.43000000000001</v>
      </c>
      <c r="E580">
        <v>0.02996438658970895</v>
      </c>
      <c r="F580">
        <v>0.1090909090909089</v>
      </c>
      <c r="G580">
        <v>0.04057159395880827</v>
      </c>
      <c r="H580">
        <v>2.397348200748134</v>
      </c>
      <c r="I580">
        <v>9481.005971</v>
      </c>
      <c r="J580">
        <v>17.7481120680347</v>
      </c>
      <c r="K580">
        <v>0.5448518638063941</v>
      </c>
      <c r="L580">
        <v>0.8484649995990811</v>
      </c>
      <c r="M580">
        <v>104.64</v>
      </c>
      <c r="N580">
        <v>80.17</v>
      </c>
    </row>
    <row r="581" spans="1:14">
      <c r="A581" s="1" t="s">
        <v>593</v>
      </c>
      <c r="B581">
        <f>HYPERLINK("https://www.suredividend.com/sure-analysis-research-database/","Chico`s Fas, Inc.")</f>
        <v>0</v>
      </c>
      <c r="C581" t="s">
        <v>3186</v>
      </c>
      <c r="D581">
        <v>7.52</v>
      </c>
      <c r="E581">
        <v>0</v>
      </c>
      <c r="F581" t="s">
        <v>3182</v>
      </c>
      <c r="G581" t="s">
        <v>3182</v>
      </c>
      <c r="H581">
        <v>0</v>
      </c>
      <c r="I581">
        <v>928.251293</v>
      </c>
      <c r="J581">
        <v>7.075247859630935</v>
      </c>
      <c r="K581">
        <v>0</v>
      </c>
      <c r="L581">
        <v>1.32759532773929</v>
      </c>
      <c r="M581">
        <v>7.53</v>
      </c>
      <c r="N581">
        <v>4.33</v>
      </c>
    </row>
    <row r="582" spans="1:14">
      <c r="A582" s="1" t="s">
        <v>594</v>
      </c>
      <c r="B582">
        <f>HYPERLINK("https://www.suredividend.com/sure-analysis-research-database/","Charter Communications Inc.")</f>
        <v>0</v>
      </c>
      <c r="C582" t="s">
        <v>3191</v>
      </c>
      <c r="D582">
        <v>412.62</v>
      </c>
      <c r="E582">
        <v>0</v>
      </c>
      <c r="F582" t="s">
        <v>3182</v>
      </c>
      <c r="G582" t="s">
        <v>3182</v>
      </c>
      <c r="H582">
        <v>0</v>
      </c>
      <c r="I582">
        <v>61034.867997</v>
      </c>
      <c r="J582">
        <v>12.99997188428115</v>
      </c>
      <c r="K582">
        <v>0</v>
      </c>
      <c r="L582">
        <v>1.246092541259832</v>
      </c>
      <c r="M582">
        <v>458.3</v>
      </c>
      <c r="N582">
        <v>302.21</v>
      </c>
    </row>
    <row r="583" spans="1:14">
      <c r="A583" s="1" t="s">
        <v>595</v>
      </c>
      <c r="B583">
        <f>HYPERLINK("https://www.suredividend.com/sure-analysis-research-database/","Chuy`s Holdings Inc")</f>
        <v>0</v>
      </c>
      <c r="C583" t="s">
        <v>3186</v>
      </c>
      <c r="D583">
        <v>33.83</v>
      </c>
      <c r="E583">
        <v>0</v>
      </c>
      <c r="F583" t="s">
        <v>3182</v>
      </c>
      <c r="G583" t="s">
        <v>3182</v>
      </c>
      <c r="H583">
        <v>0</v>
      </c>
      <c r="I583">
        <v>610.244282</v>
      </c>
      <c r="J583">
        <v>23.09606698281735</v>
      </c>
      <c r="K583">
        <v>0</v>
      </c>
      <c r="L583">
        <v>0.724735843568666</v>
      </c>
      <c r="M583">
        <v>43.17</v>
      </c>
      <c r="N583">
        <v>27.7</v>
      </c>
    </row>
    <row r="584" spans="1:14">
      <c r="A584" s="1" t="s">
        <v>596</v>
      </c>
      <c r="B584">
        <f>HYPERLINK("https://www.suredividend.com/sure-analysis-CI/","Cigna Group (The)")</f>
        <v>0</v>
      </c>
      <c r="C584" t="s">
        <v>3180</v>
      </c>
      <c r="D584">
        <v>318.89</v>
      </c>
      <c r="E584">
        <v>0.01542851767067014</v>
      </c>
      <c r="F584" t="s">
        <v>3182</v>
      </c>
      <c r="G584" t="s">
        <v>3182</v>
      </c>
      <c r="H584">
        <v>4.778399976605838</v>
      </c>
      <c r="I584">
        <v>94385.10524999999</v>
      </c>
      <c r="J584">
        <v>14.18684882761912</v>
      </c>
      <c r="K584">
        <v>0.2170027237332352</v>
      </c>
      <c r="L584">
        <v>0.4085804180572361</v>
      </c>
      <c r="M584">
        <v>335.58</v>
      </c>
      <c r="N584">
        <v>238.31</v>
      </c>
    </row>
    <row r="585" spans="1:14">
      <c r="A585" s="1" t="s">
        <v>597</v>
      </c>
      <c r="B585">
        <f>HYPERLINK("https://www.suredividend.com/sure-analysis-research-database/","Citizens, Inc.")</f>
        <v>0</v>
      </c>
      <c r="C585" t="s">
        <v>3184</v>
      </c>
      <c r="D585">
        <v>3.07</v>
      </c>
      <c r="E585">
        <v>0</v>
      </c>
      <c r="F585" t="s">
        <v>3182</v>
      </c>
      <c r="G585" t="s">
        <v>3182</v>
      </c>
      <c r="H585">
        <v>0</v>
      </c>
      <c r="I585">
        <v>152.32528</v>
      </c>
      <c r="J585">
        <v>16.48363595390109</v>
      </c>
      <c r="K585">
        <v>0</v>
      </c>
      <c r="L585">
        <v>0.679562129701758</v>
      </c>
      <c r="M585">
        <v>4</v>
      </c>
      <c r="N585">
        <v>1.64</v>
      </c>
    </row>
    <row r="586" spans="1:14">
      <c r="A586" s="1" t="s">
        <v>598</v>
      </c>
      <c r="B586">
        <f>HYPERLINK("https://www.suredividend.com/sure-analysis-research-database/","CIENA Corp.")</f>
        <v>0</v>
      </c>
      <c r="C586" t="s">
        <v>3185</v>
      </c>
      <c r="D586">
        <v>42.82</v>
      </c>
      <c r="E586">
        <v>0</v>
      </c>
      <c r="F586" t="s">
        <v>3182</v>
      </c>
      <c r="G586" t="s">
        <v>3182</v>
      </c>
      <c r="H586">
        <v>0</v>
      </c>
      <c r="I586">
        <v>6330.609641</v>
      </c>
      <c r="J586">
        <v>28.60995078974841</v>
      </c>
      <c r="K586">
        <v>0</v>
      </c>
      <c r="L586">
        <v>1.130873461879623</v>
      </c>
      <c r="M586">
        <v>54.25</v>
      </c>
      <c r="N586">
        <v>39.94</v>
      </c>
    </row>
    <row r="587" spans="1:14">
      <c r="A587" s="1" t="s">
        <v>599</v>
      </c>
      <c r="B587">
        <f>HYPERLINK("https://www.suredividend.com/sure-analysis-CIM/","Chimera Investment Corp")</f>
        <v>0</v>
      </c>
      <c r="C587" t="s">
        <v>3187</v>
      </c>
      <c r="D587">
        <v>4.81</v>
      </c>
      <c r="E587">
        <v>0.1496881496881497</v>
      </c>
      <c r="F587">
        <v>-0.2173913043478262</v>
      </c>
      <c r="G587">
        <v>-0.1848068903940773</v>
      </c>
      <c r="H587">
        <v>0.7768564590839661</v>
      </c>
      <c r="I587">
        <v>1090.660891</v>
      </c>
      <c r="J587" t="s">
        <v>3182</v>
      </c>
      <c r="K587" t="s">
        <v>3182</v>
      </c>
      <c r="L587">
        <v>1.241673744687317</v>
      </c>
      <c r="M587">
        <v>7.03</v>
      </c>
      <c r="N587">
        <v>4.2</v>
      </c>
    </row>
    <row r="588" spans="1:14">
      <c r="A588" s="1" t="s">
        <v>600</v>
      </c>
      <c r="B588">
        <f>HYPERLINK("https://www.suredividend.com/sure-analysis-CINF/","Cincinnati Financial Corp.")</f>
        <v>0</v>
      </c>
      <c r="C588" t="s">
        <v>3184</v>
      </c>
      <c r="D588">
        <v>99.89</v>
      </c>
      <c r="E588">
        <v>0.03003303633997397</v>
      </c>
      <c r="F588">
        <v>0.08695652173913038</v>
      </c>
      <c r="G588">
        <v>0.0719069301576436</v>
      </c>
      <c r="H588">
        <v>2.883902322240015</v>
      </c>
      <c r="I588">
        <v>15673.512151</v>
      </c>
      <c r="J588">
        <v>9.368506964016737</v>
      </c>
      <c r="K588">
        <v>0.2718098324448648</v>
      </c>
      <c r="L588">
        <v>1.012585006361173</v>
      </c>
      <c r="M588">
        <v>126.05</v>
      </c>
      <c r="N588">
        <v>92.77</v>
      </c>
    </row>
    <row r="589" spans="1:14">
      <c r="A589" s="1" t="s">
        <v>601</v>
      </c>
      <c r="B589">
        <f>HYPERLINK("https://www.suredividend.com/sure-analysis-CIO/","City Office REIT Inc")</f>
        <v>0</v>
      </c>
      <c r="C589" t="s">
        <v>3187</v>
      </c>
      <c r="D589">
        <v>4.08</v>
      </c>
      <c r="E589">
        <v>0.09803921568627451</v>
      </c>
      <c r="F589">
        <v>-0.5</v>
      </c>
      <c r="G589">
        <v>-0.1570798659572398</v>
      </c>
      <c r="H589">
        <v>0.7609525993307951</v>
      </c>
      <c r="I589">
        <v>162.94888</v>
      </c>
      <c r="J589" t="s">
        <v>3182</v>
      </c>
      <c r="K589" t="s">
        <v>3182</v>
      </c>
      <c r="L589">
        <v>1.310506940988264</v>
      </c>
      <c r="M589">
        <v>9.710000000000001</v>
      </c>
      <c r="N589">
        <v>3.46</v>
      </c>
    </row>
    <row r="590" spans="1:14">
      <c r="A590" s="1" t="s">
        <v>602</v>
      </c>
      <c r="B590">
        <f>HYPERLINK("https://www.suredividend.com/sure-analysis-research-database/","Circor International Inc")</f>
        <v>0</v>
      </c>
      <c r="C590" t="s">
        <v>3183</v>
      </c>
      <c r="D590">
        <v>56</v>
      </c>
      <c r="E590">
        <v>0</v>
      </c>
      <c r="F590" t="s">
        <v>3182</v>
      </c>
      <c r="G590" t="s">
        <v>3182</v>
      </c>
      <c r="H590">
        <v>0</v>
      </c>
      <c r="I590">
        <v>1141.939008</v>
      </c>
      <c r="J590">
        <v>40.88428656331675</v>
      </c>
      <c r="K590">
        <v>0</v>
      </c>
      <c r="L590">
        <v>1.381934889203435</v>
      </c>
      <c r="M590">
        <v>56.48</v>
      </c>
      <c r="N590">
        <v>17.15</v>
      </c>
    </row>
    <row r="591" spans="1:14">
      <c r="A591" s="1" t="s">
        <v>603</v>
      </c>
      <c r="B591">
        <f>HYPERLINK("https://www.suredividend.com/sure-analysis-research-database/","CIT Group Inc")</f>
        <v>0</v>
      </c>
      <c r="C591" t="s">
        <v>3184</v>
      </c>
      <c r="D591">
        <v>53.5</v>
      </c>
      <c r="E591">
        <v>0.025891808250519</v>
      </c>
      <c r="F591" t="s">
        <v>3182</v>
      </c>
      <c r="G591" t="s">
        <v>3182</v>
      </c>
      <c r="H591">
        <v>1.3852117414028</v>
      </c>
      <c r="I591">
        <v>5305.57895</v>
      </c>
      <c r="J591">
        <v>7.74876434935008</v>
      </c>
      <c r="K591">
        <v>0.2016319856481514</v>
      </c>
      <c r="L591">
        <v>1.250922609319329</v>
      </c>
      <c r="M591">
        <v>56.21</v>
      </c>
      <c r="N591">
        <v>34.51</v>
      </c>
    </row>
    <row r="592" spans="1:14">
      <c r="A592" s="1" t="s">
        <v>604</v>
      </c>
      <c r="B592">
        <f>HYPERLINK("https://www.suredividend.com/sure-analysis-research-database/","Civista Bancshares Inc")</f>
        <v>0</v>
      </c>
      <c r="C592" t="s">
        <v>3184</v>
      </c>
      <c r="D592">
        <v>14.73</v>
      </c>
      <c r="E592">
        <v>0.039124185970307</v>
      </c>
      <c r="F592" t="s">
        <v>3182</v>
      </c>
      <c r="G592" t="s">
        <v>3182</v>
      </c>
      <c r="H592">
        <v>0.576299259342623</v>
      </c>
      <c r="I592">
        <v>231.980737</v>
      </c>
      <c r="J592">
        <v>5.171446280708012</v>
      </c>
      <c r="K592">
        <v>0.1973627600488435</v>
      </c>
      <c r="L592">
        <v>0.7369947112733071</v>
      </c>
      <c r="M592">
        <v>23.24</v>
      </c>
      <c r="N592">
        <v>13.51</v>
      </c>
    </row>
    <row r="593" spans="1:14">
      <c r="A593" s="1" t="s">
        <v>605</v>
      </c>
      <c r="B593">
        <f>HYPERLINK("https://www.suredividend.com/sure-analysis-research-database/","Compx International, Inc.")</f>
        <v>0</v>
      </c>
      <c r="C593" t="s">
        <v>3183</v>
      </c>
      <c r="D593">
        <v>18.65</v>
      </c>
      <c r="E593">
        <v>0.05188874288793201</v>
      </c>
      <c r="F593">
        <v>0</v>
      </c>
      <c r="G593">
        <v>0.2899366842116895</v>
      </c>
      <c r="H593">
        <v>0.9677250548599321</v>
      </c>
      <c r="I593">
        <v>229.651568</v>
      </c>
      <c r="J593">
        <v>11.56876570701728</v>
      </c>
      <c r="K593">
        <v>0.6010714626459206</v>
      </c>
      <c r="L593">
        <v>0.253273430341076</v>
      </c>
      <c r="M593">
        <v>27.23</v>
      </c>
      <c r="N593">
        <v>15.47</v>
      </c>
    </row>
    <row r="594" spans="1:14">
      <c r="A594" s="1" t="s">
        <v>606</v>
      </c>
      <c r="B594">
        <f>HYPERLINK("https://www.suredividend.com/sure-analysis-research-database/","Citizens Holding Co")</f>
        <v>0</v>
      </c>
      <c r="C594" t="s">
        <v>3184</v>
      </c>
      <c r="D594">
        <v>9.970000000000001</v>
      </c>
      <c r="E594">
        <v>0.07772135253255601</v>
      </c>
      <c r="F594">
        <v>-0.3333333333333333</v>
      </c>
      <c r="G594">
        <v>-0.07789208851827223</v>
      </c>
      <c r="H594">
        <v>0.7764363118002401</v>
      </c>
      <c r="I594">
        <v>56.108216</v>
      </c>
      <c r="J594">
        <v>0</v>
      </c>
      <c r="K594" t="s">
        <v>3182</v>
      </c>
      <c r="M594">
        <v>16.19</v>
      </c>
      <c r="N594">
        <v>9.710000000000001</v>
      </c>
    </row>
    <row r="595" spans="1:14">
      <c r="A595" s="1" t="s">
        <v>607</v>
      </c>
      <c r="B595">
        <f>HYPERLINK("https://www.suredividend.com/sure-analysis-research-database/","SEACOR Holdings Inc")</f>
        <v>0</v>
      </c>
      <c r="C595" t="s">
        <v>3189</v>
      </c>
      <c r="D595">
        <v>41.5</v>
      </c>
      <c r="E595">
        <v>0</v>
      </c>
      <c r="F595" t="s">
        <v>3182</v>
      </c>
      <c r="G595" t="s">
        <v>3182</v>
      </c>
      <c r="H595">
        <v>0</v>
      </c>
      <c r="I595">
        <v>850.6904060000001</v>
      </c>
      <c r="J595">
        <v>36.49308935695594</v>
      </c>
      <c r="K595">
        <v>0</v>
      </c>
      <c r="L595">
        <v>1.038796686823308</v>
      </c>
      <c r="M595">
        <v>43.73</v>
      </c>
      <c r="N595">
        <v>22.61</v>
      </c>
    </row>
    <row r="596" spans="1:14">
      <c r="A596" s="1" t="s">
        <v>608</v>
      </c>
      <c r="B596">
        <f>HYPERLINK("https://www.suredividend.com/sure-analysis-research-database/","CKX Lands Inc")</f>
        <v>0</v>
      </c>
      <c r="C596" t="s">
        <v>3189</v>
      </c>
      <c r="D596">
        <v>12.6321</v>
      </c>
      <c r="E596">
        <v>0</v>
      </c>
      <c r="F596" t="s">
        <v>3182</v>
      </c>
      <c r="G596" t="s">
        <v>3182</v>
      </c>
      <c r="H596">
        <v>0</v>
      </c>
      <c r="I596">
        <v>24.941159</v>
      </c>
      <c r="J596">
        <v>0</v>
      </c>
      <c r="K596" t="s">
        <v>3182</v>
      </c>
      <c r="M596">
        <v>13.25</v>
      </c>
      <c r="N596">
        <v>8.6</v>
      </c>
    </row>
    <row r="597" spans="1:14">
      <c r="A597" s="1" t="s">
        <v>609</v>
      </c>
      <c r="B597">
        <f>HYPERLINK("https://www.suredividend.com/sure-analysis-CL/","Colgate-Palmolive Co.")</f>
        <v>0</v>
      </c>
      <c r="C597" t="s">
        <v>3188</v>
      </c>
      <c r="D597">
        <v>74.8</v>
      </c>
      <c r="E597">
        <v>0.02566844919786096</v>
      </c>
      <c r="F597">
        <v>0.02127659574468077</v>
      </c>
      <c r="G597">
        <v>0.02706608708935176</v>
      </c>
      <c r="H597">
        <v>1.891747194005315</v>
      </c>
      <c r="I597">
        <v>61588.244973</v>
      </c>
      <c r="J597">
        <v>38.80796784700693</v>
      </c>
      <c r="K597">
        <v>0.9904435570708455</v>
      </c>
      <c r="L597">
        <v>0.325990835338899</v>
      </c>
      <c r="M597">
        <v>81.04000000000001</v>
      </c>
      <c r="N597">
        <v>67.18000000000001</v>
      </c>
    </row>
    <row r="598" spans="1:14">
      <c r="A598" s="1" t="s">
        <v>610</v>
      </c>
      <c r="B598">
        <f>HYPERLINK("https://www.suredividend.com/sure-analysis-research-database/","Clarus Corp")</f>
        <v>0</v>
      </c>
      <c r="C598" t="s">
        <v>3186</v>
      </c>
      <c r="D598">
        <v>5.81</v>
      </c>
      <c r="E598">
        <v>0.017064402165715</v>
      </c>
      <c r="F598">
        <v>0</v>
      </c>
      <c r="G598">
        <v>0</v>
      </c>
      <c r="H598">
        <v>0.09914417658280901</v>
      </c>
      <c r="I598">
        <v>217.703431</v>
      </c>
      <c r="J598" t="s">
        <v>3182</v>
      </c>
      <c r="K598" t="s">
        <v>3182</v>
      </c>
      <c r="L598">
        <v>1.217936139585671</v>
      </c>
      <c r="M598">
        <v>11.53</v>
      </c>
      <c r="N598">
        <v>5.27</v>
      </c>
    </row>
    <row r="599" spans="1:14">
      <c r="A599" s="1" t="s">
        <v>611</v>
      </c>
      <c r="B599">
        <f>HYPERLINK("https://www.suredividend.com/sure-analysis-research-database/","Core Laboratories Inc")</f>
        <v>0</v>
      </c>
      <c r="C599" t="s">
        <v>3189</v>
      </c>
      <c r="D599">
        <v>21.25</v>
      </c>
      <c r="E599">
        <v>0.001881178409103</v>
      </c>
      <c r="F599" t="s">
        <v>3182</v>
      </c>
      <c r="G599" t="s">
        <v>3182</v>
      </c>
      <c r="H599">
        <v>0.039975041193455</v>
      </c>
      <c r="I599">
        <v>991.958691</v>
      </c>
      <c r="J599">
        <v>41.8300873429198</v>
      </c>
      <c r="K599">
        <v>0.07941009374941399</v>
      </c>
      <c r="L599">
        <v>1.239149424364625</v>
      </c>
      <c r="M599">
        <v>27.93</v>
      </c>
      <c r="N599">
        <v>17.75</v>
      </c>
    </row>
    <row r="600" spans="1:14">
      <c r="A600" s="1" t="s">
        <v>612</v>
      </c>
      <c r="B600">
        <f>HYPERLINK("https://www.suredividend.com/sure-analysis-research-database/","Columbia Financial, Inc")</f>
        <v>0</v>
      </c>
      <c r="C600" t="s">
        <v>3184</v>
      </c>
      <c r="D600">
        <v>16.72</v>
      </c>
      <c r="E600">
        <v>0</v>
      </c>
      <c r="F600" t="s">
        <v>3182</v>
      </c>
      <c r="G600" t="s">
        <v>3182</v>
      </c>
      <c r="H600">
        <v>0</v>
      </c>
      <c r="I600">
        <v>1270.996281</v>
      </c>
      <c r="J600">
        <v>20.11165532034748</v>
      </c>
      <c r="K600">
        <v>0</v>
      </c>
      <c r="L600">
        <v>0.8202093812517151</v>
      </c>
      <c r="M600">
        <v>22.31</v>
      </c>
      <c r="N600">
        <v>14.11</v>
      </c>
    </row>
    <row r="601" spans="1:14">
      <c r="A601" s="1" t="s">
        <v>613</v>
      </c>
      <c r="B601">
        <f>HYPERLINK("https://www.suredividend.com/sure-analysis-research-database/","Collectors Universe Inc")</f>
        <v>0</v>
      </c>
      <c r="C601" t="s">
        <v>3183</v>
      </c>
      <c r="D601">
        <v>91.92</v>
      </c>
      <c r="E601">
        <v>0</v>
      </c>
      <c r="F601" t="s">
        <v>3182</v>
      </c>
      <c r="G601" t="s">
        <v>3182</v>
      </c>
      <c r="H601">
        <v>0.5249999910593031</v>
      </c>
      <c r="I601">
        <v>0</v>
      </c>
      <c r="J601">
        <v>0</v>
      </c>
      <c r="K601" t="s">
        <v>3182</v>
      </c>
    </row>
    <row r="602" spans="1:14">
      <c r="A602" s="1" t="s">
        <v>614</v>
      </c>
      <c r="B602">
        <f>HYPERLINK("https://www.suredividend.com/sure-analysis-research-database/","Cloudera Inc")</f>
        <v>0</v>
      </c>
      <c r="C602" t="s">
        <v>3185</v>
      </c>
      <c r="D602">
        <v>15.99</v>
      </c>
      <c r="E602">
        <v>0</v>
      </c>
      <c r="F602" t="s">
        <v>3182</v>
      </c>
      <c r="G602" t="s">
        <v>3182</v>
      </c>
      <c r="H602">
        <v>0</v>
      </c>
      <c r="I602">
        <v>4736.508359</v>
      </c>
      <c r="J602" t="s">
        <v>3182</v>
      </c>
      <c r="K602">
        <v>-0</v>
      </c>
      <c r="L602">
        <v>0.8643407652207561</v>
      </c>
      <c r="M602">
        <v>19.35</v>
      </c>
      <c r="N602">
        <v>9.34</v>
      </c>
    </row>
    <row r="603" spans="1:14">
      <c r="A603" s="1" t="s">
        <v>615</v>
      </c>
      <c r="B603">
        <f>HYPERLINK("https://www.suredividend.com/sure-analysis-research-database/","Chatham Lodging Trust")</f>
        <v>0</v>
      </c>
      <c r="C603" t="s">
        <v>3187</v>
      </c>
      <c r="D603">
        <v>9.960000000000001</v>
      </c>
      <c r="E603">
        <v>0.020881576037808</v>
      </c>
      <c r="F603">
        <v>-0.3636363636363635</v>
      </c>
      <c r="G603">
        <v>-0.08643159600651407</v>
      </c>
      <c r="H603">
        <v>0.207980497336575</v>
      </c>
      <c r="I603">
        <v>486.620471</v>
      </c>
      <c r="J603">
        <v>76.12961059449313</v>
      </c>
      <c r="K603">
        <v>1.596166518316002</v>
      </c>
      <c r="L603">
        <v>1.098357015412763</v>
      </c>
      <c r="M603">
        <v>14.07</v>
      </c>
      <c r="N603">
        <v>8.890000000000001</v>
      </c>
    </row>
    <row r="604" spans="1:14">
      <c r="A604" s="1" t="s">
        <v>616</v>
      </c>
      <c r="B604">
        <f>HYPERLINK("https://www.suredividend.com/sure-analysis-research-database/","Celldex Therapeutics Inc.")</f>
        <v>0</v>
      </c>
      <c r="C604" t="s">
        <v>3180</v>
      </c>
      <c r="D604">
        <v>24.01</v>
      </c>
      <c r="E604">
        <v>0</v>
      </c>
      <c r="F604" t="s">
        <v>3182</v>
      </c>
      <c r="G604" t="s">
        <v>3182</v>
      </c>
      <c r="H604">
        <v>0</v>
      </c>
      <c r="I604">
        <v>1134.731904</v>
      </c>
      <c r="J604" t="s">
        <v>3182</v>
      </c>
      <c r="K604">
        <v>-0</v>
      </c>
      <c r="L604">
        <v>1.228115792018128</v>
      </c>
      <c r="M604">
        <v>48.4</v>
      </c>
      <c r="N604">
        <v>22.11</v>
      </c>
    </row>
    <row r="605" spans="1:14">
      <c r="A605" s="1" t="s">
        <v>617</v>
      </c>
      <c r="B605">
        <f>HYPERLINK("https://www.suredividend.com/sure-analysis-research-database/","Cleveland-Cliffs Inc")</f>
        <v>0</v>
      </c>
      <c r="C605" t="s">
        <v>3181</v>
      </c>
      <c r="D605">
        <v>17.19</v>
      </c>
      <c r="E605">
        <v>0</v>
      </c>
      <c r="F605" t="s">
        <v>3182</v>
      </c>
      <c r="G605" t="s">
        <v>3182</v>
      </c>
      <c r="H605">
        <v>0</v>
      </c>
      <c r="I605">
        <v>8678.565334000001</v>
      </c>
      <c r="J605">
        <v>25.52519216011765</v>
      </c>
      <c r="K605">
        <v>0</v>
      </c>
      <c r="L605">
        <v>1.493031079569482</v>
      </c>
      <c r="M605">
        <v>22.83</v>
      </c>
      <c r="N605">
        <v>12.5</v>
      </c>
    </row>
    <row r="606" spans="1:14">
      <c r="A606" s="1" t="s">
        <v>618</v>
      </c>
      <c r="B606">
        <f>HYPERLINK("https://www.suredividend.com/sure-analysis-research-database/","Clearfield Inc")</f>
        <v>0</v>
      </c>
      <c r="C606" t="s">
        <v>3185</v>
      </c>
      <c r="D606">
        <v>25.8</v>
      </c>
      <c r="E606">
        <v>0</v>
      </c>
      <c r="F606" t="s">
        <v>3182</v>
      </c>
      <c r="G606" t="s">
        <v>3182</v>
      </c>
      <c r="H606">
        <v>0</v>
      </c>
      <c r="I606">
        <v>393.754672</v>
      </c>
      <c r="J606">
        <v>8.408351068782165</v>
      </c>
      <c r="K606">
        <v>0</v>
      </c>
      <c r="L606">
        <v>1.195898928888011</v>
      </c>
      <c r="M606">
        <v>134.9</v>
      </c>
      <c r="N606">
        <v>22.91</v>
      </c>
    </row>
    <row r="607" spans="1:14">
      <c r="A607" s="1" t="s">
        <v>619</v>
      </c>
      <c r="B607">
        <f>HYPERLINK("https://www.suredividend.com/sure-analysis-research-database/","CoreLogic Inc")</f>
        <v>0</v>
      </c>
      <c r="C607" t="s">
        <v>3185</v>
      </c>
      <c r="D607">
        <v>80</v>
      </c>
      <c r="E607">
        <v>0.012325071757486</v>
      </c>
      <c r="F607" t="s">
        <v>3182</v>
      </c>
      <c r="G607" t="s">
        <v>3182</v>
      </c>
      <c r="H607">
        <v>0.9860057405989241</v>
      </c>
      <c r="I607">
        <v>5889.47856</v>
      </c>
      <c r="J607">
        <v>18.3416855913148</v>
      </c>
      <c r="K607">
        <v>0.2428585567977646</v>
      </c>
      <c r="M607">
        <v>90.34</v>
      </c>
      <c r="N607">
        <v>44.22</v>
      </c>
    </row>
    <row r="608" spans="1:14">
      <c r="A608" s="1" t="s">
        <v>620</v>
      </c>
      <c r="B608">
        <f>HYPERLINK("https://www.suredividend.com/sure-analysis-research-database/","Clean Harbors, Inc.")</f>
        <v>0</v>
      </c>
      <c r="C608" t="s">
        <v>3183</v>
      </c>
      <c r="D608">
        <v>155.04</v>
      </c>
      <c r="E608">
        <v>0</v>
      </c>
      <c r="F608" t="s">
        <v>3182</v>
      </c>
      <c r="G608" t="s">
        <v>3182</v>
      </c>
      <c r="H608">
        <v>0</v>
      </c>
      <c r="I608">
        <v>8385.533905</v>
      </c>
      <c r="J608">
        <v>20.63166495777974</v>
      </c>
      <c r="K608">
        <v>0</v>
      </c>
      <c r="L608">
        <v>0.9256270027683601</v>
      </c>
      <c r="M608">
        <v>178.33</v>
      </c>
      <c r="N608">
        <v>109.36</v>
      </c>
    </row>
    <row r="609" spans="1:14">
      <c r="A609" s="1" t="s">
        <v>621</v>
      </c>
      <c r="B609">
        <f>HYPERLINK("https://www.suredividend.com/sure-analysis-research-database/","ClearSign Technologies Corp")</f>
        <v>0</v>
      </c>
      <c r="C609" t="s">
        <v>3183</v>
      </c>
      <c r="D609">
        <v>0.905</v>
      </c>
      <c r="E609">
        <v>0</v>
      </c>
      <c r="F609" t="s">
        <v>3182</v>
      </c>
      <c r="G609" t="s">
        <v>3182</v>
      </c>
      <c r="H609">
        <v>0</v>
      </c>
      <c r="I609">
        <v>34.898688</v>
      </c>
      <c r="J609">
        <v>0</v>
      </c>
      <c r="K609" t="s">
        <v>3182</v>
      </c>
      <c r="L609">
        <v>0.9946919741433281</v>
      </c>
      <c r="M609">
        <v>1.75</v>
      </c>
      <c r="N609">
        <v>0.5</v>
      </c>
    </row>
    <row r="610" spans="1:14">
      <c r="A610" s="1" t="s">
        <v>622</v>
      </c>
      <c r="B610">
        <f>HYPERLINK("https://www.suredividend.com/sure-analysis-research-database/","Clean Energy Fuels Corp")</f>
        <v>0</v>
      </c>
      <c r="C610" t="s">
        <v>3189</v>
      </c>
      <c r="D610">
        <v>3.84</v>
      </c>
      <c r="E610">
        <v>0</v>
      </c>
      <c r="F610" t="s">
        <v>3182</v>
      </c>
      <c r="G610" t="s">
        <v>3182</v>
      </c>
      <c r="H610">
        <v>0</v>
      </c>
      <c r="I610">
        <v>856.192585</v>
      </c>
      <c r="J610" t="s">
        <v>3182</v>
      </c>
      <c r="K610">
        <v>-0</v>
      </c>
      <c r="L610">
        <v>1.625405397414825</v>
      </c>
      <c r="M610">
        <v>7.73</v>
      </c>
      <c r="N610">
        <v>3.33</v>
      </c>
    </row>
    <row r="611" spans="1:14">
      <c r="A611" s="1" t="s">
        <v>623</v>
      </c>
      <c r="B611">
        <f>HYPERLINK("https://www.suredividend.com/sure-analysis-CLPR/","Clipper Realty Inc")</f>
        <v>0</v>
      </c>
      <c r="C611" t="s">
        <v>3187</v>
      </c>
      <c r="D611">
        <v>4.78</v>
      </c>
      <c r="E611">
        <v>0.07949790794979079</v>
      </c>
      <c r="F611">
        <v>0</v>
      </c>
      <c r="G611">
        <v>0</v>
      </c>
      <c r="H611">
        <v>0.3707641768553721</v>
      </c>
      <c r="I611">
        <v>76.78223</v>
      </c>
      <c r="J611">
        <v>0</v>
      </c>
      <c r="K611" t="s">
        <v>3182</v>
      </c>
      <c r="L611">
        <v>0.755452560295491</v>
      </c>
      <c r="M611">
        <v>7.39</v>
      </c>
      <c r="N611">
        <v>4.48</v>
      </c>
    </row>
    <row r="612" spans="1:14">
      <c r="A612" s="1" t="s">
        <v>624</v>
      </c>
      <c r="B612">
        <f>HYPERLINK("https://www.suredividend.com/sure-analysis-research-database/","Continental Resources Inc (OKLA)")</f>
        <v>0</v>
      </c>
      <c r="C612" t="s">
        <v>3189</v>
      </c>
      <c r="D612">
        <v>74.27</v>
      </c>
      <c r="E612">
        <v>0</v>
      </c>
      <c r="F612" t="s">
        <v>3182</v>
      </c>
      <c r="G612" t="s">
        <v>3182</v>
      </c>
      <c r="H612">
        <v>0.7867554645615901</v>
      </c>
      <c r="I612">
        <v>26961.475199</v>
      </c>
      <c r="J612">
        <v>0</v>
      </c>
      <c r="K612">
        <v>0.08011766441564054</v>
      </c>
    </row>
    <row r="613" spans="1:14">
      <c r="A613" s="1" t="s">
        <v>625</v>
      </c>
      <c r="B613">
        <f>HYPERLINK("https://www.suredividend.com/sure-analysis-research-database/","Cellectar Biosciences Inc")</f>
        <v>0</v>
      </c>
      <c r="C613" t="s">
        <v>3180</v>
      </c>
      <c r="D613">
        <v>2.4</v>
      </c>
      <c r="E613">
        <v>0</v>
      </c>
      <c r="F613" t="s">
        <v>3182</v>
      </c>
      <c r="G613" t="s">
        <v>3182</v>
      </c>
      <c r="H613">
        <v>0</v>
      </c>
      <c r="I613">
        <v>23.864122</v>
      </c>
      <c r="J613">
        <v>0</v>
      </c>
      <c r="K613" t="s">
        <v>3182</v>
      </c>
      <c r="L613">
        <v>1.014001192982668</v>
      </c>
      <c r="M613">
        <v>3.15</v>
      </c>
      <c r="N613">
        <v>1.25</v>
      </c>
    </row>
    <row r="614" spans="1:14">
      <c r="A614" s="1" t="s">
        <v>626</v>
      </c>
      <c r="B614">
        <f>HYPERLINK("https://www.suredividend.com/sure-analysis-research-database/","ClearOne Inc")</f>
        <v>0</v>
      </c>
      <c r="C614" t="s">
        <v>3185</v>
      </c>
      <c r="D614">
        <v>0.6697000000000001</v>
      </c>
      <c r="E614">
        <v>0</v>
      </c>
      <c r="F614" t="s">
        <v>3182</v>
      </c>
      <c r="G614" t="s">
        <v>3182</v>
      </c>
      <c r="H614">
        <v>0</v>
      </c>
      <c r="I614">
        <v>16.045328</v>
      </c>
      <c r="J614">
        <v>0</v>
      </c>
      <c r="K614" t="s">
        <v>3182</v>
      </c>
      <c r="L614">
        <v>0.280902133007645</v>
      </c>
      <c r="M614">
        <v>1.22</v>
      </c>
      <c r="N614">
        <v>0.1563</v>
      </c>
    </row>
    <row r="615" spans="1:14">
      <c r="A615" s="1" t="s">
        <v>627</v>
      </c>
      <c r="B615">
        <f>HYPERLINK("https://www.suredividend.com/sure-analysis-research-database/","Clovis Oncology Inc")</f>
        <v>0</v>
      </c>
      <c r="C615" t="s">
        <v>3180</v>
      </c>
      <c r="D615">
        <v>0.08120000000000001</v>
      </c>
      <c r="E615">
        <v>0</v>
      </c>
      <c r="F615" t="s">
        <v>3182</v>
      </c>
      <c r="G615" t="s">
        <v>3182</v>
      </c>
      <c r="H615">
        <v>0</v>
      </c>
      <c r="I615">
        <v>0</v>
      </c>
      <c r="J615">
        <v>0</v>
      </c>
      <c r="K615" t="s">
        <v>3182</v>
      </c>
    </row>
    <row r="616" spans="1:14">
      <c r="A616" s="1" t="s">
        <v>628</v>
      </c>
      <c r="B616">
        <f>HYPERLINK("https://www.suredividend.com/sure-analysis-research-database/","Clearwater Paper Corp")</f>
        <v>0</v>
      </c>
      <c r="C616" t="s">
        <v>3181</v>
      </c>
      <c r="D616">
        <v>35.55</v>
      </c>
      <c r="E616">
        <v>0</v>
      </c>
      <c r="F616" t="s">
        <v>3182</v>
      </c>
      <c r="G616" t="s">
        <v>3182</v>
      </c>
      <c r="H616">
        <v>0</v>
      </c>
      <c r="I616">
        <v>588.8268440000001</v>
      </c>
      <c r="J616">
        <v>6.993192917458432</v>
      </c>
      <c r="K616">
        <v>0</v>
      </c>
      <c r="L616">
        <v>0.6166287996815381</v>
      </c>
      <c r="M616">
        <v>40.65</v>
      </c>
      <c r="N616">
        <v>29.22</v>
      </c>
    </row>
    <row r="617" spans="1:14">
      <c r="A617" s="1" t="s">
        <v>629</v>
      </c>
      <c r="B617">
        <f>HYPERLINK("https://www.suredividend.com/sure-analysis-CLX/","Clorox Co.")</f>
        <v>0</v>
      </c>
      <c r="C617" t="s">
        <v>3188</v>
      </c>
      <c r="D617">
        <v>123.01</v>
      </c>
      <c r="E617">
        <v>0.03902121778717177</v>
      </c>
      <c r="F617">
        <v>0.01694915254237284</v>
      </c>
      <c r="G617">
        <v>0.04563955259127317</v>
      </c>
      <c r="H617">
        <v>4.699571486702891</v>
      </c>
      <c r="I617">
        <v>15260.509645</v>
      </c>
      <c r="J617">
        <v>102.4195278186577</v>
      </c>
      <c r="K617">
        <v>3.916309572252409</v>
      </c>
      <c r="L617">
        <v>0.339685846804518</v>
      </c>
      <c r="M617">
        <v>175.16</v>
      </c>
      <c r="N617">
        <v>114.69</v>
      </c>
    </row>
    <row r="618" spans="1:14">
      <c r="A618" s="1" t="s">
        <v>630</v>
      </c>
      <c r="B618">
        <f>HYPERLINK("https://www.suredividend.com/sure-analysis-CMA/","Comerica, Inc.")</f>
        <v>0</v>
      </c>
      <c r="C618" t="s">
        <v>3184</v>
      </c>
      <c r="D618">
        <v>42.18</v>
      </c>
      <c r="E618">
        <v>0.06733048838311996</v>
      </c>
      <c r="F618">
        <v>0.04411764705882337</v>
      </c>
      <c r="G618">
        <v>0.03424021252947318</v>
      </c>
      <c r="H618">
        <v>2.74303480449801</v>
      </c>
      <c r="I618">
        <v>5562.39521</v>
      </c>
      <c r="J618">
        <v>4.758250821351583</v>
      </c>
      <c r="K618">
        <v>0.3120631176903311</v>
      </c>
      <c r="L618">
        <v>1.791348912161352</v>
      </c>
      <c r="M618">
        <v>73.61</v>
      </c>
      <c r="N618">
        <v>27.49</v>
      </c>
    </row>
    <row r="619" spans="1:14">
      <c r="A619" s="1" t="s">
        <v>631</v>
      </c>
      <c r="B619">
        <f>HYPERLINK("https://www.suredividend.com/sure-analysis-research-database/","Commercial Metals Co.")</f>
        <v>0</v>
      </c>
      <c r="C619" t="s">
        <v>3181</v>
      </c>
      <c r="D619">
        <v>45.36</v>
      </c>
      <c r="E619">
        <v>0.014034221950541</v>
      </c>
      <c r="F619">
        <v>0</v>
      </c>
      <c r="G619">
        <v>0.05922384104881218</v>
      </c>
      <c r="H619">
        <v>0.63659230767658</v>
      </c>
      <c r="I619">
        <v>5302.81842</v>
      </c>
      <c r="J619">
        <v>6.167789174281195</v>
      </c>
      <c r="K619">
        <v>0.08780583554159725</v>
      </c>
      <c r="L619">
        <v>1.220581416921792</v>
      </c>
      <c r="M619">
        <v>57.83</v>
      </c>
      <c r="N619">
        <v>39.69</v>
      </c>
    </row>
    <row r="620" spans="1:14">
      <c r="A620" s="1" t="s">
        <v>632</v>
      </c>
      <c r="B620">
        <f>HYPERLINK("https://www.suredividend.com/sure-analysis-research-database/","Columbus Mckinnon Corp.")</f>
        <v>0</v>
      </c>
      <c r="C620" t="s">
        <v>3183</v>
      </c>
      <c r="D620">
        <v>32.21</v>
      </c>
      <c r="E620">
        <v>0.006499580709046</v>
      </c>
      <c r="F620">
        <v>0</v>
      </c>
      <c r="G620">
        <v>0.06961037572506878</v>
      </c>
      <c r="H620">
        <v>0.209351494638384</v>
      </c>
      <c r="I620">
        <v>925.215662</v>
      </c>
      <c r="J620">
        <v>18.762104553566</v>
      </c>
      <c r="K620">
        <v>0.1224277746423298</v>
      </c>
      <c r="L620">
        <v>1.332712256346544</v>
      </c>
      <c r="M620">
        <v>42.71</v>
      </c>
      <c r="N620">
        <v>27.69</v>
      </c>
    </row>
    <row r="621" spans="1:14">
      <c r="A621" s="1" t="s">
        <v>633</v>
      </c>
      <c r="B621">
        <f>HYPERLINK("https://www.suredividend.com/sure-analysis-CMCSA/","Comcast Corp")</f>
        <v>0</v>
      </c>
      <c r="C621" t="s">
        <v>3191</v>
      </c>
      <c r="D621">
        <v>42.5</v>
      </c>
      <c r="E621">
        <v>0.02729411764705882</v>
      </c>
      <c r="F621">
        <v>0.07407407407407396</v>
      </c>
      <c r="G621">
        <v>0.08825051007784368</v>
      </c>
      <c r="H621">
        <v>1.123080698427132</v>
      </c>
      <c r="I621">
        <v>170664.503395</v>
      </c>
      <c r="J621">
        <v>11.26349679217265</v>
      </c>
      <c r="K621">
        <v>0.3119668606742033</v>
      </c>
      <c r="L621">
        <v>0.9773169072339771</v>
      </c>
      <c r="M621">
        <v>46.84</v>
      </c>
      <c r="N621">
        <v>29.32</v>
      </c>
    </row>
    <row r="622" spans="1:14">
      <c r="A622" s="1" t="s">
        <v>634</v>
      </c>
      <c r="B622">
        <f>HYPERLINK("https://www.suredividend.com/sure-analysis-research-database/","Creative Media &amp; Community Trust")</f>
        <v>0</v>
      </c>
      <c r="C622" t="s">
        <v>3187</v>
      </c>
      <c r="D622">
        <v>3.95</v>
      </c>
      <c r="E622">
        <v>0.101150547275652</v>
      </c>
      <c r="F622">
        <v>0</v>
      </c>
      <c r="G622">
        <v>-0.07423281511916258</v>
      </c>
      <c r="H622">
        <v>0.399544661738827</v>
      </c>
      <c r="I622">
        <v>90.007627</v>
      </c>
      <c r="J622">
        <v>0</v>
      </c>
      <c r="K622" t="s">
        <v>3182</v>
      </c>
      <c r="M622">
        <v>5.89</v>
      </c>
      <c r="N622">
        <v>3.55</v>
      </c>
    </row>
    <row r="623" spans="1:14">
      <c r="A623" s="1" t="s">
        <v>635</v>
      </c>
      <c r="B623">
        <f>HYPERLINK("https://www.suredividend.com/sure-analysis-research-database/","Cantel Medical Corp")</f>
        <v>0</v>
      </c>
      <c r="C623" t="s">
        <v>3180</v>
      </c>
      <c r="D623">
        <v>80.37</v>
      </c>
      <c r="E623">
        <v>0</v>
      </c>
      <c r="F623" t="s">
        <v>3182</v>
      </c>
      <c r="G623" t="s">
        <v>3182</v>
      </c>
      <c r="H623">
        <v>0</v>
      </c>
      <c r="I623">
        <v>3400.793299</v>
      </c>
      <c r="J623">
        <v>72.76447565761603</v>
      </c>
      <c r="K623">
        <v>0</v>
      </c>
      <c r="L623">
        <v>1.250781572994958</v>
      </c>
      <c r="M623">
        <v>89.76000000000001</v>
      </c>
      <c r="N623">
        <v>39.4</v>
      </c>
    </row>
    <row r="624" spans="1:14">
      <c r="A624" s="1" t="s">
        <v>636</v>
      </c>
      <c r="B624">
        <f>HYPERLINK("https://www.suredividend.com/sure-analysis-CME/","CME Group Inc")</f>
        <v>0</v>
      </c>
      <c r="C624" t="s">
        <v>3184</v>
      </c>
      <c r="D624">
        <v>212.57</v>
      </c>
      <c r="E624">
        <v>0.02069906383779461</v>
      </c>
      <c r="F624">
        <v>0.1000000000000001</v>
      </c>
      <c r="G624">
        <v>0.0796084730466029</v>
      </c>
      <c r="H624">
        <v>8.580824951739267</v>
      </c>
      <c r="I624">
        <v>76461.429</v>
      </c>
      <c r="J624">
        <v>25.99314284742997</v>
      </c>
      <c r="K624">
        <v>1.047719774327139</v>
      </c>
      <c r="L624">
        <v>0.350978768444174</v>
      </c>
      <c r="M624">
        <v>221.76</v>
      </c>
      <c r="N624">
        <v>159.21</v>
      </c>
    </row>
    <row r="625" spans="1:14">
      <c r="A625" s="1" t="s">
        <v>637</v>
      </c>
      <c r="B625">
        <f>HYPERLINK("https://www.suredividend.com/sure-analysis-research-database/","Chipotle Mexican Grill")</f>
        <v>0</v>
      </c>
      <c r="C625" t="s">
        <v>3186</v>
      </c>
      <c r="D625">
        <v>2035.37</v>
      </c>
      <c r="E625">
        <v>0</v>
      </c>
      <c r="F625" t="s">
        <v>3182</v>
      </c>
      <c r="G625" t="s">
        <v>3182</v>
      </c>
      <c r="H625">
        <v>0</v>
      </c>
      <c r="I625">
        <v>55860.037624</v>
      </c>
      <c r="J625">
        <v>47.7282020203729</v>
      </c>
      <c r="K625">
        <v>0</v>
      </c>
      <c r="L625">
        <v>0.927045704389287</v>
      </c>
      <c r="M625">
        <v>2175.01</v>
      </c>
      <c r="N625">
        <v>1344.05</v>
      </c>
    </row>
    <row r="626" spans="1:14">
      <c r="A626" s="1" t="s">
        <v>638</v>
      </c>
      <c r="B626">
        <f>HYPERLINK("https://www.suredividend.com/sure-analysis-CMI/","Cummins Inc.")</f>
        <v>0</v>
      </c>
      <c r="C626" t="s">
        <v>3183</v>
      </c>
      <c r="D626">
        <v>217.94</v>
      </c>
      <c r="E626">
        <v>0.03110947967330458</v>
      </c>
      <c r="F626">
        <v>0.07006369426751591</v>
      </c>
      <c r="G626">
        <v>0.08063961960040023</v>
      </c>
      <c r="H626">
        <v>6.323818799311965</v>
      </c>
      <c r="I626">
        <v>30870.575294</v>
      </c>
      <c r="J626">
        <v>12.14898673524597</v>
      </c>
      <c r="K626">
        <v>0.3540772004094045</v>
      </c>
      <c r="L626">
        <v>0.826120317033566</v>
      </c>
      <c r="M626">
        <v>263.38</v>
      </c>
      <c r="N626">
        <v>201.72</v>
      </c>
    </row>
    <row r="627" spans="1:14">
      <c r="A627" s="1" t="s">
        <v>639</v>
      </c>
      <c r="B627">
        <f>HYPERLINK("https://www.suredividend.com/sure-analysis-research-database/","Capstead Mortgage Corp.")</f>
        <v>0</v>
      </c>
      <c r="C627" t="s">
        <v>3187</v>
      </c>
      <c r="D627">
        <v>6.5</v>
      </c>
      <c r="E627">
        <v>0.077874537735778</v>
      </c>
      <c r="F627" t="s">
        <v>3182</v>
      </c>
      <c r="G627" t="s">
        <v>3182</v>
      </c>
      <c r="H627">
        <v>0.506184495282563</v>
      </c>
      <c r="I627">
        <v>629.69114</v>
      </c>
      <c r="J627">
        <v>9.350645065486621</v>
      </c>
      <c r="K627">
        <v>0.7213688118605716</v>
      </c>
      <c r="L627">
        <v>0.6896066183388661</v>
      </c>
      <c r="M627">
        <v>6.95</v>
      </c>
      <c r="N627">
        <v>4.64</v>
      </c>
    </row>
    <row r="628" spans="1:14">
      <c r="A628" s="1" t="s">
        <v>640</v>
      </c>
      <c r="B628">
        <f>HYPERLINK("https://www.suredividend.com/sure-analysis-CMP/","Compass Minerals International Inc")</f>
        <v>0</v>
      </c>
      <c r="C628" t="s">
        <v>3181</v>
      </c>
      <c r="D628">
        <v>24.18</v>
      </c>
      <c r="E628">
        <v>0.02481389578163772</v>
      </c>
      <c r="F628">
        <v>0</v>
      </c>
      <c r="G628">
        <v>-0.2692787241890373</v>
      </c>
      <c r="H628">
        <v>0.595810642621597</v>
      </c>
      <c r="I628">
        <v>995.1188079999999</v>
      </c>
      <c r="J628">
        <v>96.61347653592232</v>
      </c>
      <c r="K628">
        <v>2.257713689358078</v>
      </c>
      <c r="L628">
        <v>1.524258197375516</v>
      </c>
      <c r="M628">
        <v>47.04</v>
      </c>
      <c r="N628">
        <v>23.67</v>
      </c>
    </row>
    <row r="629" spans="1:14">
      <c r="A629" s="1" t="s">
        <v>641</v>
      </c>
      <c r="B629">
        <f>HYPERLINK("https://www.suredividend.com/sure-analysis-research-database/","Chimerix Inc")</f>
        <v>0</v>
      </c>
      <c r="C629" t="s">
        <v>3180</v>
      </c>
      <c r="D629">
        <v>0.98</v>
      </c>
      <c r="E629">
        <v>0</v>
      </c>
      <c r="F629" t="s">
        <v>3182</v>
      </c>
      <c r="G629" t="s">
        <v>3182</v>
      </c>
      <c r="H629">
        <v>0</v>
      </c>
      <c r="I629">
        <v>86.811896</v>
      </c>
      <c r="J629">
        <v>0.481074931339842</v>
      </c>
      <c r="K629">
        <v>0</v>
      </c>
      <c r="L629">
        <v>1.448268702062326</v>
      </c>
      <c r="M629">
        <v>2.4</v>
      </c>
      <c r="N629">
        <v>0.915</v>
      </c>
    </row>
    <row r="630" spans="1:14">
      <c r="A630" s="1" t="s">
        <v>642</v>
      </c>
      <c r="B630">
        <f>HYPERLINK("https://www.suredividend.com/sure-analysis-CMS/","CMS Energy Corporation")</f>
        <v>0</v>
      </c>
      <c r="C630" t="s">
        <v>3190</v>
      </c>
      <c r="D630">
        <v>55.51</v>
      </c>
      <c r="E630">
        <v>0.0351288056206089</v>
      </c>
      <c r="F630">
        <v>0.05978260869565233</v>
      </c>
      <c r="G630">
        <v>0.04970831195077574</v>
      </c>
      <c r="H630">
        <v>1.925340176488723</v>
      </c>
      <c r="I630">
        <v>16195.795604</v>
      </c>
      <c r="J630">
        <v>21.91582625733423</v>
      </c>
      <c r="K630">
        <v>0.7580079434994973</v>
      </c>
      <c r="L630">
        <v>0.51837910965288</v>
      </c>
      <c r="M630">
        <v>63.58</v>
      </c>
      <c r="N630">
        <v>49.43</v>
      </c>
    </row>
    <row r="631" spans="1:14">
      <c r="A631" s="1" t="s">
        <v>643</v>
      </c>
      <c r="B631">
        <f>HYPERLINK("https://www.suredividend.com/sure-analysis-research-database/","Core Molding Technologies")</f>
        <v>0</v>
      </c>
      <c r="C631" t="s">
        <v>3181</v>
      </c>
      <c r="D631">
        <v>25.17</v>
      </c>
      <c r="E631">
        <v>0</v>
      </c>
      <c r="F631" t="s">
        <v>3182</v>
      </c>
      <c r="G631" t="s">
        <v>3182</v>
      </c>
      <c r="H631">
        <v>0</v>
      </c>
      <c r="I631">
        <v>226.560179</v>
      </c>
      <c r="J631">
        <v>0</v>
      </c>
      <c r="K631" t="s">
        <v>3182</v>
      </c>
      <c r="L631">
        <v>0.483276175920087</v>
      </c>
      <c r="M631">
        <v>30.09</v>
      </c>
      <c r="N631">
        <v>9.82</v>
      </c>
    </row>
    <row r="632" spans="1:14">
      <c r="A632" s="1" t="s">
        <v>644</v>
      </c>
      <c r="B632">
        <f>HYPERLINK("https://www.suredividend.com/sure-analysis-research-database/","Comtech Telecommunications Corp.")</f>
        <v>0</v>
      </c>
      <c r="C632" t="s">
        <v>3185</v>
      </c>
      <c r="D632">
        <v>12.6</v>
      </c>
      <c r="E632">
        <v>0.007936508054771</v>
      </c>
      <c r="F632" t="s">
        <v>3182</v>
      </c>
      <c r="G632" t="s">
        <v>3182</v>
      </c>
      <c r="H632">
        <v>0.100000001490116</v>
      </c>
      <c r="I632">
        <v>354.406475</v>
      </c>
      <c r="J632" t="s">
        <v>3182</v>
      </c>
      <c r="K632" t="s">
        <v>3182</v>
      </c>
      <c r="L632">
        <v>1.025413387407523</v>
      </c>
      <c r="M632">
        <v>16.87</v>
      </c>
      <c r="N632">
        <v>7.91</v>
      </c>
    </row>
    <row r="633" spans="1:14">
      <c r="A633" s="1" t="s">
        <v>645</v>
      </c>
      <c r="B633">
        <f>HYPERLINK("https://www.suredividend.com/sure-analysis-CNA/","CNA Financial Corp.")</f>
        <v>0</v>
      </c>
      <c r="C633" t="s">
        <v>3184</v>
      </c>
      <c r="D633">
        <v>40.42</v>
      </c>
      <c r="E633">
        <v>0.04156358238495794</v>
      </c>
      <c r="F633">
        <v>0.04999999999999982</v>
      </c>
      <c r="G633">
        <v>0.03713728933664795</v>
      </c>
      <c r="H633">
        <v>2.810600003030902</v>
      </c>
      <c r="I633">
        <v>10948.586621</v>
      </c>
      <c r="J633">
        <v>10.08157147375691</v>
      </c>
      <c r="K633">
        <v>0.7044110283285469</v>
      </c>
      <c r="L633">
        <v>0.522969964195647</v>
      </c>
      <c r="M633">
        <v>44.07</v>
      </c>
      <c r="N633">
        <v>35.43</v>
      </c>
    </row>
    <row r="634" spans="1:14">
      <c r="A634" s="1" t="s">
        <v>646</v>
      </c>
      <c r="B634">
        <f>HYPERLINK("https://www.suredividend.com/sure-analysis-research-database/","Century Bancorp, Inc.")</f>
        <v>0</v>
      </c>
      <c r="C634" t="s">
        <v>3184</v>
      </c>
      <c r="D634">
        <v>115.29</v>
      </c>
      <c r="E634">
        <v>0</v>
      </c>
      <c r="F634" t="s">
        <v>3182</v>
      </c>
      <c r="G634" t="s">
        <v>3182</v>
      </c>
      <c r="H634">
        <v>0.720000028610229</v>
      </c>
      <c r="I634">
        <v>0</v>
      </c>
      <c r="J634">
        <v>0</v>
      </c>
      <c r="K634">
        <v>0.08921933440027621</v>
      </c>
    </row>
    <row r="635" spans="1:14">
      <c r="A635" s="1" t="s">
        <v>647</v>
      </c>
      <c r="B635">
        <f>HYPERLINK("https://www.suredividend.com/sure-analysis-research-database/","Centene Corp.")</f>
        <v>0</v>
      </c>
      <c r="C635" t="s">
        <v>3180</v>
      </c>
      <c r="D635">
        <v>68.93000000000001</v>
      </c>
      <c r="E635">
        <v>0</v>
      </c>
      <c r="F635" t="s">
        <v>3182</v>
      </c>
      <c r="G635" t="s">
        <v>3182</v>
      </c>
      <c r="H635">
        <v>0</v>
      </c>
      <c r="I635">
        <v>36822.47493</v>
      </c>
      <c r="J635">
        <v>15.06647910392799</v>
      </c>
      <c r="K635">
        <v>0</v>
      </c>
      <c r="L635">
        <v>0.362076718186683</v>
      </c>
      <c r="M635">
        <v>87.84</v>
      </c>
      <c r="N635">
        <v>60.83</v>
      </c>
    </row>
    <row r="636" spans="1:14">
      <c r="A636" s="1" t="s">
        <v>648</v>
      </c>
      <c r="B636">
        <f>HYPERLINK("https://www.suredividend.com/sure-analysis-research-database/","Concert Pharmaceuticals Inc")</f>
        <v>0</v>
      </c>
      <c r="C636" t="s">
        <v>3180</v>
      </c>
      <c r="D636">
        <v>8.369999999999999</v>
      </c>
      <c r="E636">
        <v>0</v>
      </c>
      <c r="F636" t="s">
        <v>3182</v>
      </c>
      <c r="G636" t="s">
        <v>3182</v>
      </c>
      <c r="H636">
        <v>0</v>
      </c>
      <c r="I636">
        <v>520.711745</v>
      </c>
      <c r="J636">
        <v>0</v>
      </c>
      <c r="K636" t="s">
        <v>3182</v>
      </c>
      <c r="M636">
        <v>8.550000000000001</v>
      </c>
      <c r="N636">
        <v>2.66</v>
      </c>
    </row>
    <row r="637" spans="1:14">
      <c r="A637" s="1" t="s">
        <v>649</v>
      </c>
      <c r="B637">
        <f>HYPERLINK("https://www.suredividend.com/sure-analysis-research-database/","Conduent Inc")</f>
        <v>0</v>
      </c>
      <c r="C637" t="s">
        <v>3185</v>
      </c>
      <c r="D637">
        <v>2.61</v>
      </c>
      <c r="E637">
        <v>0</v>
      </c>
      <c r="F637" t="s">
        <v>3182</v>
      </c>
      <c r="G637" t="s">
        <v>3182</v>
      </c>
      <c r="H637">
        <v>0</v>
      </c>
      <c r="I637">
        <v>567.119326</v>
      </c>
      <c r="J637" t="s">
        <v>3182</v>
      </c>
      <c r="K637">
        <v>-0</v>
      </c>
      <c r="L637">
        <v>1.114105799519789</v>
      </c>
      <c r="M637">
        <v>4.95</v>
      </c>
      <c r="N637">
        <v>2.43</v>
      </c>
    </row>
    <row r="638" spans="1:14">
      <c r="A638" s="1" t="s">
        <v>650</v>
      </c>
      <c r="B638">
        <f>HYPERLINK("https://www.suredividend.com/sure-analysis-research-database/","Conifer Holdings Inc")</f>
        <v>0</v>
      </c>
      <c r="C638" t="s">
        <v>3184</v>
      </c>
      <c r="D638">
        <v>1.2</v>
      </c>
      <c r="E638">
        <v>0</v>
      </c>
      <c r="F638" t="s">
        <v>3182</v>
      </c>
      <c r="G638" t="s">
        <v>3182</v>
      </c>
      <c r="H638">
        <v>0</v>
      </c>
      <c r="I638">
        <v>14.667457</v>
      </c>
      <c r="J638">
        <v>0</v>
      </c>
      <c r="K638" t="s">
        <v>3182</v>
      </c>
      <c r="M638">
        <v>2.08</v>
      </c>
      <c r="N638">
        <v>1.07</v>
      </c>
    </row>
    <row r="639" spans="1:14">
      <c r="A639" s="1" t="s">
        <v>651</v>
      </c>
      <c r="B639">
        <f>HYPERLINK("https://www.suredividend.com/sure-analysis-research-database/","Cinemark Holdings Inc")</f>
        <v>0</v>
      </c>
      <c r="C639" t="s">
        <v>3191</v>
      </c>
      <c r="D639">
        <v>16.85</v>
      </c>
      <c r="E639">
        <v>0</v>
      </c>
      <c r="F639" t="s">
        <v>3182</v>
      </c>
      <c r="G639" t="s">
        <v>3182</v>
      </c>
      <c r="H639">
        <v>0</v>
      </c>
      <c r="I639">
        <v>2049.525992</v>
      </c>
      <c r="J639" t="s">
        <v>3182</v>
      </c>
      <c r="K639">
        <v>-0</v>
      </c>
      <c r="L639">
        <v>0.9900910816736721</v>
      </c>
      <c r="M639">
        <v>19.85</v>
      </c>
      <c r="N639">
        <v>8.279999999999999</v>
      </c>
    </row>
    <row r="640" spans="1:14">
      <c r="A640" s="1" t="s">
        <v>652</v>
      </c>
      <c r="B640">
        <f>HYPERLINK("https://www.suredividend.com/sure-analysis-research-database/","Conmed Corp.")</f>
        <v>0</v>
      </c>
      <c r="C640" t="s">
        <v>3180</v>
      </c>
      <c r="D640">
        <v>100.25</v>
      </c>
      <c r="E640">
        <v>0.007958501235252</v>
      </c>
      <c r="F640">
        <v>0</v>
      </c>
      <c r="G640">
        <v>0</v>
      </c>
      <c r="H640">
        <v>0.797839748834073</v>
      </c>
      <c r="I640">
        <v>3082.90795</v>
      </c>
      <c r="J640">
        <v>53.17925808580004</v>
      </c>
      <c r="K640">
        <v>0.4091485891456785</v>
      </c>
      <c r="L640">
        <v>1.49511630164496</v>
      </c>
      <c r="M640">
        <v>138.21</v>
      </c>
      <c r="N640">
        <v>71.98</v>
      </c>
    </row>
    <row r="641" spans="1:14">
      <c r="A641" s="1" t="s">
        <v>653</v>
      </c>
      <c r="B641">
        <f>HYPERLINK("https://www.suredividend.com/sure-analysis-research-database/","Cannae Holdings Inc")</f>
        <v>0</v>
      </c>
      <c r="C641" t="s">
        <v>3186</v>
      </c>
      <c r="D641">
        <v>16.98</v>
      </c>
      <c r="E641">
        <v>0</v>
      </c>
      <c r="F641" t="s">
        <v>3182</v>
      </c>
      <c r="G641" t="s">
        <v>3182</v>
      </c>
      <c r="H641">
        <v>0</v>
      </c>
      <c r="I641">
        <v>1245.855168</v>
      </c>
      <c r="J641" t="s">
        <v>3182</v>
      </c>
      <c r="K641">
        <v>-0</v>
      </c>
      <c r="L641">
        <v>1.45500774749547</v>
      </c>
      <c r="M641">
        <v>25.74</v>
      </c>
      <c r="N641">
        <v>15.93</v>
      </c>
    </row>
    <row r="642" spans="1:14">
      <c r="A642" s="1" t="s">
        <v>654</v>
      </c>
      <c r="B642">
        <f>HYPERLINK("https://www.suredividend.com/sure-analysis-research-database/","CNO Financial Group Inc")</f>
        <v>0</v>
      </c>
      <c r="C642" t="s">
        <v>3184</v>
      </c>
      <c r="D642">
        <v>24.02</v>
      </c>
      <c r="E642">
        <v>0.023926540975618</v>
      </c>
      <c r="F642">
        <v>0.0714285714285714</v>
      </c>
      <c r="G642">
        <v>0.08447177119769855</v>
      </c>
      <c r="H642">
        <v>0.5747155142343541</v>
      </c>
      <c r="I642">
        <v>2714.181022</v>
      </c>
      <c r="J642">
        <v>12.26471315969272</v>
      </c>
      <c r="K642">
        <v>0.3008981749918084</v>
      </c>
      <c r="L642">
        <v>1.098158442291454</v>
      </c>
      <c r="M642">
        <v>25.87</v>
      </c>
      <c r="N642">
        <v>19.7</v>
      </c>
    </row>
    <row r="643" spans="1:14">
      <c r="A643" s="1" t="s">
        <v>655</v>
      </c>
      <c r="B643">
        <f>HYPERLINK("https://www.suredividend.com/sure-analysis-research-database/","ConnectOne Bancorp Inc.")</f>
        <v>0</v>
      </c>
      <c r="C643" t="s">
        <v>3184</v>
      </c>
      <c r="D643">
        <v>17.61</v>
      </c>
      <c r="E643">
        <v>0.03615263150000701</v>
      </c>
      <c r="F643">
        <v>0.09677419354838723</v>
      </c>
      <c r="G643">
        <v>0.1778162221565904</v>
      </c>
      <c r="H643">
        <v>0.636647840715138</v>
      </c>
      <c r="I643">
        <v>685.70017</v>
      </c>
      <c r="J643">
        <v>6.754069677416177</v>
      </c>
      <c r="K643">
        <v>0.2458099771100919</v>
      </c>
      <c r="L643">
        <v>1.174370345629136</v>
      </c>
      <c r="M643">
        <v>25.64</v>
      </c>
      <c r="N643">
        <v>12.74</v>
      </c>
    </row>
    <row r="644" spans="1:14">
      <c r="A644" s="1" t="s">
        <v>656</v>
      </c>
      <c r="B644">
        <f>HYPERLINK("https://www.suredividend.com/sure-analysis-CNP/","Centerpoint Energy Inc.")</f>
        <v>0</v>
      </c>
      <c r="C644" t="s">
        <v>3190</v>
      </c>
      <c r="D644">
        <v>27.49</v>
      </c>
      <c r="E644">
        <v>0.02910149145143689</v>
      </c>
      <c r="F644">
        <v>0.05555555555555558</v>
      </c>
      <c r="G644">
        <v>-0.07296074886636328</v>
      </c>
      <c r="H644">
        <v>0.9301507851536001</v>
      </c>
      <c r="I644">
        <v>17352.335664</v>
      </c>
      <c r="J644">
        <v>21.77206482358845</v>
      </c>
      <c r="K644">
        <v>0.7382149088520635</v>
      </c>
      <c r="L644">
        <v>0.537628511758795</v>
      </c>
      <c r="M644">
        <v>31.22</v>
      </c>
      <c r="N644">
        <v>25.42</v>
      </c>
    </row>
    <row r="645" spans="1:14">
      <c r="A645" s="1" t="s">
        <v>657</v>
      </c>
      <c r="B645">
        <f>HYPERLINK("https://www.suredividend.com/sure-analysis-research-database/","Cornerstone Building Brands Inc")</f>
        <v>0</v>
      </c>
      <c r="C645" t="s">
        <v>3183</v>
      </c>
      <c r="D645">
        <v>24.66</v>
      </c>
      <c r="E645">
        <v>0</v>
      </c>
      <c r="F645" t="s">
        <v>3182</v>
      </c>
      <c r="G645" t="s">
        <v>3182</v>
      </c>
      <c r="H645">
        <v>0</v>
      </c>
      <c r="I645">
        <v>3140.549665</v>
      </c>
      <c r="J645">
        <v>4.125652290268975</v>
      </c>
      <c r="K645">
        <v>0</v>
      </c>
      <c r="L645">
        <v>0.379026239325039</v>
      </c>
      <c r="M645">
        <v>24.66</v>
      </c>
      <c r="N645">
        <v>13.51</v>
      </c>
    </row>
    <row r="646" spans="1:14">
      <c r="A646" s="1" t="s">
        <v>658</v>
      </c>
      <c r="B646">
        <f>HYPERLINK("https://www.suredividend.com/sure-analysis-CNS/","Cohen &amp; Steers Inc.")</f>
        <v>0</v>
      </c>
      <c r="C646" t="s">
        <v>3184</v>
      </c>
      <c r="D646">
        <v>55.3</v>
      </c>
      <c r="E646">
        <v>0.04122965641952984</v>
      </c>
      <c r="F646">
        <v>0.03636363636363638</v>
      </c>
      <c r="G646">
        <v>-0.222019033489677</v>
      </c>
      <c r="H646">
        <v>2.225017806117457</v>
      </c>
      <c r="I646">
        <v>2716.880318</v>
      </c>
      <c r="J646">
        <v>18.84628411417869</v>
      </c>
      <c r="K646">
        <v>0.7619923993552935</v>
      </c>
      <c r="L646">
        <v>1.261863694515465</v>
      </c>
      <c r="M646">
        <v>76.76000000000001</v>
      </c>
      <c r="N646">
        <v>50.05</v>
      </c>
    </row>
    <row r="647" spans="1:14">
      <c r="A647" s="1" t="s">
        <v>659</v>
      </c>
      <c r="B647">
        <f>HYPERLINK("https://www.suredividend.com/sure-analysis-research-database/","Consolidated Communications Holdings Inc")</f>
        <v>0</v>
      </c>
      <c r="C647" t="s">
        <v>3191</v>
      </c>
      <c r="D647">
        <v>4.2</v>
      </c>
      <c r="E647">
        <v>0</v>
      </c>
      <c r="F647" t="s">
        <v>3182</v>
      </c>
      <c r="G647" t="s">
        <v>3182</v>
      </c>
      <c r="H647">
        <v>0</v>
      </c>
      <c r="I647">
        <v>489.764205</v>
      </c>
      <c r="J647">
        <v>7.284363872982822</v>
      </c>
      <c r="K647">
        <v>0</v>
      </c>
      <c r="L647">
        <v>1.83279764091367</v>
      </c>
      <c r="M647">
        <v>5.45</v>
      </c>
      <c r="N647">
        <v>2.1</v>
      </c>
    </row>
    <row r="648" spans="1:14">
      <c r="A648" s="1" t="s">
        <v>660</v>
      </c>
      <c r="B648">
        <f>HYPERLINK("https://www.suredividend.com/sure-analysis-research-database/","Century Casinos Inc.")</f>
        <v>0</v>
      </c>
      <c r="C648" t="s">
        <v>3186</v>
      </c>
      <c r="D648">
        <v>4.49</v>
      </c>
      <c r="E648">
        <v>0</v>
      </c>
      <c r="F648" t="s">
        <v>3182</v>
      </c>
      <c r="G648" t="s">
        <v>3182</v>
      </c>
      <c r="H648">
        <v>0</v>
      </c>
      <c r="I648">
        <v>136.20384</v>
      </c>
      <c r="J648" t="s">
        <v>3182</v>
      </c>
      <c r="K648">
        <v>-0</v>
      </c>
      <c r="L648">
        <v>1.613994825304757</v>
      </c>
      <c r="M648">
        <v>10.41</v>
      </c>
      <c r="N648">
        <v>4.24</v>
      </c>
    </row>
    <row r="649" spans="1:14">
      <c r="A649" s="1" t="s">
        <v>661</v>
      </c>
      <c r="B649">
        <f>HYPERLINK("https://www.suredividend.com/sure-analysis-research-database/","CNX Resources Corp")</f>
        <v>0</v>
      </c>
      <c r="C649" t="s">
        <v>3189</v>
      </c>
      <c r="D649">
        <v>22.26</v>
      </c>
      <c r="E649">
        <v>0</v>
      </c>
      <c r="F649" t="s">
        <v>3182</v>
      </c>
      <c r="G649" t="s">
        <v>3182</v>
      </c>
      <c r="H649">
        <v>0</v>
      </c>
      <c r="I649">
        <v>3536.07359</v>
      </c>
      <c r="J649">
        <v>1.484927871574889</v>
      </c>
      <c r="K649">
        <v>0</v>
      </c>
      <c r="L649">
        <v>0.9809271678723861</v>
      </c>
      <c r="M649">
        <v>23.68</v>
      </c>
      <c r="N649">
        <v>14.36</v>
      </c>
    </row>
    <row r="650" spans="1:14">
      <c r="A650" s="1" t="s">
        <v>662</v>
      </c>
      <c r="B650">
        <f>HYPERLINK("https://www.suredividend.com/sure-analysis-research-database/","PC Connection, Inc.")</f>
        <v>0</v>
      </c>
      <c r="C650" t="s">
        <v>3185</v>
      </c>
      <c r="D650">
        <v>56.4</v>
      </c>
      <c r="E650">
        <v>0.004241316738941001</v>
      </c>
      <c r="F650" t="s">
        <v>3182</v>
      </c>
      <c r="G650" t="s">
        <v>3182</v>
      </c>
      <c r="H650">
        <v>0.239210264076318</v>
      </c>
      <c r="I650">
        <v>1481.713784</v>
      </c>
      <c r="J650">
        <v>19.51574975501818</v>
      </c>
      <c r="K650">
        <v>0.08334852406840348</v>
      </c>
      <c r="L650">
        <v>0.71436265823428</v>
      </c>
      <c r="M650">
        <v>57.46</v>
      </c>
      <c r="N650">
        <v>37.5</v>
      </c>
    </row>
    <row r="651" spans="1:14">
      <c r="A651" s="1" t="s">
        <v>663</v>
      </c>
      <c r="B651">
        <f>HYPERLINK("https://www.suredividend.com/sure-analysis-research-database/","Coda Octopus Group Inc.")</f>
        <v>0</v>
      </c>
      <c r="C651" t="s">
        <v>3183</v>
      </c>
      <c r="D651">
        <v>6.87</v>
      </c>
      <c r="E651">
        <v>0</v>
      </c>
      <c r="F651" t="s">
        <v>3182</v>
      </c>
      <c r="G651" t="s">
        <v>3182</v>
      </c>
      <c r="H651">
        <v>0</v>
      </c>
      <c r="I651">
        <v>76.37856499999999</v>
      </c>
      <c r="J651">
        <v>0</v>
      </c>
      <c r="K651" t="s">
        <v>3182</v>
      </c>
      <c r="L651">
        <v>0.484744664871019</v>
      </c>
      <c r="M651">
        <v>11.09</v>
      </c>
      <c r="N651">
        <v>5.7</v>
      </c>
    </row>
    <row r="652" spans="1:14">
      <c r="A652" s="1" t="s">
        <v>664</v>
      </c>
      <c r="B652">
        <f>HYPERLINK("https://www.suredividend.com/sure-analysis-COF/","Capital One Financial Corp.")</f>
        <v>0</v>
      </c>
      <c r="C652" t="s">
        <v>3184</v>
      </c>
      <c r="D652">
        <v>104.65</v>
      </c>
      <c r="E652">
        <v>0.02293358815097945</v>
      </c>
      <c r="F652">
        <v>0</v>
      </c>
      <c r="G652">
        <v>0.08447177119769855</v>
      </c>
      <c r="H652">
        <v>2.376204102198048</v>
      </c>
      <c r="I652">
        <v>39917.847638</v>
      </c>
      <c r="J652">
        <v>7.959690456201396</v>
      </c>
      <c r="K652">
        <v>0.181945183935532</v>
      </c>
      <c r="L652">
        <v>1.497058348529254</v>
      </c>
      <c r="M652">
        <v>121.55</v>
      </c>
      <c r="N652">
        <v>82.91</v>
      </c>
    </row>
    <row r="653" spans="1:14">
      <c r="A653" s="1" t="s">
        <v>665</v>
      </c>
      <c r="B653">
        <f>HYPERLINK("https://www.suredividend.com/sure-analysis-research-database/","Cabot Oil &amp; Gas Corp.")</f>
        <v>0</v>
      </c>
      <c r="C653" t="s">
        <v>3189</v>
      </c>
      <c r="D653">
        <v>22.25</v>
      </c>
      <c r="E653">
        <v>0.018702595578168</v>
      </c>
      <c r="F653" t="s">
        <v>3182</v>
      </c>
      <c r="G653" t="s">
        <v>3182</v>
      </c>
      <c r="H653">
        <v>0.41613275161424</v>
      </c>
      <c r="I653">
        <v>8892.528027</v>
      </c>
      <c r="J653">
        <v>32.56584754159297</v>
      </c>
      <c r="K653">
        <v>0.6114204402207465</v>
      </c>
      <c r="L653">
        <v>0.585574518545935</v>
      </c>
      <c r="M653">
        <v>23.1</v>
      </c>
      <c r="N653">
        <v>14.28</v>
      </c>
    </row>
    <row r="654" spans="1:14">
      <c r="A654" s="1" t="s">
        <v>666</v>
      </c>
      <c r="B654">
        <f>HYPERLINK("https://www.suredividend.com/sure-analysis-research-database/","Cohen &amp; Company Inc")</f>
        <v>0</v>
      </c>
      <c r="C654" t="s">
        <v>3184</v>
      </c>
      <c r="D654">
        <v>5.7</v>
      </c>
      <c r="E654">
        <v>0.167517460940395</v>
      </c>
      <c r="F654" t="s">
        <v>3182</v>
      </c>
      <c r="G654" t="s">
        <v>3182</v>
      </c>
      <c r="H654">
        <v>0.9548495273602561</v>
      </c>
      <c r="I654">
        <v>10.381678</v>
      </c>
      <c r="J654" t="s">
        <v>3182</v>
      </c>
      <c r="K654" t="s">
        <v>3182</v>
      </c>
      <c r="M654">
        <v>11.99</v>
      </c>
      <c r="N654">
        <v>3.19</v>
      </c>
    </row>
    <row r="655" spans="1:14">
      <c r="A655" s="1" t="s">
        <v>667</v>
      </c>
      <c r="B655">
        <f>HYPERLINK("https://www.suredividend.com/sure-analysis-research-database/","Coherent Corp")</f>
        <v>0</v>
      </c>
      <c r="C655" t="s">
        <v>3185</v>
      </c>
      <c r="D655">
        <v>31.02</v>
      </c>
      <c r="E655">
        <v>0</v>
      </c>
      <c r="F655" t="s">
        <v>3182</v>
      </c>
      <c r="G655" t="s">
        <v>3182</v>
      </c>
      <c r="H655">
        <v>0</v>
      </c>
      <c r="I655">
        <v>4665.325115</v>
      </c>
      <c r="J655" t="s">
        <v>3182</v>
      </c>
      <c r="K655">
        <v>-0</v>
      </c>
      <c r="L655">
        <v>2.108828188556369</v>
      </c>
      <c r="M655">
        <v>60.46</v>
      </c>
      <c r="N655">
        <v>26.29</v>
      </c>
    </row>
    <row r="656" spans="1:14">
      <c r="A656" s="1" t="s">
        <v>668</v>
      </c>
      <c r="B656">
        <f>HYPERLINK("https://www.suredividend.com/sure-analysis-research-database/","Cohu, Inc.")</f>
        <v>0</v>
      </c>
      <c r="C656" t="s">
        <v>3185</v>
      </c>
      <c r="D656">
        <v>31.25</v>
      </c>
      <c r="E656">
        <v>0</v>
      </c>
      <c r="F656" t="s">
        <v>3182</v>
      </c>
      <c r="G656" t="s">
        <v>3182</v>
      </c>
      <c r="H656">
        <v>0</v>
      </c>
      <c r="I656">
        <v>1487.5</v>
      </c>
      <c r="J656">
        <v>20.43858805424642</v>
      </c>
      <c r="K656">
        <v>0</v>
      </c>
      <c r="L656">
        <v>1.310855109011636</v>
      </c>
      <c r="M656">
        <v>43.99</v>
      </c>
      <c r="N656">
        <v>29.65</v>
      </c>
    </row>
    <row r="657" spans="1:14">
      <c r="A657" s="1" t="s">
        <v>669</v>
      </c>
      <c r="B657">
        <f>HYPERLINK("https://www.suredividend.com/sure-analysis-research-database/","Coca-Cola Consolidated Inc")</f>
        <v>0</v>
      </c>
      <c r="C657" t="s">
        <v>3188</v>
      </c>
      <c r="D657">
        <v>643.3200000000001</v>
      </c>
      <c r="E657">
        <v>0.003102613081139</v>
      </c>
      <c r="F657">
        <v>-0.8333333333333334</v>
      </c>
      <c r="G657">
        <v>0.1486983549970351</v>
      </c>
      <c r="H657">
        <v>1.995973047358883</v>
      </c>
      <c r="I657">
        <v>5383.940577</v>
      </c>
      <c r="J657">
        <v>11.27168017041696</v>
      </c>
      <c r="K657">
        <v>0.03929854395272461</v>
      </c>
      <c r="L657">
        <v>0.7536846731002781</v>
      </c>
      <c r="M657">
        <v>744.35</v>
      </c>
      <c r="N657">
        <v>453.15</v>
      </c>
    </row>
    <row r="658" spans="1:14">
      <c r="A658" s="1" t="s">
        <v>670</v>
      </c>
      <c r="B658">
        <f>HYPERLINK("https://www.suredividend.com/sure-analysis-research-database/","Columbia Banking System, Inc.")</f>
        <v>0</v>
      </c>
      <c r="C658" t="s">
        <v>3184</v>
      </c>
      <c r="D658">
        <v>20.84</v>
      </c>
      <c r="E658">
        <v>0.04732149938528801</v>
      </c>
      <c r="F658">
        <v>0.1999999999999997</v>
      </c>
      <c r="G658">
        <v>0.207910879772286</v>
      </c>
      <c r="H658">
        <v>0.9861800471894061</v>
      </c>
      <c r="I658">
        <v>4346.616056</v>
      </c>
      <c r="J658">
        <v>17.16788273904646</v>
      </c>
      <c r="K658">
        <v>0.5083402305100032</v>
      </c>
      <c r="L658">
        <v>1.372573990206656</v>
      </c>
      <c r="M658">
        <v>32.77</v>
      </c>
      <c r="N658">
        <v>16.33</v>
      </c>
    </row>
    <row r="659" spans="1:14">
      <c r="A659" s="1" t="s">
        <v>671</v>
      </c>
      <c r="B659">
        <f>HYPERLINK("https://www.suredividend.com/sure-analysis-COLD/","Americold Realty Trust Inc")</f>
        <v>0</v>
      </c>
      <c r="C659" t="s">
        <v>3187</v>
      </c>
      <c r="D659">
        <v>27.64</v>
      </c>
      <c r="E659">
        <v>0.03183791606367583</v>
      </c>
      <c r="F659">
        <v>0</v>
      </c>
      <c r="G659">
        <v>0.01924487649145656</v>
      </c>
      <c r="H659">
        <v>0.8705005623149251</v>
      </c>
      <c r="I659">
        <v>7469.846846</v>
      </c>
      <c r="J659">
        <v>0</v>
      </c>
      <c r="K659" t="s">
        <v>3182</v>
      </c>
      <c r="L659">
        <v>0.9803774911380401</v>
      </c>
      <c r="M659">
        <v>33.66</v>
      </c>
      <c r="N659">
        <v>24.82</v>
      </c>
    </row>
    <row r="660" spans="1:14">
      <c r="A660" s="1" t="s">
        <v>672</v>
      </c>
      <c r="B660">
        <f>HYPERLINK("https://www.suredividend.com/sure-analysis-research-database/","Collegium Pharmaceutical Inc")</f>
        <v>0</v>
      </c>
      <c r="C660" t="s">
        <v>3180</v>
      </c>
      <c r="D660">
        <v>21.65</v>
      </c>
      <c r="E660">
        <v>0</v>
      </c>
      <c r="F660" t="s">
        <v>3182</v>
      </c>
      <c r="G660" t="s">
        <v>3182</v>
      </c>
      <c r="H660">
        <v>0</v>
      </c>
      <c r="I660">
        <v>751.992312</v>
      </c>
      <c r="J660" t="s">
        <v>3182</v>
      </c>
      <c r="K660">
        <v>-0</v>
      </c>
      <c r="L660">
        <v>0.76353349088355</v>
      </c>
      <c r="M660">
        <v>30.22</v>
      </c>
      <c r="N660">
        <v>17.87</v>
      </c>
    </row>
    <row r="661" spans="1:14">
      <c r="A661" s="1" t="s">
        <v>673</v>
      </c>
      <c r="B661">
        <f>HYPERLINK("https://www.suredividend.com/sure-analysis-research-database/","Columbia Sportswear Co.")</f>
        <v>0</v>
      </c>
      <c r="C661" t="s">
        <v>3186</v>
      </c>
      <c r="D661">
        <v>75.89</v>
      </c>
      <c r="E661">
        <v>0.015673566603248</v>
      </c>
      <c r="F661" t="s">
        <v>3182</v>
      </c>
      <c r="G661" t="s">
        <v>3182</v>
      </c>
      <c r="H661">
        <v>1.18946696952054</v>
      </c>
      <c r="I661">
        <v>4654.352976</v>
      </c>
      <c r="J661">
        <v>15.94000169888216</v>
      </c>
      <c r="K661">
        <v>0.2536176907293262</v>
      </c>
      <c r="L661">
        <v>1.047154206917634</v>
      </c>
      <c r="M661">
        <v>96.81999999999999</v>
      </c>
      <c r="N661">
        <v>66.01000000000001</v>
      </c>
    </row>
    <row r="662" spans="1:14">
      <c r="A662" s="1" t="s">
        <v>674</v>
      </c>
      <c r="B662">
        <f>HYPERLINK("https://www.suredividend.com/sure-analysis-research-database/","CommScope Holding Company Inc")</f>
        <v>0</v>
      </c>
      <c r="C662" t="s">
        <v>3185</v>
      </c>
      <c r="D662">
        <v>1.6</v>
      </c>
      <c r="E662">
        <v>0</v>
      </c>
      <c r="F662" t="s">
        <v>3182</v>
      </c>
      <c r="G662" t="s">
        <v>3182</v>
      </c>
      <c r="H662">
        <v>0</v>
      </c>
      <c r="I662">
        <v>339.071042</v>
      </c>
      <c r="J662" t="s">
        <v>3182</v>
      </c>
      <c r="K662">
        <v>-0</v>
      </c>
      <c r="L662">
        <v>1.712439931419021</v>
      </c>
      <c r="M662">
        <v>9.710000000000001</v>
      </c>
      <c r="N662">
        <v>1.34</v>
      </c>
    </row>
    <row r="663" spans="1:14">
      <c r="A663" s="1" t="s">
        <v>675</v>
      </c>
      <c r="B663">
        <f>HYPERLINK("https://www.suredividend.com/sure-analysis-research-database/","CyrusOne Inc")</f>
        <v>0</v>
      </c>
      <c r="C663" t="s">
        <v>3187</v>
      </c>
      <c r="D663">
        <v>89.84</v>
      </c>
      <c r="E663">
        <v>0</v>
      </c>
      <c r="F663" t="s">
        <v>3182</v>
      </c>
      <c r="G663" t="s">
        <v>3182</v>
      </c>
      <c r="H663">
        <v>1.549999952316284</v>
      </c>
      <c r="I663">
        <v>0</v>
      </c>
      <c r="J663">
        <v>0</v>
      </c>
      <c r="K663">
        <v>7.711442548837234</v>
      </c>
    </row>
    <row r="664" spans="1:14">
      <c r="A664" s="1" t="s">
        <v>676</v>
      </c>
      <c r="B664">
        <f>HYPERLINK("https://www.suredividend.com/sure-analysis-research-database/","Conns Inc")</f>
        <v>0</v>
      </c>
      <c r="C664" t="s">
        <v>3186</v>
      </c>
      <c r="D664">
        <v>3.21</v>
      </c>
      <c r="E664">
        <v>0</v>
      </c>
      <c r="F664" t="s">
        <v>3182</v>
      </c>
      <c r="G664" t="s">
        <v>3182</v>
      </c>
      <c r="H664">
        <v>0</v>
      </c>
      <c r="I664">
        <v>78.129516</v>
      </c>
      <c r="J664" t="s">
        <v>3182</v>
      </c>
      <c r="K664">
        <v>-0</v>
      </c>
      <c r="L664">
        <v>2.03750609946347</v>
      </c>
      <c r="M664">
        <v>11.69</v>
      </c>
      <c r="N664">
        <v>2.91</v>
      </c>
    </row>
    <row r="665" spans="1:14">
      <c r="A665" s="1" t="s">
        <v>677</v>
      </c>
      <c r="B665">
        <f>HYPERLINK("https://www.suredividend.com/sure-analysis-research-database/","Cooper Companies, Inc.")</f>
        <v>0</v>
      </c>
      <c r="C665" t="s">
        <v>3180</v>
      </c>
      <c r="D665">
        <v>327.36</v>
      </c>
      <c r="E665">
        <v>0.000183277334865</v>
      </c>
      <c r="F665" t="s">
        <v>3182</v>
      </c>
      <c r="G665" t="s">
        <v>3182</v>
      </c>
      <c r="H665">
        <v>0.059997668341547</v>
      </c>
      <c r="I665">
        <v>16212.225417</v>
      </c>
      <c r="J665">
        <v>58.93211710883315</v>
      </c>
      <c r="K665">
        <v>0.0108494879460302</v>
      </c>
      <c r="L665">
        <v>1.062092288427088</v>
      </c>
      <c r="M665">
        <v>399.59</v>
      </c>
      <c r="N665">
        <v>265.78</v>
      </c>
    </row>
    <row r="666" spans="1:14">
      <c r="A666" s="1" t="s">
        <v>678</v>
      </c>
      <c r="B666">
        <f>HYPERLINK("https://www.suredividend.com/sure-analysis-research-database/","Mr. Cooper Group Inc")</f>
        <v>0</v>
      </c>
      <c r="C666" t="s">
        <v>3184</v>
      </c>
      <c r="D666">
        <v>57.3</v>
      </c>
      <c r="E666">
        <v>0</v>
      </c>
      <c r="F666" t="s">
        <v>3182</v>
      </c>
      <c r="G666" t="s">
        <v>3182</v>
      </c>
      <c r="H666">
        <v>0</v>
      </c>
      <c r="I666">
        <v>3773.797654</v>
      </c>
      <c r="J666">
        <v>8.294060777802198</v>
      </c>
      <c r="K666">
        <v>0</v>
      </c>
      <c r="L666">
        <v>0.9671590470719961</v>
      </c>
      <c r="M666">
        <v>60.68</v>
      </c>
      <c r="N666">
        <v>37.54</v>
      </c>
    </row>
    <row r="667" spans="1:14">
      <c r="A667" s="1" t="s">
        <v>679</v>
      </c>
      <c r="B667">
        <f>HYPERLINK("https://www.suredividend.com/sure-analysis-COP/","Conoco Phillips")</f>
        <v>0</v>
      </c>
      <c r="C667" t="s">
        <v>3189</v>
      </c>
      <c r="D667">
        <v>122.02</v>
      </c>
      <c r="E667">
        <v>0.01671857072611048</v>
      </c>
      <c r="F667">
        <v>0</v>
      </c>
      <c r="G667">
        <v>0.06889872481155268</v>
      </c>
      <c r="H667">
        <v>4.458410454159236</v>
      </c>
      <c r="I667">
        <v>146117.811919</v>
      </c>
      <c r="J667">
        <v>11.30942816714087</v>
      </c>
      <c r="K667">
        <v>0.4266421487233719</v>
      </c>
      <c r="L667">
        <v>0.7945277202024831</v>
      </c>
      <c r="M667">
        <v>132.91</v>
      </c>
      <c r="N667">
        <v>89.13</v>
      </c>
    </row>
    <row r="668" spans="1:14">
      <c r="A668" s="1" t="s">
        <v>680</v>
      </c>
      <c r="B668">
        <f>HYPERLINK("https://www.suredividend.com/sure-analysis-COR/","Cencora Inc.")</f>
        <v>0</v>
      </c>
      <c r="C668" t="s">
        <v>3187</v>
      </c>
      <c r="D668">
        <v>192.18</v>
      </c>
      <c r="E668">
        <v>0.01009470288271412</v>
      </c>
      <c r="F668" t="s">
        <v>3182</v>
      </c>
      <c r="G668" t="s">
        <v>3182</v>
      </c>
      <c r="H668">
        <v>1.930445059055852</v>
      </c>
      <c r="I668">
        <v>38853.963826</v>
      </c>
      <c r="J668">
        <v>22.99779150564232</v>
      </c>
      <c r="K668">
        <v>0.235707577418297</v>
      </c>
      <c r="L668">
        <v>0.164325153237672</v>
      </c>
      <c r="M668">
        <v>194.28</v>
      </c>
      <c r="N668">
        <v>145.85</v>
      </c>
    </row>
    <row r="669" spans="1:14">
      <c r="A669" s="1" t="s">
        <v>681</v>
      </c>
      <c r="B669">
        <f>HYPERLINK("https://www.suredividend.com/sure-analysis-research-database/","Core-Mark Hldg Co Inc")</f>
        <v>0</v>
      </c>
      <c r="C669" t="s">
        <v>3188</v>
      </c>
      <c r="D669">
        <v>45.65</v>
      </c>
      <c r="E669">
        <v>0</v>
      </c>
      <c r="F669" t="s">
        <v>3182</v>
      </c>
      <c r="G669" t="s">
        <v>3182</v>
      </c>
      <c r="H669">
        <v>0.5176683630585011</v>
      </c>
      <c r="I669">
        <v>0</v>
      </c>
      <c r="J669">
        <v>0</v>
      </c>
      <c r="K669">
        <v>0.3570126641782766</v>
      </c>
    </row>
    <row r="670" spans="1:14">
      <c r="A670" s="1" t="s">
        <v>682</v>
      </c>
      <c r="B670">
        <f>HYPERLINK("https://www.suredividend.com/sure-analysis-research-database/","CorEnergy Infrastructure Trust Inc")</f>
        <v>0</v>
      </c>
      <c r="C670" t="s">
        <v>3187</v>
      </c>
      <c r="D670">
        <v>0.6334000000000001</v>
      </c>
      <c r="E670">
        <v>0.078939060222699</v>
      </c>
      <c r="F670" t="s">
        <v>3182</v>
      </c>
      <c r="G670" t="s">
        <v>3182</v>
      </c>
      <c r="H670">
        <v>0.050000000745058</v>
      </c>
      <c r="I670">
        <v>9.725118</v>
      </c>
      <c r="J670">
        <v>0</v>
      </c>
      <c r="K670" t="s">
        <v>3182</v>
      </c>
      <c r="L670">
        <v>1.255323366843471</v>
      </c>
      <c r="M670">
        <v>3.48</v>
      </c>
      <c r="N670">
        <v>0.5501</v>
      </c>
    </row>
    <row r="671" spans="1:14">
      <c r="A671" s="1" t="s">
        <v>683</v>
      </c>
      <c r="B671">
        <f>HYPERLINK("https://www.suredividend.com/sure-analysis-research-database/","Corcept Therapeutics Inc")</f>
        <v>0</v>
      </c>
      <c r="C671" t="s">
        <v>3180</v>
      </c>
      <c r="D671">
        <v>25.29</v>
      </c>
      <c r="E671">
        <v>0</v>
      </c>
      <c r="F671" t="s">
        <v>3182</v>
      </c>
      <c r="G671" t="s">
        <v>3182</v>
      </c>
      <c r="H671">
        <v>0</v>
      </c>
      <c r="I671">
        <v>2593.403666</v>
      </c>
      <c r="J671">
        <v>27.40977916779403</v>
      </c>
      <c r="K671">
        <v>0</v>
      </c>
      <c r="L671">
        <v>0.4930590449910781</v>
      </c>
      <c r="M671">
        <v>34.28</v>
      </c>
      <c r="N671">
        <v>17.86</v>
      </c>
    </row>
    <row r="672" spans="1:14">
      <c r="A672" s="1" t="s">
        <v>684</v>
      </c>
      <c r="B672">
        <f>HYPERLINK("https://www.suredividend.com/sure-analysis-COST/","Costco Wholesale Corp")</f>
        <v>0</v>
      </c>
      <c r="C672" t="s">
        <v>3188</v>
      </c>
      <c r="D672">
        <v>555.97</v>
      </c>
      <c r="E672">
        <v>0.007338525460006835</v>
      </c>
      <c r="F672">
        <v>0.1333333333333333</v>
      </c>
      <c r="G672">
        <v>0.09430242851206572</v>
      </c>
      <c r="H672">
        <v>3.938316398005822</v>
      </c>
      <c r="I672">
        <v>246150.475815</v>
      </c>
      <c r="J672">
        <v>39.12118178875397</v>
      </c>
      <c r="K672">
        <v>0.2781296891247049</v>
      </c>
      <c r="L672">
        <v>0.7922815693846771</v>
      </c>
      <c r="M672">
        <v>575.1900000000001</v>
      </c>
      <c r="N672">
        <v>441.96</v>
      </c>
    </row>
    <row r="673" spans="1:14">
      <c r="A673" s="1" t="s">
        <v>685</v>
      </c>
      <c r="B673">
        <f>HYPERLINK("https://www.suredividend.com/sure-analysis-research-database/","Coty Inc")</f>
        <v>0</v>
      </c>
      <c r="C673" t="s">
        <v>3188</v>
      </c>
      <c r="D673">
        <v>9.630000000000001</v>
      </c>
      <c r="E673">
        <v>0</v>
      </c>
      <c r="F673" t="s">
        <v>3182</v>
      </c>
      <c r="G673" t="s">
        <v>3182</v>
      </c>
      <c r="H673">
        <v>0</v>
      </c>
      <c r="I673">
        <v>8260.877563</v>
      </c>
      <c r="J673">
        <v>16.68864154236364</v>
      </c>
      <c r="K673">
        <v>0</v>
      </c>
      <c r="L673">
        <v>1.320675046483041</v>
      </c>
      <c r="M673">
        <v>13.46</v>
      </c>
      <c r="N673">
        <v>6.52</v>
      </c>
    </row>
    <row r="674" spans="1:14">
      <c r="A674" s="1" t="s">
        <v>686</v>
      </c>
      <c r="B674">
        <f>HYPERLINK("https://www.suredividend.com/sure-analysis-research-database/","Coupa Software Inc")</f>
        <v>0</v>
      </c>
      <c r="C674" t="s">
        <v>3185</v>
      </c>
      <c r="D674">
        <v>80.97</v>
      </c>
      <c r="E674">
        <v>0</v>
      </c>
      <c r="F674" t="s">
        <v>3182</v>
      </c>
      <c r="G674" t="s">
        <v>3182</v>
      </c>
      <c r="H674">
        <v>0</v>
      </c>
      <c r="I674">
        <v>0</v>
      </c>
      <c r="J674">
        <v>0</v>
      </c>
      <c r="K674">
        <v>-0</v>
      </c>
    </row>
    <row r="675" spans="1:14">
      <c r="A675" s="1" t="s">
        <v>687</v>
      </c>
      <c r="B675">
        <f>HYPERLINK("https://www.suredividend.com/sure-analysis-research-database/","Cowen Inc")</f>
        <v>0</v>
      </c>
      <c r="C675" t="s">
        <v>3184</v>
      </c>
      <c r="D675">
        <v>38.99</v>
      </c>
      <c r="E675">
        <v>0</v>
      </c>
      <c r="F675" t="s">
        <v>3182</v>
      </c>
      <c r="G675" t="s">
        <v>3182</v>
      </c>
      <c r="H675">
        <v>0.4799999892711641</v>
      </c>
      <c r="I675">
        <v>0</v>
      </c>
      <c r="J675">
        <v>0</v>
      </c>
      <c r="K675">
        <v>0.2171945652810697</v>
      </c>
    </row>
    <row r="676" spans="1:14">
      <c r="A676" s="1" t="s">
        <v>688</v>
      </c>
      <c r="B676">
        <f>HYPERLINK("https://www.suredividend.com/sure-analysis-CPB/","Campbell Soup Co.")</f>
        <v>0</v>
      </c>
      <c r="C676" t="s">
        <v>3188</v>
      </c>
      <c r="D676">
        <v>41.28</v>
      </c>
      <c r="E676">
        <v>0.03585271317829457</v>
      </c>
      <c r="F676">
        <v>0</v>
      </c>
      <c r="G676">
        <v>0.0111759598354646</v>
      </c>
      <c r="H676">
        <v>1.461419781941637</v>
      </c>
      <c r="I676">
        <v>12285.833848</v>
      </c>
      <c r="J676">
        <v>14.31915366937063</v>
      </c>
      <c r="K676">
        <v>0.5127788708567147</v>
      </c>
      <c r="L676">
        <v>0.07894150519475</v>
      </c>
      <c r="M676">
        <v>56.03</v>
      </c>
      <c r="N676">
        <v>37.94</v>
      </c>
    </row>
    <row r="677" spans="1:14">
      <c r="A677" s="1" t="s">
        <v>689</v>
      </c>
      <c r="B677">
        <f>HYPERLINK("https://www.suredividend.com/sure-analysis-research-database/","Callon Petroleum Co.")</f>
        <v>0</v>
      </c>
      <c r="C677" t="s">
        <v>3189</v>
      </c>
      <c r="D677">
        <v>37.08</v>
      </c>
      <c r="E677">
        <v>0</v>
      </c>
      <c r="F677" t="s">
        <v>3182</v>
      </c>
      <c r="G677" t="s">
        <v>3182</v>
      </c>
      <c r="H677">
        <v>0</v>
      </c>
      <c r="I677">
        <v>2513.054284</v>
      </c>
      <c r="J677">
        <v>2.688299127353949</v>
      </c>
      <c r="K677">
        <v>0</v>
      </c>
      <c r="L677">
        <v>1.348394595121907</v>
      </c>
      <c r="M677">
        <v>50.19</v>
      </c>
      <c r="N677">
        <v>28.91</v>
      </c>
    </row>
    <row r="678" spans="1:14">
      <c r="A678" s="1" t="s">
        <v>690</v>
      </c>
      <c r="B678">
        <f>HYPERLINK("https://www.suredividend.com/sure-analysis-research-database/","Central Pacific Financial Corp.")</f>
        <v>0</v>
      </c>
      <c r="C678" t="s">
        <v>3184</v>
      </c>
      <c r="D678">
        <v>16.75</v>
      </c>
      <c r="E678">
        <v>0.06070896417244</v>
      </c>
      <c r="F678">
        <v>0</v>
      </c>
      <c r="G678">
        <v>0.04364022715043592</v>
      </c>
      <c r="H678">
        <v>1.016875149888377</v>
      </c>
      <c r="I678">
        <v>452.973081</v>
      </c>
      <c r="J678">
        <v>7.07947425528257</v>
      </c>
      <c r="K678">
        <v>0.4308793008001598</v>
      </c>
      <c r="L678">
        <v>1.117852477456594</v>
      </c>
      <c r="M678">
        <v>23.51</v>
      </c>
      <c r="N678">
        <v>12.8</v>
      </c>
    </row>
    <row r="679" spans="1:14">
      <c r="A679" s="1" t="s">
        <v>691</v>
      </c>
      <c r="B679">
        <f>HYPERLINK("https://www.suredividend.com/sure-analysis-research-database/","Canterbury Park Holding Corp")</f>
        <v>0</v>
      </c>
      <c r="C679" t="s">
        <v>3186</v>
      </c>
      <c r="D679">
        <v>21.0537</v>
      </c>
      <c r="E679">
        <v>0.013185221087954</v>
      </c>
      <c r="F679" t="s">
        <v>3182</v>
      </c>
      <c r="G679" t="s">
        <v>3182</v>
      </c>
      <c r="H679">
        <v>0.277597689219457</v>
      </c>
      <c r="I679">
        <v>103.875671</v>
      </c>
      <c r="J679">
        <v>0</v>
      </c>
      <c r="K679" t="s">
        <v>3182</v>
      </c>
      <c r="M679">
        <v>31.12</v>
      </c>
      <c r="N679">
        <v>17.88</v>
      </c>
    </row>
    <row r="680" spans="1:14">
      <c r="A680" s="1" t="s">
        <v>692</v>
      </c>
      <c r="B680">
        <f>HYPERLINK("https://www.suredividend.com/sure-analysis-research-database/","Cumberland Pharmaceuticals Inc.")</f>
        <v>0</v>
      </c>
      <c r="C680" t="s">
        <v>3180</v>
      </c>
      <c r="D680">
        <v>2</v>
      </c>
      <c r="E680">
        <v>0</v>
      </c>
      <c r="F680" t="s">
        <v>3182</v>
      </c>
      <c r="G680" t="s">
        <v>3182</v>
      </c>
      <c r="H680">
        <v>0</v>
      </c>
      <c r="I680">
        <v>28.742428</v>
      </c>
      <c r="J680" t="s">
        <v>3182</v>
      </c>
      <c r="K680">
        <v>-0</v>
      </c>
      <c r="L680">
        <v>0.113982767636252</v>
      </c>
      <c r="M680">
        <v>2.91</v>
      </c>
      <c r="N680">
        <v>1.43</v>
      </c>
    </row>
    <row r="681" spans="1:14">
      <c r="A681" s="1" t="s">
        <v>693</v>
      </c>
      <c r="B681">
        <f>HYPERLINK("https://www.suredividend.com/sure-analysis-CPK/","Chesapeake Utilities Corp")</f>
        <v>0</v>
      </c>
      <c r="C681" t="s">
        <v>3190</v>
      </c>
      <c r="D681">
        <v>91.33</v>
      </c>
      <c r="E681">
        <v>0.02584035913719479</v>
      </c>
      <c r="F681">
        <v>0.1028037383177569</v>
      </c>
      <c r="G681">
        <v>0.0978172675622524</v>
      </c>
      <c r="H681">
        <v>2.23392100162792</v>
      </c>
      <c r="I681">
        <v>1625.376356</v>
      </c>
      <c r="J681">
        <v>18.40972664239033</v>
      </c>
      <c r="K681">
        <v>0.4512971720460444</v>
      </c>
      <c r="L681">
        <v>0.501512698758632</v>
      </c>
      <c r="M681">
        <v>131.59</v>
      </c>
      <c r="N681">
        <v>84.09999999999999</v>
      </c>
    </row>
    <row r="682" spans="1:14">
      <c r="A682" s="1" t="s">
        <v>694</v>
      </c>
      <c r="B682">
        <f>HYPERLINK("https://www.suredividend.com/sure-analysis-research-database/","CorePoint Lodging Inc")</f>
        <v>0</v>
      </c>
      <c r="C682" t="s">
        <v>3187</v>
      </c>
      <c r="D682">
        <v>15.98</v>
      </c>
      <c r="E682">
        <v>0</v>
      </c>
      <c r="F682" t="s">
        <v>3182</v>
      </c>
      <c r="G682" t="s">
        <v>3182</v>
      </c>
      <c r="H682">
        <v>0</v>
      </c>
      <c r="I682">
        <v>932.783205</v>
      </c>
      <c r="J682">
        <v>0</v>
      </c>
      <c r="K682" t="s">
        <v>3182</v>
      </c>
      <c r="L682">
        <v>0.636231069279927</v>
      </c>
      <c r="M682">
        <v>18.15</v>
      </c>
      <c r="N682">
        <v>8.300000000000001</v>
      </c>
    </row>
    <row r="683" spans="1:14">
      <c r="A683" s="1" t="s">
        <v>695</v>
      </c>
      <c r="B683">
        <f>HYPERLINK("https://www.suredividend.com/sure-analysis-research-database/","Capri Holdings Ltd")</f>
        <v>0</v>
      </c>
      <c r="C683" t="s">
        <v>3186</v>
      </c>
      <c r="D683">
        <v>50.75</v>
      </c>
      <c r="E683">
        <v>0</v>
      </c>
      <c r="F683" t="s">
        <v>3182</v>
      </c>
      <c r="G683" t="s">
        <v>3182</v>
      </c>
      <c r="H683">
        <v>0</v>
      </c>
      <c r="I683">
        <v>5890.400504</v>
      </c>
      <c r="J683">
        <v>12.72224730831534</v>
      </c>
      <c r="K683">
        <v>0</v>
      </c>
      <c r="L683">
        <v>1.317100873454343</v>
      </c>
      <c r="M683">
        <v>69.25</v>
      </c>
      <c r="N683">
        <v>34.17</v>
      </c>
    </row>
    <row r="684" spans="1:14">
      <c r="A684" s="1" t="s">
        <v>696</v>
      </c>
      <c r="B684">
        <f>HYPERLINK("https://www.suredividend.com/sure-analysis-research-database/","Copart, Inc.")</f>
        <v>0</v>
      </c>
      <c r="C684" t="s">
        <v>3183</v>
      </c>
      <c r="D684">
        <v>45.25</v>
      </c>
      <c r="E684">
        <v>0</v>
      </c>
      <c r="F684" t="s">
        <v>3182</v>
      </c>
      <c r="G684" t="s">
        <v>3182</v>
      </c>
      <c r="H684">
        <v>0</v>
      </c>
      <c r="I684">
        <v>43448.302244</v>
      </c>
      <c r="J684">
        <v>35.10290298515602</v>
      </c>
      <c r="K684">
        <v>0</v>
      </c>
      <c r="L684">
        <v>1.059577220701645</v>
      </c>
      <c r="M684">
        <v>47.39</v>
      </c>
      <c r="N684">
        <v>27.79</v>
      </c>
    </row>
    <row r="685" spans="1:14">
      <c r="A685" s="1" t="s">
        <v>697</v>
      </c>
      <c r="B685">
        <f>HYPERLINK("https://www.suredividend.com/sure-analysis-research-database/","Catalyst Pharmaceuticals Inc")</f>
        <v>0</v>
      </c>
      <c r="C685" t="s">
        <v>3180</v>
      </c>
      <c r="D685">
        <v>12.62</v>
      </c>
      <c r="E685">
        <v>0</v>
      </c>
      <c r="F685" t="s">
        <v>3182</v>
      </c>
      <c r="G685" t="s">
        <v>3182</v>
      </c>
      <c r="H685">
        <v>0</v>
      </c>
      <c r="I685">
        <v>1345.197438</v>
      </c>
      <c r="J685">
        <v>11.64179212576483</v>
      </c>
      <c r="K685">
        <v>0</v>
      </c>
      <c r="L685">
        <v>0.988407107991055</v>
      </c>
      <c r="M685">
        <v>22.11</v>
      </c>
      <c r="N685">
        <v>11.09</v>
      </c>
    </row>
    <row r="686" spans="1:14">
      <c r="A686" s="1" t="s">
        <v>698</v>
      </c>
      <c r="B686">
        <f>HYPERLINK("https://www.suredividend.com/sure-analysis-research-database/","Cooper-Standard Holdings Inc")</f>
        <v>0</v>
      </c>
      <c r="C686" t="s">
        <v>3186</v>
      </c>
      <c r="D686">
        <v>12.73</v>
      </c>
      <c r="E686">
        <v>0</v>
      </c>
      <c r="F686" t="s">
        <v>3182</v>
      </c>
      <c r="G686" t="s">
        <v>3182</v>
      </c>
      <c r="H686">
        <v>0</v>
      </c>
      <c r="I686">
        <v>218.923908</v>
      </c>
      <c r="J686">
        <v>0</v>
      </c>
      <c r="K686" t="s">
        <v>3182</v>
      </c>
      <c r="L686">
        <v>2.015150100562923</v>
      </c>
      <c r="M686">
        <v>22.74</v>
      </c>
      <c r="N686">
        <v>5.92</v>
      </c>
    </row>
    <row r="687" spans="1:14">
      <c r="A687" s="1" t="s">
        <v>699</v>
      </c>
      <c r="B687">
        <f>HYPERLINK("https://www.suredividend.com/sure-analysis-research-database/","CPS Technologies Corporation")</f>
        <v>0</v>
      </c>
      <c r="C687" t="s">
        <v>3185</v>
      </c>
      <c r="D687">
        <v>2.44</v>
      </c>
      <c r="E687">
        <v>0</v>
      </c>
      <c r="F687" t="s">
        <v>3182</v>
      </c>
      <c r="G687" t="s">
        <v>3182</v>
      </c>
      <c r="H687">
        <v>0</v>
      </c>
      <c r="I687">
        <v>35.420367</v>
      </c>
      <c r="J687">
        <v>0</v>
      </c>
      <c r="K687" t="s">
        <v>3182</v>
      </c>
      <c r="L687">
        <v>0.7679723231508501</v>
      </c>
      <c r="M687">
        <v>3.69</v>
      </c>
      <c r="N687">
        <v>2.43</v>
      </c>
    </row>
    <row r="688" spans="1:14">
      <c r="A688" s="1" t="s">
        <v>700</v>
      </c>
      <c r="B688">
        <f>HYPERLINK("https://www.suredividend.com/sure-analysis-research-database/","Computer Programs &amp; Systems Inc")</f>
        <v>0</v>
      </c>
      <c r="C688" t="s">
        <v>3180</v>
      </c>
      <c r="D688">
        <v>14.01</v>
      </c>
      <c r="E688">
        <v>0</v>
      </c>
      <c r="F688" t="s">
        <v>3182</v>
      </c>
      <c r="G688" t="s">
        <v>3182</v>
      </c>
      <c r="H688">
        <v>0</v>
      </c>
      <c r="I688">
        <v>203.868813</v>
      </c>
      <c r="J688">
        <v>42.13036012399256</v>
      </c>
      <c r="K688">
        <v>0</v>
      </c>
      <c r="L688">
        <v>0.7187100239457641</v>
      </c>
      <c r="M688">
        <v>31.62</v>
      </c>
      <c r="N688">
        <v>13.63</v>
      </c>
    </row>
    <row r="689" spans="1:14">
      <c r="A689" s="1" t="s">
        <v>701</v>
      </c>
      <c r="B689">
        <f>HYPERLINK("https://www.suredividend.com/sure-analysis-research-database/","Consumer Portfolio Service, Inc.")</f>
        <v>0</v>
      </c>
      <c r="C689" t="s">
        <v>3184</v>
      </c>
      <c r="D689">
        <v>9.68</v>
      </c>
      <c r="E689">
        <v>0</v>
      </c>
      <c r="F689" t="s">
        <v>3182</v>
      </c>
      <c r="G689" t="s">
        <v>3182</v>
      </c>
      <c r="H689">
        <v>0</v>
      </c>
      <c r="I689">
        <v>204.216221</v>
      </c>
      <c r="J689">
        <v>0</v>
      </c>
      <c r="K689" t="s">
        <v>3182</v>
      </c>
      <c r="L689">
        <v>2.120895436679909</v>
      </c>
      <c r="M689">
        <v>13.75</v>
      </c>
      <c r="N689">
        <v>5.65</v>
      </c>
    </row>
    <row r="690" spans="1:14">
      <c r="A690" s="1" t="s">
        <v>702</v>
      </c>
      <c r="B690">
        <f>HYPERLINK("https://www.suredividend.com/sure-analysis-CPT/","Camden Property Trust")</f>
        <v>0</v>
      </c>
      <c r="C690" t="s">
        <v>3187</v>
      </c>
      <c r="D690">
        <v>87.58</v>
      </c>
      <c r="E690">
        <v>0.04567252797442339</v>
      </c>
      <c r="F690">
        <v>0.06382978723404253</v>
      </c>
      <c r="G690">
        <v>0.04563955259127317</v>
      </c>
      <c r="H690">
        <v>3.882265421841776</v>
      </c>
      <c r="I690">
        <v>9351.022220999999</v>
      </c>
      <c r="J690">
        <v>41.32025762233437</v>
      </c>
      <c r="K690">
        <v>1.866473760500854</v>
      </c>
      <c r="L690">
        <v>0.9707414200805311</v>
      </c>
      <c r="M690">
        <v>123.87</v>
      </c>
      <c r="N690">
        <v>82.81</v>
      </c>
    </row>
    <row r="691" spans="1:14">
      <c r="A691" s="1" t="s">
        <v>703</v>
      </c>
      <c r="B691">
        <f>HYPERLINK("https://www.suredividend.com/sure-analysis-research-database/","Crane Co")</f>
        <v>0</v>
      </c>
      <c r="C691" t="s">
        <v>3183</v>
      </c>
      <c r="D691">
        <v>99.61</v>
      </c>
      <c r="E691">
        <v>0.003610474335837</v>
      </c>
      <c r="F691">
        <v>-0.6170212765957448</v>
      </c>
      <c r="G691">
        <v>-0.1432747249506905</v>
      </c>
      <c r="H691">
        <v>0.359639348592724</v>
      </c>
      <c r="I691">
        <v>5655.192099</v>
      </c>
      <c r="J691">
        <v>0</v>
      </c>
      <c r="K691" t="s">
        <v>3182</v>
      </c>
      <c r="L691">
        <v>0.6786279067792621</v>
      </c>
      <c r="M691">
        <v>100.15</v>
      </c>
      <c r="N691">
        <v>66.98999999999999</v>
      </c>
    </row>
    <row r="692" spans="1:14">
      <c r="A692" s="1" t="s">
        <v>704</v>
      </c>
      <c r="B692">
        <f>HYPERLINK("https://www.suredividend.com/sure-analysis-research-database/","CRA International Inc.")</f>
        <v>0</v>
      </c>
      <c r="C692" t="s">
        <v>3183</v>
      </c>
      <c r="D692">
        <v>83.47</v>
      </c>
      <c r="E692">
        <v>0.017087559915761</v>
      </c>
      <c r="F692">
        <v>0.161290322580645</v>
      </c>
      <c r="G692">
        <v>0.1247461131420948</v>
      </c>
      <c r="H692">
        <v>1.426298626168632</v>
      </c>
      <c r="I692">
        <v>584.4324</v>
      </c>
      <c r="J692">
        <v>15.04834049540387</v>
      </c>
      <c r="K692">
        <v>0.2651112688045785</v>
      </c>
      <c r="L692">
        <v>0.438279763150039</v>
      </c>
      <c r="M692">
        <v>125.88</v>
      </c>
      <c r="N692">
        <v>81.29000000000001</v>
      </c>
    </row>
    <row r="693" spans="1:14">
      <c r="A693" s="1" t="s">
        <v>705</v>
      </c>
      <c r="B693">
        <f>HYPERLINK("https://www.suredividend.com/sure-analysis-research-database/","Corbus Pharmaceuticals Holdings Inc")</f>
        <v>0</v>
      </c>
      <c r="C693" t="s">
        <v>3180</v>
      </c>
      <c r="D693">
        <v>4.87</v>
      </c>
      <c r="E693">
        <v>0</v>
      </c>
      <c r="F693" t="s">
        <v>3182</v>
      </c>
      <c r="G693" t="s">
        <v>3182</v>
      </c>
      <c r="H693">
        <v>0</v>
      </c>
      <c r="I693">
        <v>21.543336</v>
      </c>
      <c r="J693" t="s">
        <v>3182</v>
      </c>
      <c r="K693">
        <v>-0</v>
      </c>
      <c r="L693">
        <v>2.581810750161251</v>
      </c>
      <c r="M693">
        <v>13.17</v>
      </c>
      <c r="N693">
        <v>2.11</v>
      </c>
    </row>
    <row r="694" spans="1:14">
      <c r="A694" s="1" t="s">
        <v>706</v>
      </c>
      <c r="B694">
        <f>HYPERLINK("https://www.suredividend.com/sure-analysis-research-database/","California Resources Corporation")</f>
        <v>0</v>
      </c>
      <c r="C694" t="s">
        <v>3189</v>
      </c>
      <c r="D694">
        <v>52.5</v>
      </c>
      <c r="E694">
        <v>0.021329076644685</v>
      </c>
      <c r="F694" t="s">
        <v>3182</v>
      </c>
      <c r="G694" t="s">
        <v>3182</v>
      </c>
      <c r="H694">
        <v>1.119776523846013</v>
      </c>
      <c r="I694">
        <v>3620.51655</v>
      </c>
      <c r="J694">
        <v>3.991749228224917</v>
      </c>
      <c r="K694">
        <v>0.09216267685975417</v>
      </c>
      <c r="L694">
        <v>0.8306358523923301</v>
      </c>
      <c r="M694">
        <v>58.44</v>
      </c>
      <c r="N694">
        <v>33.6</v>
      </c>
    </row>
    <row r="695" spans="1:14">
      <c r="A695" s="1" t="s">
        <v>707</v>
      </c>
      <c r="B695">
        <f>HYPERLINK("https://www.suredividend.com/sure-analysis-research-database/","Cree, Inc.")</f>
        <v>0</v>
      </c>
      <c r="C695" t="s">
        <v>3185</v>
      </c>
      <c r="D695">
        <v>80.06999999999999</v>
      </c>
      <c r="E695">
        <v>0</v>
      </c>
      <c r="F695" t="s">
        <v>3182</v>
      </c>
      <c r="G695" t="s">
        <v>3182</v>
      </c>
      <c r="H695">
        <v>0</v>
      </c>
      <c r="I695">
        <v>14965.284981</v>
      </c>
      <c r="J695">
        <v>0</v>
      </c>
      <c r="K695">
        <v>-0</v>
      </c>
    </row>
    <row r="696" spans="1:14">
      <c r="A696" s="1" t="s">
        <v>708</v>
      </c>
      <c r="B696">
        <f>HYPERLINK("https://www.suredividend.com/sure-analysis-CRI/","Carters Inc")</f>
        <v>0</v>
      </c>
      <c r="C696" t="s">
        <v>3186</v>
      </c>
      <c r="D696">
        <v>68.81999999999999</v>
      </c>
      <c r="E696">
        <v>0.04504504504504505</v>
      </c>
      <c r="F696" t="s">
        <v>3182</v>
      </c>
      <c r="G696" t="s">
        <v>3182</v>
      </c>
      <c r="H696">
        <v>2.950940161080838</v>
      </c>
      <c r="I696">
        <v>2534.283287</v>
      </c>
      <c r="J696">
        <v>12.50540715284597</v>
      </c>
      <c r="K696">
        <v>0.5384927301242405</v>
      </c>
      <c r="L696">
        <v>1.006116962176293</v>
      </c>
      <c r="M696">
        <v>83.95999999999999</v>
      </c>
      <c r="N696">
        <v>60.01</v>
      </c>
    </row>
    <row r="697" spans="1:14">
      <c r="A697" s="1" t="s">
        <v>709</v>
      </c>
      <c r="B697">
        <f>HYPERLINK("https://www.suredividend.com/sure-analysis-research-database/","Curis Inc")</f>
        <v>0</v>
      </c>
      <c r="C697" t="s">
        <v>3180</v>
      </c>
      <c r="D697">
        <v>4.51</v>
      </c>
      <c r="E697">
        <v>0</v>
      </c>
      <c r="F697" t="s">
        <v>3182</v>
      </c>
      <c r="G697" t="s">
        <v>3182</v>
      </c>
      <c r="H697">
        <v>0</v>
      </c>
      <c r="I697">
        <v>530.847539</v>
      </c>
      <c r="J697" t="s">
        <v>3182</v>
      </c>
      <c r="K697">
        <v>-0</v>
      </c>
      <c r="L697">
        <v>1.105948595797647</v>
      </c>
      <c r="M697">
        <v>20</v>
      </c>
      <c r="N697">
        <v>3.8</v>
      </c>
    </row>
    <row r="698" spans="1:14">
      <c r="A698" s="1" t="s">
        <v>710</v>
      </c>
      <c r="B698">
        <f>HYPERLINK("https://www.suredividend.com/sure-analysis-research-database/","Comstock Resources, Inc.")</f>
        <v>0</v>
      </c>
      <c r="C698" t="s">
        <v>3189</v>
      </c>
      <c r="D698">
        <v>13.16</v>
      </c>
      <c r="E698">
        <v>0.037351683435264</v>
      </c>
      <c r="F698" t="s">
        <v>3182</v>
      </c>
      <c r="G698" t="s">
        <v>3182</v>
      </c>
      <c r="H698">
        <v>0.4915481540080771</v>
      </c>
      <c r="I698">
        <v>3664.803472</v>
      </c>
      <c r="J698">
        <v>3.829966967632169</v>
      </c>
      <c r="K698">
        <v>0.1480566728939991</v>
      </c>
      <c r="L698">
        <v>1.52163778865242</v>
      </c>
      <c r="M698">
        <v>20.32</v>
      </c>
      <c r="N698">
        <v>8.98</v>
      </c>
    </row>
    <row r="699" spans="1:14">
      <c r="A699" s="1" t="s">
        <v>711</v>
      </c>
      <c r="B699">
        <f>HYPERLINK("https://www.suredividend.com/sure-analysis-research-database/","Charles River Laboratories International Inc.")</f>
        <v>0</v>
      </c>
      <c r="C699" t="s">
        <v>3180</v>
      </c>
      <c r="D699">
        <v>174.71</v>
      </c>
      <c r="E699">
        <v>0</v>
      </c>
      <c r="F699" t="s">
        <v>3182</v>
      </c>
      <c r="G699" t="s">
        <v>3182</v>
      </c>
      <c r="H699">
        <v>0</v>
      </c>
      <c r="I699">
        <v>8957.618780999999</v>
      </c>
      <c r="J699">
        <v>18.50617680053467</v>
      </c>
      <c r="K699">
        <v>0</v>
      </c>
      <c r="L699">
        <v>1.078646043939261</v>
      </c>
      <c r="M699">
        <v>262</v>
      </c>
      <c r="N699">
        <v>161.65</v>
      </c>
    </row>
    <row r="700" spans="1:14">
      <c r="A700" s="1" t="s">
        <v>712</v>
      </c>
      <c r="B700">
        <f>HYPERLINK("https://www.suredividend.com/sure-analysis-research-database/","Salesforce Inc")</f>
        <v>0</v>
      </c>
      <c r="C700" t="s">
        <v>3185</v>
      </c>
      <c r="D700">
        <v>208.11</v>
      </c>
      <c r="E700">
        <v>0</v>
      </c>
      <c r="F700" t="s">
        <v>3182</v>
      </c>
      <c r="G700" t="s">
        <v>3182</v>
      </c>
      <c r="H700">
        <v>0</v>
      </c>
      <c r="I700">
        <v>202491.03</v>
      </c>
      <c r="J700">
        <v>128.3213117870722</v>
      </c>
      <c r="K700">
        <v>0</v>
      </c>
      <c r="L700">
        <v>1.363826925750718</v>
      </c>
      <c r="M700">
        <v>238.22</v>
      </c>
      <c r="N700">
        <v>126.34</v>
      </c>
    </row>
    <row r="701" spans="1:14">
      <c r="A701" s="1" t="s">
        <v>713</v>
      </c>
      <c r="B701">
        <f>HYPERLINK("https://www.suredividend.com/sure-analysis-research-database/","CorMedix Inc")</f>
        <v>0</v>
      </c>
      <c r="C701" t="s">
        <v>3180</v>
      </c>
      <c r="D701">
        <v>3.38</v>
      </c>
      <c r="E701">
        <v>0</v>
      </c>
      <c r="F701" t="s">
        <v>3182</v>
      </c>
      <c r="G701" t="s">
        <v>3182</v>
      </c>
      <c r="H701">
        <v>0</v>
      </c>
      <c r="I701">
        <v>185.242171</v>
      </c>
      <c r="J701">
        <v>0</v>
      </c>
      <c r="K701" t="s">
        <v>3182</v>
      </c>
      <c r="L701">
        <v>1.408758742125467</v>
      </c>
      <c r="M701">
        <v>6.09</v>
      </c>
      <c r="N701">
        <v>2.71</v>
      </c>
    </row>
    <row r="702" spans="1:14">
      <c r="A702" s="1" t="s">
        <v>714</v>
      </c>
      <c r="B702">
        <f>HYPERLINK("https://www.suredividend.com/sure-analysis-research-database/","Americas Car Mart, Inc.")</f>
        <v>0</v>
      </c>
      <c r="C702" t="s">
        <v>3186</v>
      </c>
      <c r="D702">
        <v>71.19</v>
      </c>
      <c r="E702">
        <v>0</v>
      </c>
      <c r="F702" t="s">
        <v>3182</v>
      </c>
      <c r="G702" t="s">
        <v>3182</v>
      </c>
      <c r="H702">
        <v>0</v>
      </c>
      <c r="I702">
        <v>454.333797</v>
      </c>
      <c r="J702">
        <v>40.07884588126323</v>
      </c>
      <c r="K702">
        <v>0</v>
      </c>
      <c r="L702">
        <v>1.691950733995543</v>
      </c>
      <c r="M702">
        <v>127.96</v>
      </c>
      <c r="N702">
        <v>52.24</v>
      </c>
    </row>
    <row r="703" spans="1:14">
      <c r="A703" s="1" t="s">
        <v>715</v>
      </c>
      <c r="B703">
        <f>HYPERLINK("https://www.suredividend.com/sure-analysis-research-database/","Crinetics Pharmaceuticals Inc")</f>
        <v>0</v>
      </c>
      <c r="C703" t="s">
        <v>3180</v>
      </c>
      <c r="D703">
        <v>29.2</v>
      </c>
      <c r="E703">
        <v>0</v>
      </c>
      <c r="F703" t="s">
        <v>3182</v>
      </c>
      <c r="G703" t="s">
        <v>3182</v>
      </c>
      <c r="H703">
        <v>0</v>
      </c>
      <c r="I703">
        <v>1596.84726</v>
      </c>
      <c r="J703" t="s">
        <v>3182</v>
      </c>
      <c r="K703">
        <v>-0</v>
      </c>
      <c r="L703">
        <v>1.034375060311763</v>
      </c>
      <c r="M703">
        <v>31</v>
      </c>
      <c r="N703">
        <v>15.23</v>
      </c>
    </row>
    <row r="704" spans="1:14">
      <c r="A704" s="1" t="s">
        <v>716</v>
      </c>
      <c r="B704">
        <f>HYPERLINK("https://www.suredividend.com/sure-analysis-research-database/","Crocs Inc")</f>
        <v>0</v>
      </c>
      <c r="C704" t="s">
        <v>3186</v>
      </c>
      <c r="D704">
        <v>82.79000000000001</v>
      </c>
      <c r="E704">
        <v>0</v>
      </c>
      <c r="F704" t="s">
        <v>3182</v>
      </c>
      <c r="G704" t="s">
        <v>3182</v>
      </c>
      <c r="H704">
        <v>0</v>
      </c>
      <c r="I704">
        <v>5103.52812</v>
      </c>
      <c r="J704">
        <v>7.628147417146087</v>
      </c>
      <c r="K704">
        <v>0</v>
      </c>
      <c r="L704">
        <v>1.473762362946247</v>
      </c>
      <c r="M704">
        <v>151.32</v>
      </c>
      <c r="N704">
        <v>74</v>
      </c>
    </row>
    <row r="705" spans="1:14">
      <c r="A705" s="1" t="s">
        <v>717</v>
      </c>
      <c r="B705">
        <f>HYPERLINK("https://www.suredividend.com/sure-analysis-research-database/","Carpenter Technology Corp.")</f>
        <v>0</v>
      </c>
      <c r="C705" t="s">
        <v>3183</v>
      </c>
      <c r="D705">
        <v>67.25</v>
      </c>
      <c r="E705">
        <v>0.011835017166652</v>
      </c>
      <c r="F705">
        <v>0</v>
      </c>
      <c r="G705">
        <v>0</v>
      </c>
      <c r="H705">
        <v>0.795904904457404</v>
      </c>
      <c r="I705">
        <v>3315.855602</v>
      </c>
      <c r="J705">
        <v>31.04733709503745</v>
      </c>
      <c r="K705">
        <v>0.3684744928043537</v>
      </c>
      <c r="L705">
        <v>1.470876277808758</v>
      </c>
      <c r="M705">
        <v>72.42</v>
      </c>
      <c r="N705">
        <v>35.2</v>
      </c>
    </row>
    <row r="706" spans="1:14">
      <c r="A706" s="1" t="s">
        <v>718</v>
      </c>
      <c r="B706">
        <f>HYPERLINK("https://www.suredividend.com/sure-analysis-research-database/","Cirrus Logic, Inc.")</f>
        <v>0</v>
      </c>
      <c r="C706" t="s">
        <v>3185</v>
      </c>
      <c r="D706">
        <v>70.37</v>
      </c>
      <c r="E706">
        <v>0</v>
      </c>
      <c r="F706" t="s">
        <v>3182</v>
      </c>
      <c r="G706" t="s">
        <v>3182</v>
      </c>
      <c r="H706">
        <v>0</v>
      </c>
      <c r="I706">
        <v>3849.922574</v>
      </c>
      <c r="J706">
        <v>25.22951174460668</v>
      </c>
      <c r="K706">
        <v>0</v>
      </c>
      <c r="L706">
        <v>1.173171736196</v>
      </c>
      <c r="M706">
        <v>111.15</v>
      </c>
      <c r="N706">
        <v>65.02</v>
      </c>
    </row>
    <row r="707" spans="1:14">
      <c r="A707" s="1" t="s">
        <v>719</v>
      </c>
      <c r="B707">
        <f>HYPERLINK("https://www.suredividend.com/sure-analysis-research-database/","Corvel Corp.")</f>
        <v>0</v>
      </c>
      <c r="C707" t="s">
        <v>3184</v>
      </c>
      <c r="D707">
        <v>200.55</v>
      </c>
      <c r="E707">
        <v>0</v>
      </c>
      <c r="F707" t="s">
        <v>3182</v>
      </c>
      <c r="G707" t="s">
        <v>3182</v>
      </c>
      <c r="H707">
        <v>0</v>
      </c>
      <c r="I707">
        <v>3443.343225</v>
      </c>
      <c r="J707">
        <v>49.55948164193498</v>
      </c>
      <c r="K707">
        <v>0</v>
      </c>
      <c r="L707">
        <v>0.6238146736814001</v>
      </c>
      <c r="M707">
        <v>228.94</v>
      </c>
      <c r="N707">
        <v>136.22</v>
      </c>
    </row>
    <row r="708" spans="1:14">
      <c r="A708" s="1" t="s">
        <v>720</v>
      </c>
      <c r="B708">
        <f>HYPERLINK("https://www.suredividend.com/sure-analysis-research-database/","Corvus Pharmaceuticals Inc")</f>
        <v>0</v>
      </c>
      <c r="C708" t="s">
        <v>3180</v>
      </c>
      <c r="D708">
        <v>1.22</v>
      </c>
      <c r="E708">
        <v>0</v>
      </c>
      <c r="F708" t="s">
        <v>3182</v>
      </c>
      <c r="G708" t="s">
        <v>3182</v>
      </c>
      <c r="H708">
        <v>0</v>
      </c>
      <c r="I708">
        <v>59.738352</v>
      </c>
      <c r="J708">
        <v>0</v>
      </c>
      <c r="K708" t="s">
        <v>3182</v>
      </c>
      <c r="L708">
        <v>1.291251755551753</v>
      </c>
      <c r="M708">
        <v>4.19</v>
      </c>
      <c r="N708">
        <v>0.607</v>
      </c>
    </row>
    <row r="709" spans="1:14">
      <c r="A709" s="1" t="s">
        <v>721</v>
      </c>
      <c r="B709">
        <f>HYPERLINK("https://www.suredividend.com/sure-analysis-research-database/","Crown Crafts, Inc.")</f>
        <v>0</v>
      </c>
      <c r="C709" t="s">
        <v>3186</v>
      </c>
      <c r="D709">
        <v>4.16</v>
      </c>
      <c r="E709">
        <v>0.07375262286865</v>
      </c>
      <c r="F709">
        <v>0</v>
      </c>
      <c r="G709">
        <v>0</v>
      </c>
      <c r="H709">
        <v>0.3068109111335851</v>
      </c>
      <c r="I709">
        <v>42.241917</v>
      </c>
      <c r="J709">
        <v>0</v>
      </c>
      <c r="K709" t="s">
        <v>3182</v>
      </c>
      <c r="L709">
        <v>0.210089092846086</v>
      </c>
      <c r="M709">
        <v>5.67</v>
      </c>
      <c r="N709">
        <v>4.11</v>
      </c>
    </row>
    <row r="710" spans="1:14">
      <c r="A710" s="1" t="s">
        <v>722</v>
      </c>
      <c r="B710">
        <f>HYPERLINK("https://www.suredividend.com/sure-analysis-CSCO/","Cisco Systems, Inc.")</f>
        <v>0</v>
      </c>
      <c r="C710" t="s">
        <v>3185</v>
      </c>
      <c r="D710">
        <v>52.75</v>
      </c>
      <c r="E710">
        <v>0.02957345971563981</v>
      </c>
      <c r="F710">
        <v>0.02631578947368429</v>
      </c>
      <c r="G710">
        <v>0.03397522653195018</v>
      </c>
      <c r="H710">
        <v>1.519292722269558</v>
      </c>
      <c r="I710">
        <v>213893.748053</v>
      </c>
      <c r="J710">
        <v>16.95819773672005</v>
      </c>
      <c r="K710">
        <v>0.4948836228891069</v>
      </c>
      <c r="L710">
        <v>0.73228585807567</v>
      </c>
      <c r="M710">
        <v>57.35</v>
      </c>
      <c r="N710">
        <v>41.91</v>
      </c>
    </row>
    <row r="711" spans="1:14">
      <c r="A711" s="1" t="s">
        <v>723</v>
      </c>
      <c r="B711">
        <f>HYPERLINK("https://www.suredividend.com/sure-analysis-research-database/","Costar Group, Inc.")</f>
        <v>0</v>
      </c>
      <c r="C711" t="s">
        <v>3187</v>
      </c>
      <c r="D711">
        <v>74.02</v>
      </c>
      <c r="E711">
        <v>0</v>
      </c>
      <c r="F711" t="s">
        <v>3182</v>
      </c>
      <c r="G711" t="s">
        <v>3182</v>
      </c>
      <c r="H711">
        <v>0</v>
      </c>
      <c r="I711">
        <v>30227.056499</v>
      </c>
      <c r="J711">
        <v>75.08018315923864</v>
      </c>
      <c r="K711">
        <v>0</v>
      </c>
      <c r="L711">
        <v>1.094044157287136</v>
      </c>
      <c r="M711">
        <v>92.36</v>
      </c>
      <c r="N711">
        <v>65.12</v>
      </c>
    </row>
    <row r="712" spans="1:14">
      <c r="A712" s="1" t="s">
        <v>724</v>
      </c>
      <c r="B712">
        <f>HYPERLINK("https://www.suredividend.com/sure-analysis-research-database/","CSG Systems International Inc.")</f>
        <v>0</v>
      </c>
      <c r="C712" t="s">
        <v>3185</v>
      </c>
      <c r="D712">
        <v>48.44</v>
      </c>
      <c r="E712">
        <v>0.022479580442015</v>
      </c>
      <c r="F712">
        <v>0.05660377358490565</v>
      </c>
      <c r="G712">
        <v>0.04704561713385425</v>
      </c>
      <c r="H712">
        <v>1.088910876611207</v>
      </c>
      <c r="I712">
        <v>1537.911678</v>
      </c>
      <c r="J712">
        <v>22.77982696765019</v>
      </c>
      <c r="K712">
        <v>0.4972195783612817</v>
      </c>
      <c r="L712">
        <v>0.800816471970865</v>
      </c>
      <c r="M712">
        <v>68.63</v>
      </c>
      <c r="N712">
        <v>46.02</v>
      </c>
    </row>
    <row r="713" spans="1:14">
      <c r="A713" s="1" t="s">
        <v>725</v>
      </c>
      <c r="B713">
        <f>HYPERLINK("https://www.suredividend.com/sure-analysis-research-database/","Cardiovascular Systems Inc.")</f>
        <v>0</v>
      </c>
      <c r="C713" t="s">
        <v>3180</v>
      </c>
      <c r="D713">
        <v>20</v>
      </c>
      <c r="E713">
        <v>0</v>
      </c>
      <c r="F713" t="s">
        <v>3182</v>
      </c>
      <c r="G713" t="s">
        <v>3182</v>
      </c>
      <c r="H713">
        <v>0</v>
      </c>
      <c r="I713">
        <v>0</v>
      </c>
      <c r="J713">
        <v>0</v>
      </c>
      <c r="K713">
        <v>-0</v>
      </c>
    </row>
    <row r="714" spans="1:14">
      <c r="A714" s="1" t="s">
        <v>726</v>
      </c>
      <c r="B714">
        <f>HYPERLINK("https://www.suredividend.com/sure-analysis-CSL/","Carlisle Companies Inc.")</f>
        <v>0</v>
      </c>
      <c r="C714" t="s">
        <v>3183</v>
      </c>
      <c r="D714">
        <v>263.35</v>
      </c>
      <c r="E714">
        <v>0.01291057528004557</v>
      </c>
      <c r="F714">
        <v>0.1333333333333333</v>
      </c>
      <c r="G714">
        <v>0.1627110152194982</v>
      </c>
      <c r="H714">
        <v>3.085817148443344</v>
      </c>
      <c r="I714">
        <v>12820.774443</v>
      </c>
      <c r="J714">
        <v>17.41716403124576</v>
      </c>
      <c r="K714">
        <v>0.214889773568478</v>
      </c>
      <c r="L714">
        <v>1.0612195075338</v>
      </c>
      <c r="M714">
        <v>288.25</v>
      </c>
      <c r="N714">
        <v>202.33</v>
      </c>
    </row>
    <row r="715" spans="1:14">
      <c r="A715" s="1" t="s">
        <v>727</v>
      </c>
      <c r="B715">
        <f>HYPERLINK("https://www.suredividend.com/sure-analysis-research-database/","Castlight Health Inc")</f>
        <v>0</v>
      </c>
      <c r="C715" t="s">
        <v>3180</v>
      </c>
      <c r="D715">
        <v>2.05</v>
      </c>
      <c r="E715">
        <v>0</v>
      </c>
      <c r="F715" t="s">
        <v>3182</v>
      </c>
      <c r="G715" t="s">
        <v>3182</v>
      </c>
      <c r="H715">
        <v>0</v>
      </c>
      <c r="I715">
        <v>274.154505</v>
      </c>
      <c r="J715">
        <v>0</v>
      </c>
      <c r="K715" t="s">
        <v>3182</v>
      </c>
      <c r="M715">
        <v>2.71</v>
      </c>
      <c r="N715">
        <v>1.35</v>
      </c>
    </row>
    <row r="716" spans="1:14">
      <c r="A716" s="1" t="s">
        <v>728</v>
      </c>
      <c r="B716">
        <f>HYPERLINK("https://www.suredividend.com/sure-analysis-research-database/","Cornerstone OnDemand Inc")</f>
        <v>0</v>
      </c>
      <c r="C716" t="s">
        <v>3185</v>
      </c>
      <c r="D716">
        <v>57.49</v>
      </c>
      <c r="E716">
        <v>0</v>
      </c>
      <c r="F716" t="s">
        <v>3182</v>
      </c>
      <c r="G716" t="s">
        <v>3182</v>
      </c>
      <c r="H716">
        <v>0</v>
      </c>
      <c r="I716">
        <v>0</v>
      </c>
      <c r="J716">
        <v>0</v>
      </c>
      <c r="K716">
        <v>-0</v>
      </c>
    </row>
    <row r="717" spans="1:14">
      <c r="A717" s="1" t="s">
        <v>729</v>
      </c>
      <c r="B717">
        <f>HYPERLINK("https://www.suredividend.com/sure-analysis-research-database/","CSP Inc.")</f>
        <v>0</v>
      </c>
      <c r="C717" t="s">
        <v>3185</v>
      </c>
      <c r="D717">
        <v>21.4</v>
      </c>
      <c r="E717">
        <v>0.006491139435450001</v>
      </c>
      <c r="F717" t="s">
        <v>3182</v>
      </c>
      <c r="G717" t="s">
        <v>3182</v>
      </c>
      <c r="H717">
        <v>0.138910383918648</v>
      </c>
      <c r="I717">
        <v>101.170062</v>
      </c>
      <c r="J717">
        <v>0</v>
      </c>
      <c r="K717" t="s">
        <v>3182</v>
      </c>
      <c r="M717">
        <v>26.39</v>
      </c>
      <c r="N717">
        <v>6.94</v>
      </c>
    </row>
    <row r="718" spans="1:14">
      <c r="A718" s="1" t="s">
        <v>730</v>
      </c>
      <c r="B718">
        <f>HYPERLINK("https://www.suredividend.com/sure-analysis-research-database/","CapStar Financial Holdings Inc")</f>
        <v>0</v>
      </c>
      <c r="C718" t="s">
        <v>3184</v>
      </c>
      <c r="D718">
        <v>15.69</v>
      </c>
      <c r="E718">
        <v>0.026216028974038</v>
      </c>
      <c r="F718" t="s">
        <v>3182</v>
      </c>
      <c r="G718" t="s">
        <v>3182</v>
      </c>
      <c r="H718">
        <v>0.411329494602664</v>
      </c>
      <c r="I718">
        <v>326.736154</v>
      </c>
      <c r="J718">
        <v>10.01582226595549</v>
      </c>
      <c r="K718">
        <v>0.2724036388097113</v>
      </c>
      <c r="L718">
        <v>0.9010437322193561</v>
      </c>
      <c r="M718">
        <v>17.82</v>
      </c>
      <c r="N718">
        <v>10.86</v>
      </c>
    </row>
    <row r="719" spans="1:14">
      <c r="A719" s="1" t="s">
        <v>731</v>
      </c>
      <c r="B719">
        <f>HYPERLINK("https://www.suredividend.com/sure-analysis-research-database/","Carriage Services, Inc.")</f>
        <v>0</v>
      </c>
      <c r="C719" t="s">
        <v>3186</v>
      </c>
      <c r="D719">
        <v>22.93</v>
      </c>
      <c r="E719">
        <v>0.019514259872016</v>
      </c>
      <c r="F719">
        <v>0</v>
      </c>
      <c r="G719">
        <v>0.08447177119769855</v>
      </c>
      <c r="H719">
        <v>0.447461978865331</v>
      </c>
      <c r="I719">
        <v>343.164739</v>
      </c>
      <c r="J719">
        <v>11.05022505941072</v>
      </c>
      <c r="K719">
        <v>0.2226178999330005</v>
      </c>
      <c r="L719">
        <v>1.114721312048306</v>
      </c>
      <c r="M719">
        <v>35.71</v>
      </c>
      <c r="N719">
        <v>20.91</v>
      </c>
    </row>
    <row r="720" spans="1:14">
      <c r="A720" s="1" t="s">
        <v>732</v>
      </c>
      <c r="B720">
        <f>HYPERLINK("https://www.suredividend.com/sure-analysis-research-database/","CSW Industrials Inc")</f>
        <v>0</v>
      </c>
      <c r="C720" t="s">
        <v>3183</v>
      </c>
      <c r="D720">
        <v>171.62</v>
      </c>
      <c r="E720">
        <v>0.004299818349078</v>
      </c>
      <c r="F720" t="s">
        <v>3182</v>
      </c>
      <c r="G720" t="s">
        <v>3182</v>
      </c>
      <c r="H720">
        <v>0.7379348250688781</v>
      </c>
      <c r="I720">
        <v>2666.9748</v>
      </c>
      <c r="J720">
        <v>27.32472157618106</v>
      </c>
      <c r="K720">
        <v>0.1173187321254178</v>
      </c>
      <c r="L720">
        <v>0.8988862734548591</v>
      </c>
      <c r="M720">
        <v>190.21</v>
      </c>
      <c r="N720">
        <v>110.88</v>
      </c>
    </row>
    <row r="721" spans="1:14">
      <c r="A721" s="1" t="s">
        <v>733</v>
      </c>
      <c r="B721">
        <f>HYPERLINK("https://www.suredividend.com/sure-analysis-CSX/","CSX Corp.")</f>
        <v>0</v>
      </c>
      <c r="C721" t="s">
        <v>3183</v>
      </c>
      <c r="D721">
        <v>30.39</v>
      </c>
      <c r="E721">
        <v>0.01447844685751892</v>
      </c>
      <c r="F721">
        <v>0.09999999999999987</v>
      </c>
      <c r="G721">
        <v>-0.1294494367038759</v>
      </c>
      <c r="H721">
        <v>0.425875320499547</v>
      </c>
      <c r="I721">
        <v>60054.622154</v>
      </c>
      <c r="J721">
        <v>15.61076739112295</v>
      </c>
      <c r="K721">
        <v>0.2265294257976314</v>
      </c>
      <c r="L721">
        <v>0.899389470289902</v>
      </c>
      <c r="M721">
        <v>34.13</v>
      </c>
      <c r="N721">
        <v>27.21</v>
      </c>
    </row>
    <row r="722" spans="1:14">
      <c r="A722" s="1" t="s">
        <v>734</v>
      </c>
      <c r="B722">
        <f>HYPERLINK("https://www.suredividend.com/sure-analysis-CTAS/","Cintas Corporation")</f>
        <v>0</v>
      </c>
      <c r="C722" t="s">
        <v>3183</v>
      </c>
      <c r="D722">
        <v>511.09</v>
      </c>
      <c r="E722">
        <v>0.01056565379874386</v>
      </c>
      <c r="F722" t="s">
        <v>3182</v>
      </c>
      <c r="G722" t="s">
        <v>3182</v>
      </c>
      <c r="H722">
        <v>4.772537920089739</v>
      </c>
      <c r="I722">
        <v>52056.621169</v>
      </c>
      <c r="J722">
        <v>37.83451389278168</v>
      </c>
      <c r="K722">
        <v>0.3588374376007323</v>
      </c>
      <c r="L722">
        <v>0.9410148667514011</v>
      </c>
      <c r="M722">
        <v>525.37</v>
      </c>
      <c r="N722">
        <v>400.35</v>
      </c>
    </row>
    <row r="723" spans="1:14">
      <c r="A723" s="1" t="s">
        <v>735</v>
      </c>
      <c r="B723">
        <f>HYPERLINK("https://www.suredividend.com/sure-analysis-research-database/","Cooper Tire &amp; Rubber Co.")</f>
        <v>0</v>
      </c>
      <c r="C723" t="s">
        <v>3186</v>
      </c>
      <c r="D723">
        <v>60.17</v>
      </c>
      <c r="E723">
        <v>0.006959908765423001</v>
      </c>
      <c r="F723" t="s">
        <v>3182</v>
      </c>
      <c r="G723" t="s">
        <v>3182</v>
      </c>
      <c r="H723">
        <v>0.41877771041551</v>
      </c>
      <c r="I723">
        <v>3040.024387</v>
      </c>
      <c r="J723">
        <v>17.22988900832582</v>
      </c>
      <c r="K723">
        <v>0.1203384225331925</v>
      </c>
      <c r="M723">
        <v>60.46</v>
      </c>
      <c r="N723">
        <v>24.62</v>
      </c>
    </row>
    <row r="724" spans="1:14">
      <c r="A724" s="1" t="s">
        <v>736</v>
      </c>
      <c r="B724">
        <f>HYPERLINK("https://www.suredividend.com/sure-analysis-CTBI/","Community Trust Bancorp, Inc.")</f>
        <v>0</v>
      </c>
      <c r="C724" t="s">
        <v>3184</v>
      </c>
      <c r="D724">
        <v>39.01</v>
      </c>
      <c r="E724">
        <v>0.04716739297615996</v>
      </c>
      <c r="F724">
        <v>0.04545454545454541</v>
      </c>
      <c r="G724">
        <v>0.05024607263868264</v>
      </c>
      <c r="H724">
        <v>1.722233968003737</v>
      </c>
      <c r="I724">
        <v>701.845255</v>
      </c>
      <c r="J724">
        <v>8.71511020699846</v>
      </c>
      <c r="K724">
        <v>0.3818700594243319</v>
      </c>
      <c r="L724">
        <v>0.7615193884635441</v>
      </c>
      <c r="M724">
        <v>44.84</v>
      </c>
      <c r="N724">
        <v>31.13</v>
      </c>
    </row>
    <row r="725" spans="1:14">
      <c r="A725" s="1" t="s">
        <v>737</v>
      </c>
      <c r="B725">
        <f>HYPERLINK("https://www.suredividend.com/sure-analysis-research-database/","Computer Task Group, Inc.")</f>
        <v>0</v>
      </c>
      <c r="C725" t="s">
        <v>3185</v>
      </c>
      <c r="D725">
        <v>10.21</v>
      </c>
      <c r="E725">
        <v>0</v>
      </c>
      <c r="F725" t="s">
        <v>3182</v>
      </c>
      <c r="G725" t="s">
        <v>3182</v>
      </c>
      <c r="H725">
        <v>0</v>
      </c>
      <c r="I725">
        <v>163.817561</v>
      </c>
      <c r="J725">
        <v>65.1621166070008</v>
      </c>
      <c r="K725">
        <v>0</v>
      </c>
      <c r="L725">
        <v>0.0196441949596</v>
      </c>
      <c r="M725">
        <v>10.45</v>
      </c>
      <c r="N725">
        <v>6.05</v>
      </c>
    </row>
    <row r="726" spans="1:14">
      <c r="A726" s="1" t="s">
        <v>738</v>
      </c>
      <c r="B726">
        <f>HYPERLINK("https://www.suredividend.com/sure-analysis-research-database/","Charles &amp; Colvard Ltd")</f>
        <v>0</v>
      </c>
      <c r="C726" t="s">
        <v>3186</v>
      </c>
      <c r="D726">
        <v>0.338</v>
      </c>
      <c r="E726">
        <v>0</v>
      </c>
      <c r="F726" t="s">
        <v>3182</v>
      </c>
      <c r="G726" t="s">
        <v>3182</v>
      </c>
      <c r="H726">
        <v>0</v>
      </c>
      <c r="I726">
        <v>10.317012</v>
      </c>
      <c r="J726" t="s">
        <v>3182</v>
      </c>
      <c r="K726">
        <v>-0</v>
      </c>
      <c r="L726">
        <v>0.9126900168277741</v>
      </c>
      <c r="M726">
        <v>1.26</v>
      </c>
      <c r="N726">
        <v>0.3204</v>
      </c>
    </row>
    <row r="727" spans="1:14">
      <c r="A727" s="1" t="s">
        <v>739</v>
      </c>
      <c r="B727">
        <f>HYPERLINK("https://www.suredividend.com/sure-analysis-research-database/","CTI BioPharma Corp")</f>
        <v>0</v>
      </c>
      <c r="C727" t="s">
        <v>3180</v>
      </c>
      <c r="D727">
        <v>9.09</v>
      </c>
      <c r="E727">
        <v>0</v>
      </c>
      <c r="F727" t="s">
        <v>3182</v>
      </c>
      <c r="G727" t="s">
        <v>3182</v>
      </c>
      <c r="H727">
        <v>0</v>
      </c>
      <c r="I727">
        <v>0</v>
      </c>
      <c r="J727">
        <v>0</v>
      </c>
      <c r="K727">
        <v>-0</v>
      </c>
    </row>
    <row r="728" spans="1:14">
      <c r="A728" s="1" t="s">
        <v>740</v>
      </c>
      <c r="B728">
        <f>HYPERLINK("https://www.suredividend.com/sure-analysis-research-database/","Catalent Inc.")</f>
        <v>0</v>
      </c>
      <c r="C728" t="s">
        <v>3180</v>
      </c>
      <c r="D728">
        <v>32.89</v>
      </c>
      <c r="E728">
        <v>0</v>
      </c>
      <c r="F728" t="s">
        <v>3182</v>
      </c>
      <c r="G728" t="s">
        <v>3182</v>
      </c>
      <c r="H728">
        <v>0</v>
      </c>
      <c r="I728">
        <v>5929.137561</v>
      </c>
      <c r="J728">
        <v>12.2756471252381</v>
      </c>
      <c r="K728">
        <v>0</v>
      </c>
      <c r="L728">
        <v>1.208644191767707</v>
      </c>
      <c r="M728">
        <v>74.48999999999999</v>
      </c>
      <c r="N728">
        <v>31.45</v>
      </c>
    </row>
    <row r="729" spans="1:14">
      <c r="A729" s="1" t="s">
        <v>741</v>
      </c>
      <c r="B729">
        <f>HYPERLINK("https://www.suredividend.com/sure-analysis-research-database/","CytomX Therapeutics Inc")</f>
        <v>0</v>
      </c>
      <c r="C729" t="s">
        <v>3180</v>
      </c>
      <c r="D729">
        <v>1.17</v>
      </c>
      <c r="E729">
        <v>0</v>
      </c>
      <c r="F729" t="s">
        <v>3182</v>
      </c>
      <c r="G729" t="s">
        <v>3182</v>
      </c>
      <c r="H729">
        <v>0</v>
      </c>
      <c r="I729">
        <v>78.118301</v>
      </c>
      <c r="J729" t="s">
        <v>3182</v>
      </c>
      <c r="K729">
        <v>-0</v>
      </c>
      <c r="L729">
        <v>1.397467234049631</v>
      </c>
      <c r="M729">
        <v>3.02</v>
      </c>
      <c r="N729">
        <v>1.04</v>
      </c>
    </row>
    <row r="730" spans="1:14">
      <c r="A730" s="1" t="s">
        <v>742</v>
      </c>
      <c r="B730">
        <f>HYPERLINK("https://www.suredividend.com/sure-analysis-CTO/","CTO Realty Growth Inc")</f>
        <v>0</v>
      </c>
      <c r="C730" t="s">
        <v>3187</v>
      </c>
      <c r="D730">
        <v>16.65</v>
      </c>
      <c r="E730">
        <v>0.09129129129129129</v>
      </c>
      <c r="F730">
        <v>0</v>
      </c>
      <c r="G730">
        <v>0.3060407249698005</v>
      </c>
      <c r="H730">
        <v>1.470280282558944</v>
      </c>
      <c r="I730">
        <v>377.729293</v>
      </c>
      <c r="J730" t="s">
        <v>3182</v>
      </c>
      <c r="K730" t="s">
        <v>3182</v>
      </c>
      <c r="L730">
        <v>0.6366282159242851</v>
      </c>
      <c r="M730">
        <v>19.56</v>
      </c>
      <c r="N730">
        <v>15.01</v>
      </c>
    </row>
    <row r="731" spans="1:14">
      <c r="A731" s="1" t="s">
        <v>743</v>
      </c>
      <c r="B731">
        <f>HYPERLINK("https://www.suredividend.com/sure-analysis-CTRA/","Coterra Energy Inc")</f>
        <v>0</v>
      </c>
      <c r="C731" t="s">
        <v>3189</v>
      </c>
      <c r="D731">
        <v>28.07</v>
      </c>
      <c r="E731">
        <v>0.02850017812611329</v>
      </c>
      <c r="F731" t="s">
        <v>3182</v>
      </c>
      <c r="G731" t="s">
        <v>3182</v>
      </c>
      <c r="H731">
        <v>0.741101106234017</v>
      </c>
      <c r="I731">
        <v>21194.128308</v>
      </c>
      <c r="J731">
        <v>6.823608598776562</v>
      </c>
      <c r="K731">
        <v>0.1848132434498796</v>
      </c>
      <c r="L731">
        <v>0.9001729284103651</v>
      </c>
      <c r="M731">
        <v>29.89</v>
      </c>
      <c r="N731">
        <v>21.92</v>
      </c>
    </row>
    <row r="732" spans="1:14">
      <c r="A732" s="1" t="s">
        <v>744</v>
      </c>
      <c r="B732">
        <f>HYPERLINK("https://www.suredividend.com/sure-analysis-CTRE/","CareTrust REIT Inc")</f>
        <v>0</v>
      </c>
      <c r="C732" t="s">
        <v>3187</v>
      </c>
      <c r="D732">
        <v>22.23</v>
      </c>
      <c r="E732">
        <v>0.05038236617183986</v>
      </c>
      <c r="F732">
        <v>0.0181818181818183</v>
      </c>
      <c r="G732">
        <v>0.06434110272003535</v>
      </c>
      <c r="H732">
        <v>1.091760217920727</v>
      </c>
      <c r="I732">
        <v>2211.357793</v>
      </c>
      <c r="J732">
        <v>66.15879710755422</v>
      </c>
      <c r="K732">
        <v>3.200704244857013</v>
      </c>
      <c r="L732">
        <v>0.6937855771339131</v>
      </c>
      <c r="M732">
        <v>22.34</v>
      </c>
      <c r="N732">
        <v>17.11</v>
      </c>
    </row>
    <row r="733" spans="1:14">
      <c r="A733" s="1" t="s">
        <v>745</v>
      </c>
      <c r="B733">
        <f>HYPERLINK("https://www.suredividend.com/sure-analysis-research-database/","Citi Trends Inc")</f>
        <v>0</v>
      </c>
      <c r="C733" t="s">
        <v>3186</v>
      </c>
      <c r="D733">
        <v>24.5</v>
      </c>
      <c r="E733">
        <v>0</v>
      </c>
      <c r="F733" t="s">
        <v>3182</v>
      </c>
      <c r="G733" t="s">
        <v>3182</v>
      </c>
      <c r="H733">
        <v>0</v>
      </c>
      <c r="I733">
        <v>209.819397</v>
      </c>
      <c r="J733">
        <v>10.72805994989263</v>
      </c>
      <c r="K733">
        <v>0</v>
      </c>
      <c r="L733">
        <v>1.632589588978995</v>
      </c>
      <c r="M733">
        <v>34.94</v>
      </c>
      <c r="N733">
        <v>14.21</v>
      </c>
    </row>
    <row r="734" spans="1:14">
      <c r="A734" s="1" t="s">
        <v>746</v>
      </c>
      <c r="B734">
        <f>HYPERLINK("https://www.suredividend.com/sure-analysis-research-database/","CTS Corp.")</f>
        <v>0</v>
      </c>
      <c r="C734" t="s">
        <v>3185</v>
      </c>
      <c r="D734">
        <v>39.46</v>
      </c>
      <c r="E734">
        <v>0.004048871677210001</v>
      </c>
      <c r="F734">
        <v>0</v>
      </c>
      <c r="G734">
        <v>0</v>
      </c>
      <c r="H734">
        <v>0.159768476382708</v>
      </c>
      <c r="I734">
        <v>1229.495864</v>
      </c>
      <c r="J734">
        <v>20.43981686061976</v>
      </c>
      <c r="K734">
        <v>0.08453358538767619</v>
      </c>
      <c r="L734">
        <v>0.7819585547387671</v>
      </c>
      <c r="M734">
        <v>49.49</v>
      </c>
      <c r="N734">
        <v>35.5</v>
      </c>
    </row>
    <row r="735" spans="1:14">
      <c r="A735" s="1" t="s">
        <v>747</v>
      </c>
      <c r="B735">
        <f>HYPERLINK("https://www.suredividend.com/sure-analysis-CTSH/","Cognizant Technology Solutions Corp.")</f>
        <v>0</v>
      </c>
      <c r="C735" t="s">
        <v>3185</v>
      </c>
      <c r="D735">
        <v>63.65</v>
      </c>
      <c r="E735">
        <v>0.01822466614296936</v>
      </c>
      <c r="F735">
        <v>0.07407407407407396</v>
      </c>
      <c r="G735">
        <v>0.07714358779274311</v>
      </c>
      <c r="H735">
        <v>1.132699009795354</v>
      </c>
      <c r="I735">
        <v>32145.884601</v>
      </c>
      <c r="J735">
        <v>14.65840611071591</v>
      </c>
      <c r="K735">
        <v>0.2640324032157002</v>
      </c>
      <c r="L735">
        <v>0.975389108847139</v>
      </c>
      <c r="M735">
        <v>72.40000000000001</v>
      </c>
      <c r="N735">
        <v>50.54</v>
      </c>
    </row>
    <row r="736" spans="1:14">
      <c r="A736" s="1" t="s">
        <v>748</v>
      </c>
      <c r="B736">
        <f>HYPERLINK("https://www.suredividend.com/sure-analysis-research-database/","Cytosorbents Corp")</f>
        <v>0</v>
      </c>
      <c r="C736" t="s">
        <v>3180</v>
      </c>
      <c r="D736">
        <v>1.495</v>
      </c>
      <c r="E736">
        <v>0</v>
      </c>
      <c r="F736" t="s">
        <v>3182</v>
      </c>
      <c r="G736" t="s">
        <v>3182</v>
      </c>
      <c r="H736">
        <v>0</v>
      </c>
      <c r="I736">
        <v>66.32176699999999</v>
      </c>
      <c r="J736">
        <v>0</v>
      </c>
      <c r="K736" t="s">
        <v>3182</v>
      </c>
      <c r="L736">
        <v>1.031491116836138</v>
      </c>
      <c r="M736">
        <v>4.59</v>
      </c>
      <c r="N736">
        <v>1.03</v>
      </c>
    </row>
    <row r="737" spans="1:14">
      <c r="A737" s="1" t="s">
        <v>749</v>
      </c>
      <c r="B737">
        <f>HYPERLINK("https://www.suredividend.com/sure-analysis-research-database/","CatchMark Timber Trust Inc")</f>
        <v>0</v>
      </c>
      <c r="C737" t="s">
        <v>3187</v>
      </c>
      <c r="D737">
        <v>10.37</v>
      </c>
      <c r="E737">
        <v>0</v>
      </c>
      <c r="F737" t="s">
        <v>3182</v>
      </c>
      <c r="G737" t="s">
        <v>3182</v>
      </c>
      <c r="H737">
        <v>0.222892087137926</v>
      </c>
      <c r="I737">
        <v>510.983523</v>
      </c>
      <c r="J737">
        <v>0</v>
      </c>
      <c r="K737" t="s">
        <v>3182</v>
      </c>
    </row>
    <row r="738" spans="1:14">
      <c r="A738" s="1" t="s">
        <v>750</v>
      </c>
      <c r="B738">
        <f>HYPERLINK("https://www.suredividend.com/sure-analysis-research-database/","Corteva Inc")</f>
        <v>0</v>
      </c>
      <c r="C738" t="s">
        <v>3181</v>
      </c>
      <c r="D738">
        <v>49.56</v>
      </c>
      <c r="E738">
        <v>0.012249538025906</v>
      </c>
      <c r="F738" t="s">
        <v>3182</v>
      </c>
      <c r="G738" t="s">
        <v>3182</v>
      </c>
      <c r="H738">
        <v>0.607087104563933</v>
      </c>
      <c r="I738">
        <v>35175.90384</v>
      </c>
      <c r="J738">
        <v>38.11040502708559</v>
      </c>
      <c r="K738">
        <v>0.4706101585766923</v>
      </c>
      <c r="L738">
        <v>0.570307143873204</v>
      </c>
      <c r="M738">
        <v>67.54000000000001</v>
      </c>
      <c r="N738">
        <v>47.21</v>
      </c>
    </row>
    <row r="739" spans="1:14">
      <c r="A739" s="1" t="s">
        <v>751</v>
      </c>
      <c r="B739">
        <f>HYPERLINK("https://www.suredividend.com/sure-analysis-research-database/","Citrix Systems, Inc.")</f>
        <v>0</v>
      </c>
      <c r="C739" t="s">
        <v>3185</v>
      </c>
      <c r="D739">
        <v>103.9</v>
      </c>
      <c r="E739">
        <v>0</v>
      </c>
      <c r="F739" t="s">
        <v>3182</v>
      </c>
      <c r="G739" t="s">
        <v>3182</v>
      </c>
      <c r="H739">
        <v>0.370000004768371</v>
      </c>
      <c r="I739">
        <v>0</v>
      </c>
      <c r="J739">
        <v>0</v>
      </c>
      <c r="K739">
        <v>0.1423076941416812</v>
      </c>
    </row>
    <row r="740" spans="1:14">
      <c r="A740" s="1" t="s">
        <v>752</v>
      </c>
      <c r="B740">
        <f>HYPERLINK("https://www.suredividend.com/sure-analysis-research-database/","Cubic Corp.")</f>
        <v>0</v>
      </c>
      <c r="C740" t="s">
        <v>3183</v>
      </c>
      <c r="D740">
        <v>75</v>
      </c>
      <c r="E740">
        <v>0.003596500979032</v>
      </c>
      <c r="F740" t="s">
        <v>3182</v>
      </c>
      <c r="G740" t="s">
        <v>3182</v>
      </c>
      <c r="H740">
        <v>0.269737573427437</v>
      </c>
      <c r="I740">
        <v>2382.6432</v>
      </c>
      <c r="J740">
        <v>319.175244474213</v>
      </c>
      <c r="K740">
        <v>1.136694367582963</v>
      </c>
      <c r="L740">
        <v>0.7468079972166171</v>
      </c>
      <c r="M740">
        <v>78.13</v>
      </c>
      <c r="N740">
        <v>39.78</v>
      </c>
    </row>
    <row r="741" spans="1:14">
      <c r="A741" s="1" t="s">
        <v>753</v>
      </c>
      <c r="B741">
        <f>HYPERLINK("https://www.suredividend.com/sure-analysis-CUBE/","CubeSmart")</f>
        <v>0</v>
      </c>
      <c r="C741" t="s">
        <v>3187</v>
      </c>
      <c r="D741">
        <v>34.8</v>
      </c>
      <c r="E741">
        <v>0.05632183908045978</v>
      </c>
      <c r="F741">
        <v>0.1395348837209303</v>
      </c>
      <c r="G741">
        <v>0.08895321224138986</v>
      </c>
      <c r="H741">
        <v>1.925644884500353</v>
      </c>
      <c r="I741">
        <v>7823.338445</v>
      </c>
      <c r="J741">
        <v>20.04981725752508</v>
      </c>
      <c r="K741">
        <v>1.113089528612921</v>
      </c>
      <c r="L741">
        <v>0.921359709879316</v>
      </c>
      <c r="M741">
        <v>47.78</v>
      </c>
      <c r="N741">
        <v>33.17</v>
      </c>
    </row>
    <row r="742" spans="1:14">
      <c r="A742" s="1" t="s">
        <v>754</v>
      </c>
      <c r="B742">
        <f>HYPERLINK("https://www.suredividend.com/sure-analysis-research-database/","Customers Bancorp Inc")</f>
        <v>0</v>
      </c>
      <c r="C742" t="s">
        <v>3184</v>
      </c>
      <c r="D742">
        <v>41.83</v>
      </c>
      <c r="E742">
        <v>0</v>
      </c>
      <c r="F742" t="s">
        <v>3182</v>
      </c>
      <c r="G742" t="s">
        <v>3182</v>
      </c>
      <c r="H742">
        <v>0</v>
      </c>
      <c r="I742">
        <v>1307.186036</v>
      </c>
      <c r="J742">
        <v>7.211702789654582</v>
      </c>
      <c r="K742">
        <v>0</v>
      </c>
      <c r="L742">
        <v>2.114526721651986</v>
      </c>
      <c r="M742">
        <v>45</v>
      </c>
      <c r="N742">
        <v>6.87</v>
      </c>
    </row>
    <row r="743" spans="1:14">
      <c r="A743" s="1" t="s">
        <v>755</v>
      </c>
      <c r="B743">
        <f>HYPERLINK("https://www.suredividend.com/sure-analysis-research-database/","Cue Biopharma Inc")</f>
        <v>0</v>
      </c>
      <c r="C743" t="s">
        <v>3180</v>
      </c>
      <c r="D743">
        <v>2.22</v>
      </c>
      <c r="E743">
        <v>0</v>
      </c>
      <c r="F743" t="s">
        <v>3182</v>
      </c>
      <c r="G743" t="s">
        <v>3182</v>
      </c>
      <c r="H743">
        <v>0</v>
      </c>
      <c r="I743">
        <v>99.810197</v>
      </c>
      <c r="J743" t="s">
        <v>3182</v>
      </c>
      <c r="K743">
        <v>-0</v>
      </c>
      <c r="L743">
        <v>1.54117512218564</v>
      </c>
      <c r="M743">
        <v>5.12</v>
      </c>
      <c r="N743">
        <v>1.7</v>
      </c>
    </row>
    <row r="744" spans="1:14">
      <c r="A744" s="1" t="s">
        <v>756</v>
      </c>
      <c r="B744">
        <f>HYPERLINK("https://www.suredividend.com/sure-analysis-research-database/","Culp Inc.")</f>
        <v>0</v>
      </c>
      <c r="C744" t="s">
        <v>3186</v>
      </c>
      <c r="D744">
        <v>5.435</v>
      </c>
      <c r="E744">
        <v>0</v>
      </c>
      <c r="F744" t="s">
        <v>3182</v>
      </c>
      <c r="G744" t="s">
        <v>3182</v>
      </c>
      <c r="H744">
        <v>0</v>
      </c>
      <c r="I744">
        <v>67.705676</v>
      </c>
      <c r="J744" t="s">
        <v>3182</v>
      </c>
      <c r="K744">
        <v>-0</v>
      </c>
      <c r="L744">
        <v>0.167916056745445</v>
      </c>
      <c r="M744">
        <v>5.99</v>
      </c>
      <c r="N744">
        <v>4.16</v>
      </c>
    </row>
    <row r="745" spans="1:14">
      <c r="A745" s="1" t="s">
        <v>757</v>
      </c>
      <c r="B745">
        <f>HYPERLINK("https://www.suredividend.com/sure-analysis-research-database/","CURO Group Holdings Corp")</f>
        <v>0</v>
      </c>
      <c r="C745" t="s">
        <v>3184</v>
      </c>
      <c r="D745">
        <v>0.7658</v>
      </c>
      <c r="E745">
        <v>0</v>
      </c>
      <c r="F745" t="s">
        <v>3182</v>
      </c>
      <c r="G745" t="s">
        <v>3182</v>
      </c>
      <c r="H745">
        <v>0</v>
      </c>
      <c r="I745">
        <v>31.589216</v>
      </c>
      <c r="J745" t="s">
        <v>3182</v>
      </c>
      <c r="K745">
        <v>-0</v>
      </c>
      <c r="L745">
        <v>2.487206864074981</v>
      </c>
      <c r="M745">
        <v>4.96</v>
      </c>
      <c r="N745">
        <v>0.577</v>
      </c>
    </row>
    <row r="746" spans="1:14">
      <c r="A746" s="1" t="s">
        <v>758</v>
      </c>
      <c r="B746">
        <f>HYPERLINK("https://www.suredividend.com/sure-analysis-research-database/","Cutera Inc")</f>
        <v>0</v>
      </c>
      <c r="C746" t="s">
        <v>3180</v>
      </c>
      <c r="D746">
        <v>2.97</v>
      </c>
      <c r="E746">
        <v>0</v>
      </c>
      <c r="F746" t="s">
        <v>3182</v>
      </c>
      <c r="G746" t="s">
        <v>3182</v>
      </c>
      <c r="H746">
        <v>0</v>
      </c>
      <c r="I746">
        <v>59.233309</v>
      </c>
      <c r="J746" t="s">
        <v>3182</v>
      </c>
      <c r="K746">
        <v>-0</v>
      </c>
      <c r="L746">
        <v>2.006610633198536</v>
      </c>
      <c r="M746">
        <v>52.89</v>
      </c>
      <c r="N746">
        <v>2.84</v>
      </c>
    </row>
    <row r="747" spans="1:14">
      <c r="A747" s="1" t="s">
        <v>759</v>
      </c>
      <c r="B747">
        <f>HYPERLINK("https://www.suredividend.com/sure-analysis-CUZ/","Cousins Properties Inc.")</f>
        <v>0</v>
      </c>
      <c r="C747" t="s">
        <v>3187</v>
      </c>
      <c r="D747">
        <v>19.08</v>
      </c>
      <c r="E747">
        <v>0.06708595387840671</v>
      </c>
      <c r="F747">
        <v>0</v>
      </c>
      <c r="G747">
        <v>0.375457970585092</v>
      </c>
      <c r="H747">
        <v>1.251338884011839</v>
      </c>
      <c r="I747">
        <v>2895.843608</v>
      </c>
      <c r="J747">
        <v>32.79699655612938</v>
      </c>
      <c r="K747">
        <v>2.153767442361169</v>
      </c>
      <c r="L747">
        <v>1.394883586186825</v>
      </c>
      <c r="M747">
        <v>27.4</v>
      </c>
      <c r="N747">
        <v>17.26</v>
      </c>
    </row>
    <row r="748" spans="1:14">
      <c r="A748" s="1" t="s">
        <v>760</v>
      </c>
      <c r="B748">
        <f>HYPERLINK("https://www.suredividend.com/sure-analysis-research-database/","Covanta Holding Corporation")</f>
        <v>0</v>
      </c>
      <c r="C748" t="s">
        <v>3183</v>
      </c>
      <c r="D748">
        <v>20.26</v>
      </c>
      <c r="E748">
        <v>0.015688775559184</v>
      </c>
      <c r="F748" t="s">
        <v>3182</v>
      </c>
      <c r="G748" t="s">
        <v>3182</v>
      </c>
      <c r="H748">
        <v>0.317854592829069</v>
      </c>
      <c r="I748">
        <v>2694.766027</v>
      </c>
      <c r="J748">
        <v>107.7906410928</v>
      </c>
      <c r="K748">
        <v>1.713501848135143</v>
      </c>
      <c r="L748">
        <v>0.654400474387084</v>
      </c>
      <c r="M748">
        <v>20.26</v>
      </c>
      <c r="N748">
        <v>12.09</v>
      </c>
    </row>
    <row r="749" spans="1:14">
      <c r="A749" s="1" t="s">
        <v>761</v>
      </c>
      <c r="B749">
        <f>HYPERLINK("https://www.suredividend.com/sure-analysis-research-database/","CVB Financial Corp.")</f>
        <v>0</v>
      </c>
      <c r="C749" t="s">
        <v>3184</v>
      </c>
      <c r="D749">
        <v>17</v>
      </c>
      <c r="E749">
        <v>0.045820483950617</v>
      </c>
      <c r="F749">
        <v>0</v>
      </c>
      <c r="G749">
        <v>0.07394092378577932</v>
      </c>
      <c r="H749">
        <v>0.778948227160505</v>
      </c>
      <c r="I749">
        <v>2368.850431</v>
      </c>
      <c r="J749">
        <v>9.700730287108968</v>
      </c>
      <c r="K749">
        <v>0.4400837441584774</v>
      </c>
      <c r="L749">
        <v>1.051638555439048</v>
      </c>
      <c r="M749">
        <v>27.51</v>
      </c>
      <c r="N749">
        <v>10.23</v>
      </c>
    </row>
    <row r="750" spans="1:14">
      <c r="A750" s="1" t="s">
        <v>762</v>
      </c>
      <c r="B750">
        <f>HYPERLINK("https://www.suredividend.com/sure-analysis-research-database/","Cavco Industries Inc")</f>
        <v>0</v>
      </c>
      <c r="C750" t="s">
        <v>3186</v>
      </c>
      <c r="D750">
        <v>256.09</v>
      </c>
      <c r="E750">
        <v>0</v>
      </c>
      <c r="F750" t="s">
        <v>3182</v>
      </c>
      <c r="G750" t="s">
        <v>3182</v>
      </c>
      <c r="H750">
        <v>0</v>
      </c>
      <c r="I750">
        <v>2222.138514</v>
      </c>
      <c r="J750">
        <v>9.775849236149909</v>
      </c>
      <c r="K750">
        <v>0</v>
      </c>
      <c r="L750">
        <v>1.455194508608708</v>
      </c>
      <c r="M750">
        <v>318</v>
      </c>
      <c r="N750">
        <v>197.23</v>
      </c>
    </row>
    <row r="751" spans="1:14">
      <c r="A751" s="1" t="s">
        <v>763</v>
      </c>
      <c r="B751">
        <f>HYPERLINK("https://www.suredividend.com/sure-analysis-research-database/","Central Valley Community Bancorp")</f>
        <v>0</v>
      </c>
      <c r="C751" t="s">
        <v>3184</v>
      </c>
      <c r="D751">
        <v>15.91</v>
      </c>
      <c r="E751">
        <v>0.029480029710942</v>
      </c>
      <c r="F751">
        <v>0</v>
      </c>
      <c r="G751">
        <v>0.03713728933664817</v>
      </c>
      <c r="H751">
        <v>0.46902727270109</v>
      </c>
      <c r="I751">
        <v>187.935682</v>
      </c>
      <c r="J751">
        <v>0</v>
      </c>
      <c r="K751" t="s">
        <v>3182</v>
      </c>
      <c r="L751">
        <v>0.742832007363694</v>
      </c>
      <c r="M751">
        <v>24.74</v>
      </c>
      <c r="N751">
        <v>12.22</v>
      </c>
    </row>
    <row r="752" spans="1:14">
      <c r="A752" s="1" t="s">
        <v>764</v>
      </c>
      <c r="B752">
        <f>HYPERLINK("https://www.suredividend.com/sure-analysis-research-database/","Covetrus Inc")</f>
        <v>0</v>
      </c>
      <c r="C752" t="s">
        <v>3180</v>
      </c>
      <c r="D752">
        <v>20.99</v>
      </c>
      <c r="E752">
        <v>0</v>
      </c>
      <c r="F752" t="s">
        <v>3182</v>
      </c>
      <c r="G752" t="s">
        <v>3182</v>
      </c>
      <c r="H752">
        <v>0</v>
      </c>
      <c r="I752">
        <v>0</v>
      </c>
      <c r="J752">
        <v>0</v>
      </c>
      <c r="K752" t="s">
        <v>3182</v>
      </c>
    </row>
    <row r="753" spans="1:14">
      <c r="A753" s="1" t="s">
        <v>765</v>
      </c>
      <c r="B753">
        <f>HYPERLINK("https://www.suredividend.com/sure-analysis-research-database/","Commercial Vehicle Group Inc")</f>
        <v>0</v>
      </c>
      <c r="C753" t="s">
        <v>3186</v>
      </c>
      <c r="D753">
        <v>6.21</v>
      </c>
      <c r="E753">
        <v>0</v>
      </c>
      <c r="F753" t="s">
        <v>3182</v>
      </c>
      <c r="G753" t="s">
        <v>3182</v>
      </c>
      <c r="H753">
        <v>0</v>
      </c>
      <c r="I753">
        <v>209.553966</v>
      </c>
      <c r="J753" t="s">
        <v>3182</v>
      </c>
      <c r="K753">
        <v>-0</v>
      </c>
      <c r="L753">
        <v>1.172692880493673</v>
      </c>
      <c r="M753">
        <v>11.96</v>
      </c>
      <c r="N753">
        <v>5.09</v>
      </c>
    </row>
    <row r="754" spans="1:14">
      <c r="A754" s="1" t="s">
        <v>766</v>
      </c>
      <c r="B754">
        <f>HYPERLINK("https://www.suredividend.com/sure-analysis-research-database/","Calavo Growers, Inc")</f>
        <v>0</v>
      </c>
      <c r="C754" t="s">
        <v>3188</v>
      </c>
      <c r="D754">
        <v>24.72</v>
      </c>
      <c r="E754">
        <v>0.023473534625303</v>
      </c>
      <c r="F754" t="s">
        <v>3182</v>
      </c>
      <c r="G754" t="s">
        <v>3182</v>
      </c>
      <c r="H754">
        <v>0.5802657759375101</v>
      </c>
      <c r="I754">
        <v>439.053428</v>
      </c>
      <c r="J754" t="s">
        <v>3182</v>
      </c>
      <c r="K754" t="s">
        <v>3182</v>
      </c>
      <c r="L754">
        <v>0.5868936852516491</v>
      </c>
      <c r="M754">
        <v>38.67</v>
      </c>
      <c r="N754">
        <v>22.24</v>
      </c>
    </row>
    <row r="755" spans="1:14">
      <c r="A755" s="1" t="s">
        <v>767</v>
      </c>
      <c r="B755">
        <f>HYPERLINK("https://www.suredividend.com/sure-analysis-research-database/","CVR Energy Inc")</f>
        <v>0</v>
      </c>
      <c r="C755" t="s">
        <v>3189</v>
      </c>
      <c r="D755">
        <v>33.53</v>
      </c>
      <c r="E755">
        <v>0.055276066958503</v>
      </c>
      <c r="F755">
        <v>1.5</v>
      </c>
      <c r="G755">
        <v>0.05922384104881218</v>
      </c>
      <c r="H755">
        <v>1.853406525118621</v>
      </c>
      <c r="I755">
        <v>3370.790984</v>
      </c>
      <c r="J755">
        <v>4.272231919480356</v>
      </c>
      <c r="K755">
        <v>0.2361027420533275</v>
      </c>
      <c r="L755">
        <v>0.719065188453694</v>
      </c>
      <c r="M755">
        <v>39.29</v>
      </c>
      <c r="N755">
        <v>22.3</v>
      </c>
    </row>
    <row r="756" spans="1:14">
      <c r="A756" s="1" t="s">
        <v>768</v>
      </c>
      <c r="B756">
        <f>HYPERLINK("https://www.suredividend.com/sure-analysis-research-database/","Commvault Systems Inc")</f>
        <v>0</v>
      </c>
      <c r="C756" t="s">
        <v>3185</v>
      </c>
      <c r="D756">
        <v>65.97</v>
      </c>
      <c r="E756">
        <v>0</v>
      </c>
      <c r="F756" t="s">
        <v>3182</v>
      </c>
      <c r="G756" t="s">
        <v>3182</v>
      </c>
      <c r="H756">
        <v>0</v>
      </c>
      <c r="I756">
        <v>2894.414817</v>
      </c>
      <c r="J756" t="s">
        <v>3182</v>
      </c>
      <c r="K756">
        <v>-0</v>
      </c>
      <c r="L756">
        <v>0.773069623071264</v>
      </c>
      <c r="M756">
        <v>78.8</v>
      </c>
      <c r="N756">
        <v>53.2</v>
      </c>
    </row>
    <row r="757" spans="1:14">
      <c r="A757" s="1" t="s">
        <v>769</v>
      </c>
      <c r="B757">
        <f>HYPERLINK("https://www.suredividend.com/sure-analysis-research-database/","Codorus Valley Bancorp, Inc.")</f>
        <v>0</v>
      </c>
      <c r="C757" t="s">
        <v>3184</v>
      </c>
      <c r="D757">
        <v>19.76</v>
      </c>
      <c r="E757">
        <v>0.03259611398307</v>
      </c>
      <c r="F757">
        <v>0.1333333333333335</v>
      </c>
      <c r="G757">
        <v>0.01219872924994259</v>
      </c>
      <c r="H757">
        <v>0.6440992123054661</v>
      </c>
      <c r="I757">
        <v>189.915534</v>
      </c>
      <c r="J757">
        <v>0</v>
      </c>
      <c r="K757" t="s">
        <v>3182</v>
      </c>
      <c r="L757">
        <v>0.5170087295890421</v>
      </c>
      <c r="M757">
        <v>24.71</v>
      </c>
      <c r="N757">
        <v>15.47</v>
      </c>
    </row>
    <row r="758" spans="1:14">
      <c r="A758" s="1" t="s">
        <v>770</v>
      </c>
      <c r="B758">
        <f>HYPERLINK("https://www.suredividend.com/sure-analysis-research-database/","Cel-Sci Corp.")</f>
        <v>0</v>
      </c>
      <c r="C758" t="s">
        <v>3180</v>
      </c>
      <c r="D758">
        <v>1.85</v>
      </c>
      <c r="E758">
        <v>0</v>
      </c>
      <c r="F758" t="s">
        <v>3182</v>
      </c>
      <c r="G758" t="s">
        <v>3182</v>
      </c>
      <c r="H758">
        <v>0</v>
      </c>
      <c r="I758">
        <v>87.431179</v>
      </c>
      <c r="J758" t="s">
        <v>3182</v>
      </c>
      <c r="K758">
        <v>-0</v>
      </c>
      <c r="L758">
        <v>1.433480432611277</v>
      </c>
      <c r="M758">
        <v>3.62</v>
      </c>
      <c r="N758">
        <v>1.04</v>
      </c>
    </row>
    <row r="759" spans="1:14">
      <c r="A759" s="1" t="s">
        <v>771</v>
      </c>
      <c r="B759">
        <f>HYPERLINK("https://www.suredividend.com/sure-analysis-research-database/","Carvana Co.")</f>
        <v>0</v>
      </c>
      <c r="C759" t="s">
        <v>3186</v>
      </c>
      <c r="D759">
        <v>29.92</v>
      </c>
      <c r="E759">
        <v>0</v>
      </c>
      <c r="F759" t="s">
        <v>3182</v>
      </c>
      <c r="G759" t="s">
        <v>3182</v>
      </c>
      <c r="H759">
        <v>0</v>
      </c>
      <c r="I759">
        <v>5650.332788</v>
      </c>
      <c r="J759" t="s">
        <v>3182</v>
      </c>
      <c r="K759">
        <v>-0</v>
      </c>
      <c r="L759">
        <v>4.132663881957072</v>
      </c>
      <c r="M759">
        <v>57.19</v>
      </c>
      <c r="N759">
        <v>3.55</v>
      </c>
    </row>
    <row r="760" spans="1:14">
      <c r="A760" s="1" t="s">
        <v>772</v>
      </c>
      <c r="B760">
        <f>HYPERLINK("https://www.suredividend.com/sure-analysis-research-database/","Chicago Rivet &amp; Machine Co.")</f>
        <v>0</v>
      </c>
      <c r="C760" t="s">
        <v>3183</v>
      </c>
      <c r="D760">
        <v>17.51</v>
      </c>
      <c r="E760">
        <v>0.042504042001183</v>
      </c>
      <c r="F760">
        <v>-0.5454545454545454</v>
      </c>
      <c r="G760">
        <v>-0.1458867408852547</v>
      </c>
      <c r="H760">
        <v>0.744245775440728</v>
      </c>
      <c r="I760">
        <v>16.916971</v>
      </c>
      <c r="J760">
        <v>0</v>
      </c>
      <c r="K760" t="s">
        <v>3182</v>
      </c>
      <c r="M760">
        <v>32.06</v>
      </c>
      <c r="N760">
        <v>16.65</v>
      </c>
    </row>
    <row r="761" spans="1:14">
      <c r="A761" s="1" t="s">
        <v>773</v>
      </c>
      <c r="B761">
        <f>HYPERLINK("https://www.suredividend.com/sure-analysis-CVS/","CVS Health Corp")</f>
        <v>0</v>
      </c>
      <c r="C761" t="s">
        <v>3180</v>
      </c>
      <c r="D761">
        <v>69.64</v>
      </c>
      <c r="E761">
        <v>0.03475014359563469</v>
      </c>
      <c r="F761">
        <v>0.09999999999999987</v>
      </c>
      <c r="G761">
        <v>0.03886011825408464</v>
      </c>
      <c r="H761">
        <v>2.389945246701477</v>
      </c>
      <c r="I761">
        <v>89619.47797000001</v>
      </c>
      <c r="J761">
        <v>30.6601019399521</v>
      </c>
      <c r="K761">
        <v>1.066939842277445</v>
      </c>
      <c r="L761">
        <v>0.495059765579611</v>
      </c>
      <c r="M761">
        <v>101.55</v>
      </c>
      <c r="N761">
        <v>64.06999999999999</v>
      </c>
    </row>
    <row r="762" spans="1:14">
      <c r="A762" s="1" t="s">
        <v>774</v>
      </c>
      <c r="B762">
        <f>HYPERLINK("https://www.suredividend.com/sure-analysis-research-database/","CPI Aerostructures Inc")</f>
        <v>0</v>
      </c>
      <c r="C762" t="s">
        <v>3183</v>
      </c>
      <c r="D762">
        <v>2.95</v>
      </c>
      <c r="E762">
        <v>0</v>
      </c>
      <c r="F762" t="s">
        <v>3182</v>
      </c>
      <c r="G762" t="s">
        <v>3182</v>
      </c>
      <c r="H762">
        <v>0</v>
      </c>
      <c r="I762">
        <v>37.28577</v>
      </c>
      <c r="J762">
        <v>0</v>
      </c>
      <c r="K762" t="s">
        <v>3182</v>
      </c>
      <c r="L762">
        <v>1.046166354824216</v>
      </c>
      <c r="M762">
        <v>4.6</v>
      </c>
      <c r="N762">
        <v>2.11</v>
      </c>
    </row>
    <row r="763" spans="1:14">
      <c r="A763" s="1" t="s">
        <v>775</v>
      </c>
      <c r="B763">
        <f>HYPERLINK("https://www.suredividend.com/sure-analysis-research-database/","CVD Equipment Corp.")</f>
        <v>0</v>
      </c>
      <c r="C763" t="s">
        <v>3183</v>
      </c>
      <c r="D763">
        <v>5.5119</v>
      </c>
      <c r="E763">
        <v>0</v>
      </c>
      <c r="F763" t="s">
        <v>3182</v>
      </c>
      <c r="G763" t="s">
        <v>3182</v>
      </c>
      <c r="H763">
        <v>0</v>
      </c>
      <c r="I763">
        <v>37.558346</v>
      </c>
      <c r="J763">
        <v>0</v>
      </c>
      <c r="K763" t="s">
        <v>3182</v>
      </c>
      <c r="L763">
        <v>0.6527090172907161</v>
      </c>
      <c r="M763">
        <v>15.82</v>
      </c>
      <c r="N763">
        <v>5.07</v>
      </c>
    </row>
    <row r="764" spans="1:14">
      <c r="A764" s="1" t="s">
        <v>776</v>
      </c>
      <c r="B764">
        <f>HYPERLINK("https://www.suredividend.com/sure-analysis-CVX/","Chevron Corp.")</f>
        <v>0</v>
      </c>
      <c r="C764" t="s">
        <v>3189</v>
      </c>
      <c r="D764">
        <v>148.76</v>
      </c>
      <c r="E764">
        <v>0.04060231244958323</v>
      </c>
      <c r="F764">
        <v>0.06338028169014098</v>
      </c>
      <c r="G764">
        <v>0.06157769502902544</v>
      </c>
      <c r="H764">
        <v>5.8673869132964</v>
      </c>
      <c r="I764">
        <v>277771.39863</v>
      </c>
      <c r="J764">
        <v>9.207484706632192</v>
      </c>
      <c r="K764">
        <v>0.371118716843542</v>
      </c>
      <c r="L764">
        <v>0.649372573878891</v>
      </c>
      <c r="M764">
        <v>183.01</v>
      </c>
      <c r="N764">
        <v>143.82</v>
      </c>
    </row>
    <row r="765" spans="1:14">
      <c r="A765" s="1" t="s">
        <v>777</v>
      </c>
      <c r="B765">
        <f>HYPERLINK("https://www.suredividend.com/sure-analysis-research-database/","Curtiss-Wright Corp.")</f>
        <v>0</v>
      </c>
      <c r="C765" t="s">
        <v>3183</v>
      </c>
      <c r="D765">
        <v>204.28</v>
      </c>
      <c r="E765">
        <v>0.003812264975557</v>
      </c>
      <c r="F765" t="s">
        <v>3182</v>
      </c>
      <c r="G765" t="s">
        <v>3182</v>
      </c>
      <c r="H765">
        <v>0.778769489206913</v>
      </c>
      <c r="I765">
        <v>7825.035692</v>
      </c>
      <c r="J765">
        <v>24.40473213163837</v>
      </c>
      <c r="K765">
        <v>0.09371473997676449</v>
      </c>
      <c r="L765">
        <v>0.601339037535331</v>
      </c>
      <c r="M765">
        <v>210.21</v>
      </c>
      <c r="N765">
        <v>156.25</v>
      </c>
    </row>
    <row r="766" spans="1:14">
      <c r="A766" s="1" t="s">
        <v>778</v>
      </c>
      <c r="B766">
        <f>HYPERLINK("https://www.suredividend.com/sure-analysis-research-database/","Community West Bancshares")</f>
        <v>0</v>
      </c>
      <c r="C766" t="s">
        <v>3184</v>
      </c>
      <c r="D766">
        <v>13</v>
      </c>
      <c r="E766">
        <v>0.023755358533176</v>
      </c>
      <c r="F766">
        <v>0.06666666666666665</v>
      </c>
      <c r="G766">
        <v>0.07781806771272581</v>
      </c>
      <c r="H766">
        <v>0.308819660931298</v>
      </c>
      <c r="I766">
        <v>115.057111</v>
      </c>
      <c r="J766">
        <v>0</v>
      </c>
      <c r="K766" t="s">
        <v>3182</v>
      </c>
      <c r="M766">
        <v>14.81</v>
      </c>
      <c r="N766">
        <v>10.24</v>
      </c>
    </row>
    <row r="767" spans="1:14">
      <c r="A767" s="1" t="s">
        <v>779</v>
      </c>
      <c r="B767">
        <f>HYPERLINK("https://www.suredividend.com/sure-analysis-research-database/","CohBar Inc")</f>
        <v>0</v>
      </c>
      <c r="C767" t="s">
        <v>3180</v>
      </c>
      <c r="D767">
        <v>0.8998</v>
      </c>
      <c r="E767">
        <v>0</v>
      </c>
      <c r="F767" t="s">
        <v>3182</v>
      </c>
      <c r="G767" t="s">
        <v>3182</v>
      </c>
      <c r="H767">
        <v>0</v>
      </c>
      <c r="I767">
        <v>2.615652</v>
      </c>
      <c r="J767">
        <v>0</v>
      </c>
      <c r="K767" t="s">
        <v>3182</v>
      </c>
      <c r="L767">
        <v>-0.293869131981372</v>
      </c>
      <c r="M767">
        <v>6.9</v>
      </c>
      <c r="N767">
        <v>0.87</v>
      </c>
    </row>
    <row r="768" spans="1:14">
      <c r="A768" s="1" t="s">
        <v>780</v>
      </c>
      <c r="B768">
        <f>HYPERLINK("https://www.suredividend.com/sure-analysis-CWEN/","Clearway Energy Inc")</f>
        <v>0</v>
      </c>
      <c r="C768" t="s">
        <v>3190</v>
      </c>
      <c r="D768">
        <v>22.77</v>
      </c>
      <c r="E768">
        <v>0.03952569169960474</v>
      </c>
      <c r="F768">
        <v>0.07963374028856829</v>
      </c>
      <c r="G768">
        <v>0.03287234022994645</v>
      </c>
      <c r="H768">
        <v>1.481445908615819</v>
      </c>
      <c r="I768">
        <v>2618.739864</v>
      </c>
      <c r="J768">
        <v>31.9358520007317</v>
      </c>
      <c r="K768">
        <v>2.113633768891167</v>
      </c>
      <c r="L768">
        <v>0.847414524105884</v>
      </c>
      <c r="M768">
        <v>34.75</v>
      </c>
      <c r="N768">
        <v>18.59</v>
      </c>
    </row>
    <row r="769" spans="1:14">
      <c r="A769" s="1" t="s">
        <v>781</v>
      </c>
      <c r="B769">
        <f>HYPERLINK("https://www.suredividend.com/sure-analysis-CWH/","Camping World Holdings Inc")</f>
        <v>0</v>
      </c>
      <c r="C769" t="s">
        <v>3186</v>
      </c>
      <c r="D769">
        <v>18.61</v>
      </c>
      <c r="E769">
        <v>0.02686727565824825</v>
      </c>
      <c r="F769">
        <v>-0.8</v>
      </c>
      <c r="G769">
        <v>0.09336207394327811</v>
      </c>
      <c r="H769">
        <v>1.945255557108179</v>
      </c>
      <c r="I769">
        <v>829.080339</v>
      </c>
      <c r="J769">
        <v>20.84268536879683</v>
      </c>
      <c r="K769">
        <v>2.623406010934834</v>
      </c>
      <c r="L769">
        <v>1.550064983533449</v>
      </c>
      <c r="M769">
        <v>32.7</v>
      </c>
      <c r="N769">
        <v>16.18</v>
      </c>
    </row>
    <row r="770" spans="1:14">
      <c r="A770" s="1" t="s">
        <v>782</v>
      </c>
      <c r="B770">
        <f>HYPERLINK("https://www.suredividend.com/sure-analysis-research-database/","Casella Waste Systems, Inc.")</f>
        <v>0</v>
      </c>
      <c r="C770" t="s">
        <v>3183</v>
      </c>
      <c r="D770">
        <v>78.58</v>
      </c>
      <c r="E770">
        <v>0</v>
      </c>
      <c r="F770" t="s">
        <v>3182</v>
      </c>
      <c r="G770" t="s">
        <v>3182</v>
      </c>
      <c r="H770">
        <v>0</v>
      </c>
      <c r="I770">
        <v>4477.02077</v>
      </c>
      <c r="J770">
        <v>111.5601597373601</v>
      </c>
      <c r="K770">
        <v>0</v>
      </c>
      <c r="L770">
        <v>0.649909582450227</v>
      </c>
      <c r="M770">
        <v>95.78</v>
      </c>
      <c r="N770">
        <v>72.33</v>
      </c>
    </row>
    <row r="771" spans="1:14">
      <c r="A771" s="1" t="s">
        <v>783</v>
      </c>
      <c r="B771">
        <f>HYPERLINK("https://www.suredividend.com/sure-analysis-CWT/","California Water Service Group")</f>
        <v>0</v>
      </c>
      <c r="C771" t="s">
        <v>3190</v>
      </c>
      <c r="D771">
        <v>50.75</v>
      </c>
      <c r="E771">
        <v>0.02049261083743843</v>
      </c>
      <c r="F771">
        <v>0.04000000000000004</v>
      </c>
      <c r="G771">
        <v>0.05652858004369787</v>
      </c>
      <c r="H771">
        <v>1.022750526442292</v>
      </c>
      <c r="I771">
        <v>2928.83325</v>
      </c>
      <c r="J771">
        <v>70.82688261752757</v>
      </c>
      <c r="K771">
        <v>1.395674845035879</v>
      </c>
      <c r="L771">
        <v>0.651948375247263</v>
      </c>
      <c r="M771">
        <v>65.22</v>
      </c>
      <c r="N771">
        <v>45.44</v>
      </c>
    </row>
    <row r="772" spans="1:14">
      <c r="A772" s="1" t="s">
        <v>784</v>
      </c>
      <c r="B772">
        <f>HYPERLINK("https://www.suredividend.com/sure-analysis-research-database/","Concho Resources Inc")</f>
        <v>0</v>
      </c>
      <c r="C772" t="s">
        <v>3189</v>
      </c>
      <c r="D772">
        <v>65.59999999999999</v>
      </c>
      <c r="E772">
        <v>0.01212016019638</v>
      </c>
      <c r="F772" t="s">
        <v>3182</v>
      </c>
      <c r="G772" t="s">
        <v>3182</v>
      </c>
      <c r="H772">
        <v>0.795082508882577</v>
      </c>
      <c r="I772">
        <v>12877.584384</v>
      </c>
      <c r="J772" t="s">
        <v>3182</v>
      </c>
      <c r="K772" t="s">
        <v>3182</v>
      </c>
      <c r="L772">
        <v>1.354776460504515</v>
      </c>
      <c r="M772">
        <v>86.81</v>
      </c>
      <c r="N772">
        <v>35.58</v>
      </c>
    </row>
    <row r="773" spans="1:14">
      <c r="A773" s="1" t="s">
        <v>785</v>
      </c>
      <c r="B773">
        <f>HYPERLINK("https://www.suredividend.com/sure-analysis-research-database/","Columbia Property Trust Inc")</f>
        <v>0</v>
      </c>
      <c r="C773" t="s">
        <v>3187</v>
      </c>
      <c r="D773">
        <v>19.28</v>
      </c>
      <c r="E773">
        <v>0.032276797496104</v>
      </c>
      <c r="F773" t="s">
        <v>3182</v>
      </c>
      <c r="G773" t="s">
        <v>3182</v>
      </c>
      <c r="H773">
        <v>0.622296655724888</v>
      </c>
      <c r="I773">
        <v>2215.348812</v>
      </c>
      <c r="J773">
        <v>26.55815874267218</v>
      </c>
      <c r="K773">
        <v>0.8878536962831901</v>
      </c>
      <c r="L773">
        <v>0.424861045759279</v>
      </c>
      <c r="M773">
        <v>19.29</v>
      </c>
      <c r="N773">
        <v>12.71</v>
      </c>
    </row>
    <row r="774" spans="1:14">
      <c r="A774" s="1" t="s">
        <v>786</v>
      </c>
      <c r="B774">
        <f>HYPERLINK("https://www.suredividend.com/sure-analysis-research-database/","CoreCivic Inc")</f>
        <v>0</v>
      </c>
      <c r="C774" t="s">
        <v>3187</v>
      </c>
      <c r="D774">
        <v>13.26</v>
      </c>
      <c r="E774">
        <v>0</v>
      </c>
      <c r="F774" t="s">
        <v>3182</v>
      </c>
      <c r="G774" t="s">
        <v>3182</v>
      </c>
      <c r="H774">
        <v>0</v>
      </c>
      <c r="I774">
        <v>1506.4686</v>
      </c>
      <c r="J774">
        <v>12.55547443430429</v>
      </c>
      <c r="K774">
        <v>0</v>
      </c>
      <c r="L774">
        <v>0.609754278797874</v>
      </c>
      <c r="M774">
        <v>13.5</v>
      </c>
      <c r="N774">
        <v>7.84</v>
      </c>
    </row>
    <row r="775" spans="1:14">
      <c r="A775" s="1" t="s">
        <v>787</v>
      </c>
      <c r="B775">
        <f>HYPERLINK("https://www.suredividend.com/sure-analysis-research-database/","Cyanotech Corp.")</f>
        <v>0</v>
      </c>
      <c r="C775" t="s">
        <v>3188</v>
      </c>
      <c r="D775">
        <v>0.7000000000000001</v>
      </c>
      <c r="E775">
        <v>0</v>
      </c>
      <c r="F775" t="s">
        <v>3182</v>
      </c>
      <c r="G775" t="s">
        <v>3182</v>
      </c>
      <c r="H775">
        <v>0</v>
      </c>
      <c r="I775">
        <v>4.415607</v>
      </c>
      <c r="J775">
        <v>0</v>
      </c>
      <c r="K775" t="s">
        <v>3182</v>
      </c>
      <c r="M775">
        <v>2.06</v>
      </c>
      <c r="N775">
        <v>0.6112000000000001</v>
      </c>
    </row>
    <row r="776" spans="1:14">
      <c r="A776" s="1" t="s">
        <v>788</v>
      </c>
      <c r="B776">
        <f>HYPERLINK("https://www.suredividend.com/sure-analysis-research-database/","Cyberoptics Corp.")</f>
        <v>0</v>
      </c>
      <c r="C776" t="s">
        <v>3185</v>
      </c>
      <c r="D776">
        <v>54</v>
      </c>
      <c r="E776">
        <v>0</v>
      </c>
      <c r="F776" t="s">
        <v>3182</v>
      </c>
      <c r="G776" t="s">
        <v>3182</v>
      </c>
      <c r="H776">
        <v>0</v>
      </c>
      <c r="I776">
        <v>0</v>
      </c>
      <c r="J776">
        <v>0</v>
      </c>
      <c r="K776">
        <v>0</v>
      </c>
    </row>
    <row r="777" spans="1:14">
      <c r="A777" s="1" t="s">
        <v>789</v>
      </c>
      <c r="B777">
        <f>HYPERLINK("https://www.suredividend.com/sure-analysis-research-database/","Cyclacel Pharmaceuticals Inc")</f>
        <v>0</v>
      </c>
      <c r="C777" t="s">
        <v>3180</v>
      </c>
      <c r="D777">
        <v>0.5852000000000001</v>
      </c>
      <c r="E777">
        <v>0</v>
      </c>
      <c r="F777" t="s">
        <v>3182</v>
      </c>
      <c r="G777" t="s">
        <v>3182</v>
      </c>
      <c r="H777">
        <v>0</v>
      </c>
      <c r="I777">
        <v>7.398579</v>
      </c>
      <c r="J777">
        <v>0</v>
      </c>
      <c r="K777" t="s">
        <v>3182</v>
      </c>
      <c r="L777">
        <v>0.8630473658025951</v>
      </c>
      <c r="M777">
        <v>1.44</v>
      </c>
      <c r="N777">
        <v>0.28</v>
      </c>
    </row>
    <row r="778" spans="1:14">
      <c r="A778" s="1" t="s">
        <v>790</v>
      </c>
      <c r="B778">
        <f>HYPERLINK("https://www.suredividend.com/sure-analysis-research-database/","Cyclerion Therapeutics Inc")</f>
        <v>0</v>
      </c>
      <c r="C778" t="s">
        <v>3180</v>
      </c>
      <c r="D778">
        <v>2.47</v>
      </c>
      <c r="E778">
        <v>0</v>
      </c>
      <c r="F778" t="s">
        <v>3182</v>
      </c>
      <c r="G778" t="s">
        <v>3182</v>
      </c>
      <c r="H778">
        <v>0</v>
      </c>
      <c r="I778">
        <v>5.954666</v>
      </c>
      <c r="J778">
        <v>0</v>
      </c>
      <c r="K778" t="s">
        <v>3182</v>
      </c>
      <c r="M778">
        <v>19.66</v>
      </c>
      <c r="N778">
        <v>2.35</v>
      </c>
    </row>
    <row r="779" spans="1:14">
      <c r="A779" s="1" t="s">
        <v>791</v>
      </c>
      <c r="B779">
        <f>HYPERLINK("https://www.suredividend.com/sure-analysis-research-database/","Community Health Systems, Inc.")</f>
        <v>0</v>
      </c>
      <c r="C779" t="s">
        <v>3180</v>
      </c>
      <c r="D779">
        <v>2.34</v>
      </c>
      <c r="E779">
        <v>0</v>
      </c>
      <c r="F779" t="s">
        <v>3182</v>
      </c>
      <c r="G779" t="s">
        <v>3182</v>
      </c>
      <c r="H779">
        <v>0</v>
      </c>
      <c r="I779">
        <v>320.114136</v>
      </c>
      <c r="J779">
        <v>1.362187814553191</v>
      </c>
      <c r="K779">
        <v>0</v>
      </c>
      <c r="L779">
        <v>2.422849270576168</v>
      </c>
      <c r="M779">
        <v>8.01</v>
      </c>
      <c r="N779">
        <v>2.01</v>
      </c>
    </row>
    <row r="780" spans="1:14">
      <c r="A780" s="1" t="s">
        <v>792</v>
      </c>
      <c r="B780">
        <f>HYPERLINK("https://www.suredividend.com/sure-analysis-research-database/","CryoPort Inc")</f>
        <v>0</v>
      </c>
      <c r="C780" t="s">
        <v>3183</v>
      </c>
      <c r="D780">
        <v>9.66</v>
      </c>
      <c r="E780">
        <v>0</v>
      </c>
      <c r="F780" t="s">
        <v>3182</v>
      </c>
      <c r="G780" t="s">
        <v>3182</v>
      </c>
      <c r="H780">
        <v>0</v>
      </c>
      <c r="I780">
        <v>472.171314</v>
      </c>
      <c r="J780">
        <v>0</v>
      </c>
      <c r="K780" t="s">
        <v>3182</v>
      </c>
      <c r="L780">
        <v>2.711906808876211</v>
      </c>
      <c r="M780">
        <v>26.01</v>
      </c>
      <c r="N780">
        <v>9</v>
      </c>
    </row>
    <row r="781" spans="1:14">
      <c r="A781" s="1" t="s">
        <v>793</v>
      </c>
      <c r="B781">
        <f>HYPERLINK("https://www.suredividend.com/sure-analysis-research-database/","Cytokinetics Inc")</f>
        <v>0</v>
      </c>
      <c r="C781" t="s">
        <v>3180</v>
      </c>
      <c r="D781">
        <v>34.64</v>
      </c>
      <c r="E781">
        <v>0</v>
      </c>
      <c r="F781" t="s">
        <v>3182</v>
      </c>
      <c r="G781" t="s">
        <v>3182</v>
      </c>
      <c r="H781">
        <v>0</v>
      </c>
      <c r="I781">
        <v>3325.370651</v>
      </c>
      <c r="J781" t="s">
        <v>3182</v>
      </c>
      <c r="K781">
        <v>-0</v>
      </c>
      <c r="M781">
        <v>47.49</v>
      </c>
      <c r="N781">
        <v>25.98</v>
      </c>
    </row>
    <row r="782" spans="1:14">
      <c r="A782" s="1" t="s">
        <v>794</v>
      </c>
      <c r="B782">
        <f>HYPERLINK("https://www.suredividend.com/sure-analysis-research-database/","LadRx Corp")</f>
        <v>0</v>
      </c>
      <c r="C782" t="s">
        <v>3180</v>
      </c>
      <c r="D782">
        <v>0.092</v>
      </c>
      <c r="E782">
        <v>0</v>
      </c>
      <c r="F782" t="s">
        <v>3182</v>
      </c>
      <c r="G782" t="s">
        <v>3182</v>
      </c>
      <c r="H782">
        <v>0</v>
      </c>
      <c r="I782">
        <v>4.14344</v>
      </c>
      <c r="J782">
        <v>0</v>
      </c>
      <c r="K782" t="s">
        <v>3182</v>
      </c>
      <c r="M782">
        <v>0.86</v>
      </c>
      <c r="N782">
        <v>0.0521</v>
      </c>
    </row>
    <row r="783" spans="1:14">
      <c r="A783" s="1" t="s">
        <v>795</v>
      </c>
      <c r="B783">
        <f>HYPERLINK("https://www.suredividend.com/sure-analysis-research-database/","Citizens &amp; Northern Corp")</f>
        <v>0</v>
      </c>
      <c r="C783" t="s">
        <v>3184</v>
      </c>
      <c r="D783">
        <v>18.59</v>
      </c>
      <c r="E783">
        <v>0.057693193469956</v>
      </c>
      <c r="F783">
        <v>0</v>
      </c>
      <c r="G783">
        <v>0.007300045195211657</v>
      </c>
      <c r="H783">
        <v>1.0725164666065</v>
      </c>
      <c r="I783">
        <v>283.619729</v>
      </c>
      <c r="J783">
        <v>11.66007767020227</v>
      </c>
      <c r="K783">
        <v>0.6745386582430818</v>
      </c>
      <c r="L783">
        <v>0.669380360297065</v>
      </c>
      <c r="M783">
        <v>22.38</v>
      </c>
      <c r="N783">
        <v>15.78</v>
      </c>
    </row>
    <row r="784" spans="1:14">
      <c r="A784" s="1" t="s">
        <v>796</v>
      </c>
      <c r="B784">
        <f>HYPERLINK("https://www.suredividend.com/sure-analysis-research-database/","Caesars Entertainment Inc")</f>
        <v>0</v>
      </c>
      <c r="C784" t="s">
        <v>3186</v>
      </c>
      <c r="D784">
        <v>40.63</v>
      </c>
      <c r="E784">
        <v>0</v>
      </c>
      <c r="F784" t="s">
        <v>3182</v>
      </c>
      <c r="G784" t="s">
        <v>3182</v>
      </c>
      <c r="H784">
        <v>0</v>
      </c>
      <c r="I784">
        <v>8764.325172000001</v>
      </c>
      <c r="J784">
        <v>12.3441199608169</v>
      </c>
      <c r="K784">
        <v>0</v>
      </c>
      <c r="L784">
        <v>2.239645727257977</v>
      </c>
      <c r="M784">
        <v>60.27</v>
      </c>
      <c r="N784">
        <v>38.33</v>
      </c>
    </row>
    <row r="785" spans="1:14">
      <c r="A785" s="1" t="s">
        <v>797</v>
      </c>
      <c r="B785">
        <f>HYPERLINK("https://www.suredividend.com/sure-analysis-research-database/","Citizens Community Bancorp Inc MD")</f>
        <v>0</v>
      </c>
      <c r="C785" t="s">
        <v>3184</v>
      </c>
      <c r="D785">
        <v>9.17</v>
      </c>
      <c r="E785">
        <v>0.03162486277593701</v>
      </c>
      <c r="F785" t="s">
        <v>3182</v>
      </c>
      <c r="G785" t="s">
        <v>3182</v>
      </c>
      <c r="H785">
        <v>0.289999991655349</v>
      </c>
      <c r="I785">
        <v>96.00921200000001</v>
      </c>
      <c r="J785">
        <v>0</v>
      </c>
      <c r="K785" t="s">
        <v>3182</v>
      </c>
      <c r="M785">
        <v>14.21</v>
      </c>
      <c r="N785">
        <v>7.61</v>
      </c>
    </row>
    <row r="786" spans="1:14">
      <c r="A786" s="1" t="s">
        <v>798</v>
      </c>
      <c r="B786">
        <f>HYPERLINK("https://www.suredividend.com/sure-analysis-D/","Dominion Energy Inc")</f>
        <v>0</v>
      </c>
      <c r="C786" t="s">
        <v>3190</v>
      </c>
      <c r="D786">
        <v>41.08</v>
      </c>
      <c r="E786">
        <v>0.06499513145082765</v>
      </c>
      <c r="F786">
        <v>0</v>
      </c>
      <c r="G786">
        <v>-0.04379070963534237</v>
      </c>
      <c r="H786">
        <v>2.617590173408531</v>
      </c>
      <c r="I786">
        <v>34374.631266</v>
      </c>
      <c r="J786">
        <v>15.17643764505077</v>
      </c>
      <c r="K786">
        <v>0.9588242393437842</v>
      </c>
      <c r="L786">
        <v>0.558991891120467</v>
      </c>
      <c r="M786">
        <v>65.06999999999999</v>
      </c>
      <c r="N786">
        <v>39.18</v>
      </c>
    </row>
    <row r="787" spans="1:14">
      <c r="A787" s="1" t="s">
        <v>799</v>
      </c>
      <c r="B787">
        <f>HYPERLINK("https://www.suredividend.com/sure-analysis-research-database/","Data io Corp.")</f>
        <v>0</v>
      </c>
      <c r="C787" t="s">
        <v>3185</v>
      </c>
      <c r="D787">
        <v>3.02</v>
      </c>
      <c r="E787">
        <v>0</v>
      </c>
      <c r="F787" t="s">
        <v>3182</v>
      </c>
      <c r="G787" t="s">
        <v>3182</v>
      </c>
      <c r="H787">
        <v>0</v>
      </c>
      <c r="I787">
        <v>27.237003</v>
      </c>
      <c r="J787">
        <v>0</v>
      </c>
      <c r="K787" t="s">
        <v>3182</v>
      </c>
      <c r="L787">
        <v>0.4981571470410791</v>
      </c>
      <c r="M787">
        <v>4.99</v>
      </c>
      <c r="N787">
        <v>2.91</v>
      </c>
    </row>
    <row r="788" spans="1:14">
      <c r="A788" s="1" t="s">
        <v>800</v>
      </c>
      <c r="B788">
        <f>HYPERLINK("https://www.suredividend.com/sure-analysis-research-database/","Daktronics Inc.")</f>
        <v>0</v>
      </c>
      <c r="C788" t="s">
        <v>3185</v>
      </c>
      <c r="D788">
        <v>9.49</v>
      </c>
      <c r="E788">
        <v>0</v>
      </c>
      <c r="F788" t="s">
        <v>3182</v>
      </c>
      <c r="G788" t="s">
        <v>3182</v>
      </c>
      <c r="H788">
        <v>0</v>
      </c>
      <c r="I788">
        <v>433.693</v>
      </c>
      <c r="J788">
        <v>13.84539011620483</v>
      </c>
      <c r="K788">
        <v>0</v>
      </c>
      <c r="L788">
        <v>0.8750416507783261</v>
      </c>
      <c r="M788">
        <v>10.27</v>
      </c>
      <c r="N788">
        <v>1.46</v>
      </c>
    </row>
    <row r="789" spans="1:14">
      <c r="A789" s="1" t="s">
        <v>801</v>
      </c>
      <c r="B789">
        <f>HYPERLINK("https://www.suredividend.com/sure-analysis-research-database/","Delta Air Lines, Inc.")</f>
        <v>0</v>
      </c>
      <c r="C789" t="s">
        <v>3183</v>
      </c>
      <c r="D789">
        <v>32.02</v>
      </c>
      <c r="E789">
        <v>0.006237376737918</v>
      </c>
      <c r="F789" t="s">
        <v>3182</v>
      </c>
      <c r="G789" t="s">
        <v>3182</v>
      </c>
      <c r="H789">
        <v>0.199720803148151</v>
      </c>
      <c r="I789">
        <v>20603.699125</v>
      </c>
      <c r="J789">
        <v>6.059911507252942</v>
      </c>
      <c r="K789">
        <v>0.03775440513197562</v>
      </c>
      <c r="L789">
        <v>1.069273115657202</v>
      </c>
      <c r="M789">
        <v>49.57</v>
      </c>
      <c r="N789">
        <v>30.6</v>
      </c>
    </row>
    <row r="790" spans="1:14">
      <c r="A790" s="1" t="s">
        <v>802</v>
      </c>
      <c r="B790">
        <f>HYPERLINK("https://www.suredividend.com/sure-analysis-research-database/","Dana Inc")</f>
        <v>0</v>
      </c>
      <c r="C790" t="s">
        <v>3186</v>
      </c>
      <c r="D790">
        <v>11.51</v>
      </c>
      <c r="E790">
        <v>0.034374023462195</v>
      </c>
      <c r="F790" t="s">
        <v>3182</v>
      </c>
      <c r="G790" t="s">
        <v>3182</v>
      </c>
      <c r="H790">
        <v>0.395645010049872</v>
      </c>
      <c r="I790">
        <v>1661.31666</v>
      </c>
      <c r="J790" t="s">
        <v>3182</v>
      </c>
      <c r="K790" t="s">
        <v>3182</v>
      </c>
      <c r="L790">
        <v>1.622622659352787</v>
      </c>
      <c r="M790">
        <v>19.64</v>
      </c>
      <c r="N790">
        <v>11.1</v>
      </c>
    </row>
    <row r="791" spans="1:14">
      <c r="A791" s="1" t="s">
        <v>803</v>
      </c>
      <c r="B791">
        <f>HYPERLINK("https://www.suredividend.com/sure-analysis-research-database/","Darling Ingredients Inc")</f>
        <v>0</v>
      </c>
      <c r="C791" t="s">
        <v>3188</v>
      </c>
      <c r="D791">
        <v>43.87</v>
      </c>
      <c r="E791">
        <v>0</v>
      </c>
      <c r="F791" t="s">
        <v>3182</v>
      </c>
      <c r="G791" t="s">
        <v>3182</v>
      </c>
      <c r="H791">
        <v>0</v>
      </c>
      <c r="I791">
        <v>6996.874557</v>
      </c>
      <c r="J791">
        <v>8.903858437947379</v>
      </c>
      <c r="K791">
        <v>0</v>
      </c>
      <c r="L791">
        <v>1.2292336917315</v>
      </c>
      <c r="M791">
        <v>82.69</v>
      </c>
      <c r="N791">
        <v>38.97</v>
      </c>
    </row>
    <row r="792" spans="1:14">
      <c r="A792" s="1" t="s">
        <v>804</v>
      </c>
      <c r="B792">
        <f>HYPERLINK("https://www.suredividend.com/sure-analysis-research-database/","Dare Bioscience Inc")</f>
        <v>0</v>
      </c>
      <c r="C792" t="s">
        <v>3180</v>
      </c>
      <c r="D792">
        <v>0.393</v>
      </c>
      <c r="E792">
        <v>0</v>
      </c>
      <c r="F792" t="s">
        <v>3182</v>
      </c>
      <c r="G792" t="s">
        <v>3182</v>
      </c>
      <c r="H792">
        <v>0</v>
      </c>
      <c r="I792">
        <v>34.49957</v>
      </c>
      <c r="J792">
        <v>0</v>
      </c>
      <c r="K792" t="s">
        <v>3182</v>
      </c>
      <c r="L792">
        <v>0.481525687395135</v>
      </c>
      <c r="M792">
        <v>1.4</v>
      </c>
      <c r="N792">
        <v>0.385</v>
      </c>
    </row>
    <row r="793" spans="1:14">
      <c r="A793" s="1" t="s">
        <v>805</v>
      </c>
      <c r="B793">
        <f>HYPERLINK("https://www.suredividend.com/sure-analysis-research-database/","Dave Inc")</f>
        <v>0</v>
      </c>
      <c r="C793" t="s">
        <v>3182</v>
      </c>
      <c r="D793">
        <v>5.55</v>
      </c>
      <c r="E793">
        <v>0</v>
      </c>
      <c r="F793" t="s">
        <v>3182</v>
      </c>
      <c r="G793" t="s">
        <v>3182</v>
      </c>
      <c r="H793">
        <v>0</v>
      </c>
      <c r="I793">
        <v>58.112463</v>
      </c>
      <c r="J793" t="s">
        <v>3182</v>
      </c>
      <c r="K793">
        <v>-0</v>
      </c>
      <c r="L793">
        <v>0.9084318154554041</v>
      </c>
      <c r="M793">
        <v>14.08</v>
      </c>
      <c r="N793">
        <v>4.47</v>
      </c>
    </row>
    <row r="794" spans="1:14">
      <c r="A794" s="1" t="s">
        <v>806</v>
      </c>
      <c r="B794">
        <f>HYPERLINK("https://www.suredividend.com/sure-analysis-research-database/","Diebold Nixdorf Inc")</f>
        <v>0</v>
      </c>
      <c r="C794" t="s">
        <v>3185</v>
      </c>
      <c r="D794">
        <v>19.09</v>
      </c>
      <c r="E794">
        <v>0</v>
      </c>
      <c r="F794" t="s">
        <v>3182</v>
      </c>
      <c r="G794" t="s">
        <v>3182</v>
      </c>
      <c r="H794">
        <v>0</v>
      </c>
      <c r="I794">
        <v>0</v>
      </c>
      <c r="J794">
        <v>0</v>
      </c>
      <c r="K794">
        <v>-0</v>
      </c>
      <c r="L794">
        <v>0.825950191010404</v>
      </c>
      <c r="M794">
        <v>25.38</v>
      </c>
      <c r="N794">
        <v>16.5</v>
      </c>
    </row>
    <row r="795" spans="1:14">
      <c r="A795" s="1" t="s">
        <v>807</v>
      </c>
      <c r="B795">
        <f>HYPERLINK("https://www.suredividend.com/sure-analysis-research-database/","Designer Brands Inc")</f>
        <v>0</v>
      </c>
      <c r="C795" t="s">
        <v>3186</v>
      </c>
      <c r="D795">
        <v>10.09</v>
      </c>
      <c r="E795">
        <v>0.01968291669048</v>
      </c>
      <c r="F795" t="s">
        <v>3182</v>
      </c>
      <c r="G795" t="s">
        <v>3182</v>
      </c>
      <c r="H795">
        <v>0.198600629406944</v>
      </c>
      <c r="I795">
        <v>508.533861</v>
      </c>
      <c r="J795">
        <v>3.660913698320483</v>
      </c>
      <c r="K795">
        <v>0.09687835580826538</v>
      </c>
      <c r="L795">
        <v>1.629315601164456</v>
      </c>
      <c r="M795">
        <v>16.07</v>
      </c>
      <c r="N795">
        <v>6.08</v>
      </c>
    </row>
    <row r="796" spans="1:14">
      <c r="A796" s="1" t="s">
        <v>808</v>
      </c>
      <c r="B796">
        <f>HYPERLINK("https://www.suredividend.com/sure-analysis-research-database/","Dropbox Inc")</f>
        <v>0</v>
      </c>
      <c r="C796" t="s">
        <v>3185</v>
      </c>
      <c r="D796">
        <v>26.43</v>
      </c>
      <c r="E796">
        <v>0</v>
      </c>
      <c r="F796" t="s">
        <v>3182</v>
      </c>
      <c r="G796" t="s">
        <v>3182</v>
      </c>
      <c r="H796">
        <v>0</v>
      </c>
      <c r="I796">
        <v>7052.86564</v>
      </c>
      <c r="J796">
        <v>13.46737758193622</v>
      </c>
      <c r="K796">
        <v>0</v>
      </c>
      <c r="L796">
        <v>1.108289098514459</v>
      </c>
      <c r="M796">
        <v>28.68</v>
      </c>
      <c r="N796">
        <v>18.71</v>
      </c>
    </row>
    <row r="797" spans="1:14">
      <c r="A797" s="1" t="s">
        <v>809</v>
      </c>
      <c r="B797">
        <f>HYPERLINK("https://www.suredividend.com/sure-analysis-DCI/","Donaldson Co. Inc.")</f>
        <v>0</v>
      </c>
      <c r="C797" t="s">
        <v>3183</v>
      </c>
      <c r="D797">
        <v>58.96</v>
      </c>
      <c r="E797">
        <v>0.0169606512890095</v>
      </c>
      <c r="F797">
        <v>0.08695652173913038</v>
      </c>
      <c r="G797">
        <v>0.05642162229904302</v>
      </c>
      <c r="H797">
        <v>0.9543610047762121</v>
      </c>
      <c r="I797">
        <v>7109.840297</v>
      </c>
      <c r="J797">
        <v>19.81560840891862</v>
      </c>
      <c r="K797">
        <v>0.3290900016469697</v>
      </c>
      <c r="L797">
        <v>0.8480885414838031</v>
      </c>
      <c r="M797">
        <v>66.41</v>
      </c>
      <c r="N797">
        <v>56.76</v>
      </c>
    </row>
    <row r="798" spans="1:14">
      <c r="A798" s="1" t="s">
        <v>810</v>
      </c>
      <c r="B798">
        <f>HYPERLINK("https://www.suredividend.com/sure-analysis-research-database/","Ducommun Inc.")</f>
        <v>0</v>
      </c>
      <c r="C798" t="s">
        <v>3183</v>
      </c>
      <c r="D798">
        <v>48.17</v>
      </c>
      <c r="E798">
        <v>0</v>
      </c>
      <c r="F798" t="s">
        <v>3182</v>
      </c>
      <c r="G798" t="s">
        <v>3182</v>
      </c>
      <c r="H798">
        <v>0</v>
      </c>
      <c r="I798">
        <v>701.817102</v>
      </c>
      <c r="J798">
        <v>29.06315645726355</v>
      </c>
      <c r="K798">
        <v>0</v>
      </c>
      <c r="L798">
        <v>0.849853729874622</v>
      </c>
      <c r="M798">
        <v>58.28</v>
      </c>
      <c r="N798">
        <v>40.24</v>
      </c>
    </row>
    <row r="799" spans="1:14">
      <c r="A799" s="1" t="s">
        <v>811</v>
      </c>
      <c r="B799">
        <f>HYPERLINK("https://www.suredividend.com/sure-analysis-research-database/","Dime Community Bancshares Inc")</f>
        <v>0</v>
      </c>
      <c r="C799" t="s">
        <v>3184</v>
      </c>
      <c r="D799">
        <v>19.72</v>
      </c>
      <c r="E799">
        <v>0.048498165680062</v>
      </c>
      <c r="F799">
        <v>0.04166666666666674</v>
      </c>
      <c r="G799">
        <v>0.1229551070568209</v>
      </c>
      <c r="H799">
        <v>0.956383827210829</v>
      </c>
      <c r="I799">
        <v>765.666882</v>
      </c>
      <c r="J799">
        <v>5.656229968308375</v>
      </c>
      <c r="K799">
        <v>0.2694038949889659</v>
      </c>
      <c r="L799">
        <v>1.289081497819845</v>
      </c>
      <c r="M799">
        <v>34.02</v>
      </c>
      <c r="N799">
        <v>14.79</v>
      </c>
    </row>
    <row r="800" spans="1:14">
      <c r="A800" s="1" t="s">
        <v>812</v>
      </c>
      <c r="B800">
        <f>HYPERLINK("https://www.suredividend.com/sure-analysis-research-database/","Deciphera Pharmaceuticals Inc")</f>
        <v>0</v>
      </c>
      <c r="C800" t="s">
        <v>3180</v>
      </c>
      <c r="D800">
        <v>11.74</v>
      </c>
      <c r="E800">
        <v>0</v>
      </c>
      <c r="F800" t="s">
        <v>3182</v>
      </c>
      <c r="G800" t="s">
        <v>3182</v>
      </c>
      <c r="H800">
        <v>0</v>
      </c>
      <c r="I800">
        <v>940.64564</v>
      </c>
      <c r="J800" t="s">
        <v>3182</v>
      </c>
      <c r="K800">
        <v>-0</v>
      </c>
      <c r="L800">
        <v>1.036662510826189</v>
      </c>
      <c r="M800">
        <v>22.76</v>
      </c>
      <c r="N800">
        <v>9.9</v>
      </c>
    </row>
    <row r="801" spans="1:14">
      <c r="A801" s="1" t="s">
        <v>813</v>
      </c>
      <c r="B801">
        <f>HYPERLINK("https://www.suredividend.com/sure-analysis-DD/","DuPont de Nemours Inc")</f>
        <v>0</v>
      </c>
      <c r="C801" t="s">
        <v>3181</v>
      </c>
      <c r="D801">
        <v>68.13</v>
      </c>
      <c r="E801">
        <v>0.02113606340819022</v>
      </c>
      <c r="F801">
        <v>0.09090909090909083</v>
      </c>
      <c r="G801">
        <v>-0.01075518913431428</v>
      </c>
      <c r="H801">
        <v>1.39987162714803</v>
      </c>
      <c r="I801">
        <v>31275.827088</v>
      </c>
      <c r="J801">
        <v>6.627638713331214</v>
      </c>
      <c r="K801">
        <v>0.1406906157937719</v>
      </c>
      <c r="L801">
        <v>0.946665683399539</v>
      </c>
      <c r="M801">
        <v>78.66</v>
      </c>
      <c r="N801">
        <v>59.29</v>
      </c>
    </row>
    <row r="802" spans="1:14">
      <c r="A802" s="1" t="s">
        <v>814</v>
      </c>
      <c r="B802">
        <f>HYPERLINK("https://www.suredividend.com/sure-analysis-research-database/","3D Systems Corp.")</f>
        <v>0</v>
      </c>
      <c r="C802" t="s">
        <v>3185</v>
      </c>
      <c r="D802">
        <v>4.07</v>
      </c>
      <c r="E802">
        <v>0</v>
      </c>
      <c r="F802" t="s">
        <v>3182</v>
      </c>
      <c r="G802" t="s">
        <v>3182</v>
      </c>
      <c r="H802">
        <v>0</v>
      </c>
      <c r="I802">
        <v>543.249404</v>
      </c>
      <c r="J802" t="s">
        <v>3182</v>
      </c>
      <c r="K802">
        <v>-0</v>
      </c>
      <c r="L802">
        <v>2.421062910786187</v>
      </c>
      <c r="M802">
        <v>12.67</v>
      </c>
      <c r="N802">
        <v>3.5</v>
      </c>
    </row>
    <row r="803" spans="1:14">
      <c r="A803" s="1" t="s">
        <v>815</v>
      </c>
      <c r="B803">
        <f>HYPERLINK("https://www.suredividend.com/sure-analysis-DDS/","Dillard`s Inc.")</f>
        <v>0</v>
      </c>
      <c r="C803" t="s">
        <v>3186</v>
      </c>
      <c r="D803">
        <v>324.97</v>
      </c>
      <c r="E803">
        <v>0.003077207126811705</v>
      </c>
      <c r="F803">
        <v>-0.9833333333333333</v>
      </c>
      <c r="G803">
        <v>0.2011244339814313</v>
      </c>
      <c r="H803">
        <v>0.849144268904771</v>
      </c>
      <c r="I803">
        <v>4042.152669</v>
      </c>
      <c r="J803">
        <v>4.989689765560097</v>
      </c>
      <c r="K803">
        <v>0.01775338216401361</v>
      </c>
      <c r="L803">
        <v>1.162776613387389</v>
      </c>
      <c r="M803">
        <v>416.99</v>
      </c>
      <c r="N803">
        <v>272.2</v>
      </c>
    </row>
    <row r="804" spans="1:14">
      <c r="A804" s="1" t="s">
        <v>816</v>
      </c>
      <c r="B804">
        <f>HYPERLINK("https://www.suredividend.com/sure-analysis-DE/","Deere &amp; Co.")</f>
        <v>0</v>
      </c>
      <c r="C804" t="s">
        <v>3183</v>
      </c>
      <c r="D804">
        <v>373.56</v>
      </c>
      <c r="E804">
        <v>0.0144555091551558</v>
      </c>
      <c r="F804">
        <v>0.1946902654867257</v>
      </c>
      <c r="G804">
        <v>0.121770552618593</v>
      </c>
      <c r="H804">
        <v>5.025755116378844</v>
      </c>
      <c r="I804">
        <v>107585.495544</v>
      </c>
      <c r="J804">
        <v>10.71248586519168</v>
      </c>
      <c r="K804">
        <v>0.148823071257887</v>
      </c>
      <c r="L804">
        <v>0.7809491130067711</v>
      </c>
      <c r="M804">
        <v>448.42</v>
      </c>
      <c r="N804">
        <v>343.27</v>
      </c>
    </row>
    <row r="805" spans="1:14">
      <c r="A805" s="1" t="s">
        <v>817</v>
      </c>
      <c r="B805">
        <f>HYPERLINK("https://www.suredividend.com/sure-analysis-DEA/","Easterly Government Properties Inc")</f>
        <v>0</v>
      </c>
      <c r="C805" t="s">
        <v>3187</v>
      </c>
      <c r="D805">
        <v>11.35</v>
      </c>
      <c r="E805">
        <v>0.09339207048458151</v>
      </c>
      <c r="F805">
        <v>0</v>
      </c>
      <c r="G805">
        <v>0.003816904892658401</v>
      </c>
      <c r="H805">
        <v>1.027020628670222</v>
      </c>
      <c r="I805">
        <v>1080.530533</v>
      </c>
      <c r="J805">
        <v>35.92786476475478</v>
      </c>
      <c r="K805">
        <v>3.157149181279502</v>
      </c>
      <c r="L805">
        <v>0.8159322140363691</v>
      </c>
      <c r="M805">
        <v>15.89</v>
      </c>
      <c r="N805">
        <v>10.27</v>
      </c>
    </row>
    <row r="806" spans="1:14">
      <c r="A806" s="1" t="s">
        <v>818</v>
      </c>
      <c r="B806">
        <f>HYPERLINK("https://www.suredividend.com/sure-analysis-research-database/","Deckers Outdoor Corp.")</f>
        <v>0</v>
      </c>
      <c r="C806" t="s">
        <v>3186</v>
      </c>
      <c r="D806">
        <v>600.99</v>
      </c>
      <c r="E806">
        <v>0</v>
      </c>
      <c r="F806" t="s">
        <v>3182</v>
      </c>
      <c r="G806" t="s">
        <v>3182</v>
      </c>
      <c r="H806">
        <v>0</v>
      </c>
      <c r="I806">
        <v>15706.547913</v>
      </c>
      <c r="J806">
        <v>29.32925244091312</v>
      </c>
      <c r="K806">
        <v>0</v>
      </c>
      <c r="L806">
        <v>0.8965714120015281</v>
      </c>
      <c r="M806">
        <v>602.5</v>
      </c>
      <c r="N806">
        <v>326.1</v>
      </c>
    </row>
    <row r="807" spans="1:14">
      <c r="A807" s="1" t="s">
        <v>819</v>
      </c>
      <c r="B807">
        <f>HYPERLINK("https://www.suredividend.com/sure-analysis-DEI/","Douglas Emmett Inc")</f>
        <v>0</v>
      </c>
      <c r="C807" t="s">
        <v>3187</v>
      </c>
      <c r="D807">
        <v>12.26</v>
      </c>
      <c r="E807">
        <v>0.06199021207177814</v>
      </c>
      <c r="F807">
        <v>-0.3214285714285715</v>
      </c>
      <c r="G807">
        <v>-0.0608043971951574</v>
      </c>
      <c r="H807">
        <v>0.7512634738058841</v>
      </c>
      <c r="I807">
        <v>2044.20457</v>
      </c>
      <c r="J807">
        <v>35.62076688157803</v>
      </c>
      <c r="K807">
        <v>2.280010542658222</v>
      </c>
      <c r="L807">
        <v>1.562069511135988</v>
      </c>
      <c r="M807">
        <v>17.46</v>
      </c>
      <c r="N807">
        <v>9.93</v>
      </c>
    </row>
    <row r="808" spans="1:14">
      <c r="A808" s="1" t="s">
        <v>820</v>
      </c>
      <c r="B808">
        <f>HYPERLINK("https://www.suredividend.com/sure-analysis-research-database/","Dell Technologies Inc")</f>
        <v>0</v>
      </c>
      <c r="C808" t="s">
        <v>3185</v>
      </c>
      <c r="D808">
        <v>68.65000000000001</v>
      </c>
      <c r="E808">
        <v>0.020777682917361</v>
      </c>
      <c r="F808" t="s">
        <v>3182</v>
      </c>
      <c r="G808" t="s">
        <v>3182</v>
      </c>
      <c r="H808">
        <v>1.426387932276848</v>
      </c>
      <c r="I808">
        <v>17458.549075</v>
      </c>
      <c r="J808">
        <v>9.169406026601891</v>
      </c>
      <c r="K808">
        <v>0.5528635396421892</v>
      </c>
      <c r="L808">
        <v>1.11045084704945</v>
      </c>
      <c r="M808">
        <v>72.41</v>
      </c>
      <c r="N808">
        <v>35.21</v>
      </c>
    </row>
    <row r="809" spans="1:14">
      <c r="A809" s="1" t="s">
        <v>821</v>
      </c>
      <c r="B809">
        <f>HYPERLINK("https://www.suredividend.com/sure-analysis-research-database/","Denny`s Corp.")</f>
        <v>0</v>
      </c>
      <c r="C809" t="s">
        <v>3186</v>
      </c>
      <c r="D809">
        <v>8.779999999999999</v>
      </c>
      <c r="E809">
        <v>0</v>
      </c>
      <c r="F809" t="s">
        <v>3182</v>
      </c>
      <c r="G809" t="s">
        <v>3182</v>
      </c>
      <c r="H809">
        <v>0</v>
      </c>
      <c r="I809">
        <v>466.090198</v>
      </c>
      <c r="J809">
        <v>15.63326619440531</v>
      </c>
      <c r="K809">
        <v>0</v>
      </c>
      <c r="L809">
        <v>1.051291485504601</v>
      </c>
      <c r="M809">
        <v>13.13</v>
      </c>
      <c r="N809">
        <v>8.119999999999999</v>
      </c>
    </row>
    <row r="810" spans="1:14">
      <c r="A810" s="1" t="s">
        <v>822</v>
      </c>
      <c r="B810">
        <f>HYPERLINK("https://www.suredividend.com/sure-analysis-research-database/","Journey Medical Corp")</f>
        <v>0</v>
      </c>
      <c r="C810" t="s">
        <v>3182</v>
      </c>
      <c r="D810">
        <v>3.47</v>
      </c>
      <c r="E810">
        <v>0</v>
      </c>
      <c r="F810" t="s">
        <v>3182</v>
      </c>
      <c r="G810" t="s">
        <v>3182</v>
      </c>
      <c r="H810">
        <v>0</v>
      </c>
      <c r="I810">
        <v>43.288649</v>
      </c>
      <c r="J810" t="s">
        <v>3182</v>
      </c>
      <c r="K810">
        <v>-0</v>
      </c>
      <c r="L810">
        <v>0.211720436799096</v>
      </c>
      <c r="M810">
        <v>3.62</v>
      </c>
      <c r="N810">
        <v>1.02</v>
      </c>
    </row>
    <row r="811" spans="1:14">
      <c r="A811" s="1" t="s">
        <v>823</v>
      </c>
      <c r="B811">
        <f>HYPERLINK("https://www.suredividend.com/sure-analysis-research-database/","Donnelley Financial Solutions Inc")</f>
        <v>0</v>
      </c>
      <c r="C811" t="s">
        <v>3184</v>
      </c>
      <c r="D811">
        <v>55.41</v>
      </c>
      <c r="E811">
        <v>0</v>
      </c>
      <c r="F811" t="s">
        <v>3182</v>
      </c>
      <c r="G811" t="s">
        <v>3182</v>
      </c>
      <c r="H811">
        <v>0</v>
      </c>
      <c r="I811">
        <v>1624.881405</v>
      </c>
      <c r="J811">
        <v>19.43638044688995</v>
      </c>
      <c r="K811">
        <v>0</v>
      </c>
      <c r="L811">
        <v>1.051242845708412</v>
      </c>
      <c r="M811">
        <v>57.08</v>
      </c>
      <c r="N811">
        <v>33.54</v>
      </c>
    </row>
    <row r="812" spans="1:14">
      <c r="A812" s="1" t="s">
        <v>824</v>
      </c>
      <c r="B812">
        <f>HYPERLINK("https://www.suredividend.com/sure-analysis-DFS/","Discover Financial Services")</f>
        <v>0</v>
      </c>
      <c r="C812" t="s">
        <v>3184</v>
      </c>
      <c r="D812">
        <v>85.2</v>
      </c>
      <c r="E812">
        <v>0.03286384976525821</v>
      </c>
      <c r="F812" t="s">
        <v>3182</v>
      </c>
      <c r="G812" t="s">
        <v>3182</v>
      </c>
      <c r="H812">
        <v>2.57362876099853</v>
      </c>
      <c r="I812">
        <v>21304.937766</v>
      </c>
      <c r="J812">
        <v>6.073243376852908</v>
      </c>
      <c r="K812">
        <v>0.1904980578089216</v>
      </c>
      <c r="L812">
        <v>1.324029585560401</v>
      </c>
      <c r="M812">
        <v>121.54</v>
      </c>
      <c r="N812">
        <v>79.04000000000001</v>
      </c>
    </row>
    <row r="813" spans="1:14">
      <c r="A813" s="1" t="s">
        <v>825</v>
      </c>
      <c r="B813">
        <f>HYPERLINK("https://www.suredividend.com/sure-analysis-DG/","Dollar General Corp.")</f>
        <v>0</v>
      </c>
      <c r="C813" t="s">
        <v>3188</v>
      </c>
      <c r="D813">
        <v>117.43</v>
      </c>
      <c r="E813">
        <v>0.02009707911095972</v>
      </c>
      <c r="F813">
        <v>0.07272727272727253</v>
      </c>
      <c r="G813">
        <v>0.1526323455949694</v>
      </c>
      <c r="H813">
        <v>2.304941375526741</v>
      </c>
      <c r="I813">
        <v>25773.125043</v>
      </c>
      <c r="J813">
        <v>11.88513857290951</v>
      </c>
      <c r="K813">
        <v>0.2359203045574965</v>
      </c>
      <c r="L813">
        <v>0.393544038211109</v>
      </c>
      <c r="M813">
        <v>256.44</v>
      </c>
      <c r="N813">
        <v>101.09</v>
      </c>
    </row>
    <row r="814" spans="1:14">
      <c r="A814" s="1" t="s">
        <v>826</v>
      </c>
      <c r="B814">
        <f>HYPERLINK("https://www.suredividend.com/sure-analysis-DGICA/","Donegal Group Inc.")</f>
        <v>0</v>
      </c>
      <c r="C814" t="s">
        <v>3184</v>
      </c>
      <c r="D814">
        <v>14.43</v>
      </c>
      <c r="E814">
        <v>0.04712404712404713</v>
      </c>
      <c r="F814">
        <v>0.03030303030303028</v>
      </c>
      <c r="G814">
        <v>0.0359214157823311</v>
      </c>
      <c r="H814">
        <v>0.8059576862461081</v>
      </c>
      <c r="I814">
        <v>474.284874</v>
      </c>
      <c r="J814">
        <v>1558.394419501745</v>
      </c>
      <c r="K814">
        <v>83.95392565063625</v>
      </c>
      <c r="L814">
        <v>0.329692408512392</v>
      </c>
      <c r="M814">
        <v>15.04</v>
      </c>
      <c r="N814">
        <v>12.42</v>
      </c>
    </row>
    <row r="815" spans="1:14">
      <c r="A815" s="1" t="s">
        <v>827</v>
      </c>
      <c r="B815">
        <f>HYPERLINK("https://www.suredividend.com/sure-analysis-research-database/","Digi International, Inc.")</f>
        <v>0</v>
      </c>
      <c r="C815" t="s">
        <v>3185</v>
      </c>
      <c r="D815">
        <v>24.41</v>
      </c>
      <c r="E815">
        <v>0</v>
      </c>
      <c r="F815" t="s">
        <v>3182</v>
      </c>
      <c r="G815" t="s">
        <v>3182</v>
      </c>
      <c r="H815">
        <v>0</v>
      </c>
      <c r="I815">
        <v>878.76</v>
      </c>
      <c r="J815">
        <v>29.65978128797084</v>
      </c>
      <c r="K815">
        <v>0</v>
      </c>
      <c r="L815">
        <v>1.157146239740837</v>
      </c>
      <c r="M815">
        <v>43.68</v>
      </c>
      <c r="N815">
        <v>23.23</v>
      </c>
    </row>
    <row r="816" spans="1:14">
      <c r="A816" s="1" t="s">
        <v>828</v>
      </c>
      <c r="B816">
        <f>HYPERLINK("https://www.suredividend.com/sure-analysis-research-database/","Digital Ally Inc.")</f>
        <v>0</v>
      </c>
      <c r="C816" t="s">
        <v>3183</v>
      </c>
      <c r="D816">
        <v>2.5</v>
      </c>
      <c r="E816">
        <v>0</v>
      </c>
      <c r="F816" t="s">
        <v>3182</v>
      </c>
      <c r="G816" t="s">
        <v>3182</v>
      </c>
      <c r="H816">
        <v>0</v>
      </c>
      <c r="I816">
        <v>7.00188</v>
      </c>
      <c r="J816" t="s">
        <v>3182</v>
      </c>
      <c r="K816">
        <v>-0</v>
      </c>
      <c r="L816">
        <v>0.9861741247527541</v>
      </c>
      <c r="M816">
        <v>9.4</v>
      </c>
      <c r="N816">
        <v>2</v>
      </c>
    </row>
    <row r="817" spans="1:14">
      <c r="A817" s="1" t="s">
        <v>829</v>
      </c>
      <c r="B817">
        <f>HYPERLINK("https://www.suredividend.com/sure-analysis-DGX/","Quest Diagnostics, Inc.")</f>
        <v>0</v>
      </c>
      <c r="C817" t="s">
        <v>3180</v>
      </c>
      <c r="D817">
        <v>131.33</v>
      </c>
      <c r="E817">
        <v>0.02124419401507652</v>
      </c>
      <c r="F817">
        <v>0.07575757575757569</v>
      </c>
      <c r="G817">
        <v>0.06022122873100355</v>
      </c>
      <c r="H817">
        <v>2.767760610923544</v>
      </c>
      <c r="I817">
        <v>14766.088156</v>
      </c>
      <c r="J817">
        <v>19.45466160212121</v>
      </c>
      <c r="K817">
        <v>0.4149566133318657</v>
      </c>
      <c r="L817">
        <v>0.409345045390506</v>
      </c>
      <c r="M817">
        <v>155.14</v>
      </c>
      <c r="N817">
        <v>118.9</v>
      </c>
    </row>
    <row r="818" spans="1:14">
      <c r="A818" s="1" t="s">
        <v>830</v>
      </c>
      <c r="B818">
        <f>HYPERLINK("https://www.suredividend.com/sure-analysis-DHI/","D.R. Horton Inc.")</f>
        <v>0</v>
      </c>
      <c r="C818" t="s">
        <v>3186</v>
      </c>
      <c r="D818">
        <v>114.03</v>
      </c>
      <c r="E818">
        <v>0.008769622029290538</v>
      </c>
      <c r="F818">
        <v>0.1111111111111112</v>
      </c>
      <c r="G818">
        <v>0.1075663432482901</v>
      </c>
      <c r="H818">
        <v>0.996701357318694</v>
      </c>
      <c r="I818">
        <v>38575.957193</v>
      </c>
      <c r="J818">
        <v>7.92472106350302</v>
      </c>
      <c r="K818">
        <v>0.07083876029272879</v>
      </c>
      <c r="L818">
        <v>1.024988063908294</v>
      </c>
      <c r="M818">
        <v>132.03</v>
      </c>
      <c r="N818">
        <v>71.34</v>
      </c>
    </row>
    <row r="819" spans="1:14">
      <c r="A819" s="1" t="s">
        <v>831</v>
      </c>
      <c r="B819">
        <f>HYPERLINK("https://www.suredividend.com/sure-analysis-research-database/","Diamond Hill Investment Group, Inc.")</f>
        <v>0</v>
      </c>
      <c r="C819" t="s">
        <v>3184</v>
      </c>
      <c r="D819">
        <v>152.32</v>
      </c>
      <c r="E819">
        <v>0.038443703696434</v>
      </c>
      <c r="F819" t="s">
        <v>3182</v>
      </c>
      <c r="G819" t="s">
        <v>3182</v>
      </c>
      <c r="H819">
        <v>5.855744947040847</v>
      </c>
      <c r="I819">
        <v>438.442915</v>
      </c>
      <c r="J819">
        <v>10.08139735093064</v>
      </c>
      <c r="K819">
        <v>0.402180284824234</v>
      </c>
      <c r="L819">
        <v>0.7341141000531261</v>
      </c>
      <c r="M819">
        <v>185.02</v>
      </c>
      <c r="N819">
        <v>145.86</v>
      </c>
    </row>
    <row r="820" spans="1:14">
      <c r="A820" s="1" t="s">
        <v>832</v>
      </c>
      <c r="B820">
        <f>HYPERLINK("https://www.suredividend.com/sure-analysis-DHR/","Danaher Corp.")</f>
        <v>0</v>
      </c>
      <c r="C820" t="s">
        <v>3180</v>
      </c>
      <c r="D820">
        <v>192.98</v>
      </c>
      <c r="E820">
        <v>0.005596434863716448</v>
      </c>
      <c r="F820">
        <v>0.08000000000000007</v>
      </c>
      <c r="G820">
        <v>0.11032151746146</v>
      </c>
      <c r="H820">
        <v>1.058155405813918</v>
      </c>
      <c r="I820">
        <v>142598.153109</v>
      </c>
      <c r="J820">
        <v>24.27615817311202</v>
      </c>
      <c r="K820">
        <v>0.1507343882925809</v>
      </c>
      <c r="L820">
        <v>1.048827474330951</v>
      </c>
      <c r="M820">
        <v>280.29</v>
      </c>
      <c r="N820">
        <v>182.09</v>
      </c>
    </row>
    <row r="821" spans="1:14">
      <c r="A821" s="1" t="s">
        <v>833</v>
      </c>
      <c r="B821">
        <f>HYPERLINK("https://www.suredividend.com/sure-analysis-research-database/","DHI Group Inc")</f>
        <v>0</v>
      </c>
      <c r="C821" t="s">
        <v>3183</v>
      </c>
      <c r="D821">
        <v>2.86</v>
      </c>
      <c r="E821">
        <v>0</v>
      </c>
      <c r="F821" t="s">
        <v>3182</v>
      </c>
      <c r="G821" t="s">
        <v>3182</v>
      </c>
      <c r="H821">
        <v>0</v>
      </c>
      <c r="I821">
        <v>135.396364</v>
      </c>
      <c r="J821">
        <v>77.01727187713311</v>
      </c>
      <c r="K821">
        <v>0</v>
      </c>
      <c r="L821">
        <v>1.550670283701445</v>
      </c>
      <c r="M821">
        <v>6.31</v>
      </c>
      <c r="N821">
        <v>2.57</v>
      </c>
    </row>
    <row r="822" spans="1:14">
      <c r="A822" s="1" t="s">
        <v>834</v>
      </c>
      <c r="B822">
        <f>HYPERLINK("https://www.suredividend.com/sure-analysis-research-database/","Dine Brands Global Inc")</f>
        <v>0</v>
      </c>
      <c r="C822" t="s">
        <v>3186</v>
      </c>
      <c r="D822">
        <v>44.68</v>
      </c>
      <c r="E822">
        <v>0.045057746640154</v>
      </c>
      <c r="F822" t="s">
        <v>3182</v>
      </c>
      <c r="G822" t="s">
        <v>3182</v>
      </c>
      <c r="H822">
        <v>2.013180119882101</v>
      </c>
      <c r="I822">
        <v>689.993508</v>
      </c>
      <c r="J822">
        <v>9.087351447799918</v>
      </c>
      <c r="K822">
        <v>0.4075263400571054</v>
      </c>
      <c r="L822">
        <v>0.83454609886019</v>
      </c>
      <c r="M822">
        <v>80.34</v>
      </c>
      <c r="N822">
        <v>43.39</v>
      </c>
    </row>
    <row r="823" spans="1:14">
      <c r="A823" s="1" t="s">
        <v>835</v>
      </c>
      <c r="B823">
        <f>HYPERLINK("https://www.suredividend.com/sure-analysis-research-database/","Diodes, Inc.")</f>
        <v>0</v>
      </c>
      <c r="C823" t="s">
        <v>3185</v>
      </c>
      <c r="D823">
        <v>66.94</v>
      </c>
      <c r="E823">
        <v>0</v>
      </c>
      <c r="F823" t="s">
        <v>3182</v>
      </c>
      <c r="G823" t="s">
        <v>3182</v>
      </c>
      <c r="H823">
        <v>0</v>
      </c>
      <c r="I823">
        <v>3075.142335</v>
      </c>
      <c r="J823">
        <v>9.273454223945816</v>
      </c>
      <c r="K823">
        <v>0</v>
      </c>
      <c r="L823">
        <v>1.673609051795915</v>
      </c>
      <c r="M823">
        <v>97.45</v>
      </c>
      <c r="N823">
        <v>62.81</v>
      </c>
    </row>
    <row r="824" spans="1:14">
      <c r="A824" s="1" t="s">
        <v>836</v>
      </c>
      <c r="B824">
        <f>HYPERLINK("https://www.suredividend.com/sure-analysis-research-database/","Walt Disney Co (The)")</f>
        <v>0</v>
      </c>
      <c r="C824" t="s">
        <v>3191</v>
      </c>
      <c r="D824">
        <v>83.29000000000001</v>
      </c>
      <c r="E824">
        <v>0</v>
      </c>
      <c r="F824" t="s">
        <v>3182</v>
      </c>
      <c r="G824" t="s">
        <v>3182</v>
      </c>
      <c r="H824">
        <v>0</v>
      </c>
      <c r="I824">
        <v>152402.275336</v>
      </c>
      <c r="J824">
        <v>67.67418975835258</v>
      </c>
      <c r="K824">
        <v>0</v>
      </c>
      <c r="L824">
        <v>1.254071913398576</v>
      </c>
      <c r="M824">
        <v>118.18</v>
      </c>
      <c r="N824">
        <v>78.73</v>
      </c>
    </row>
    <row r="825" spans="1:14">
      <c r="A825" s="1" t="s">
        <v>837</v>
      </c>
      <c r="B825">
        <f>HYPERLINK("https://www.suredividend.com/sure-analysis-research-database/","Warner Bros.Discovery Inc")</f>
        <v>0</v>
      </c>
      <c r="C825" t="s">
        <v>3191</v>
      </c>
      <c r="D825">
        <v>24.42</v>
      </c>
      <c r="E825">
        <v>0</v>
      </c>
      <c r="F825" t="s">
        <v>3182</v>
      </c>
      <c r="G825" t="s">
        <v>3182</v>
      </c>
      <c r="H825">
        <v>0</v>
      </c>
      <c r="I825">
        <v>59712</v>
      </c>
      <c r="J825">
        <v>0</v>
      </c>
      <c r="K825" t="s">
        <v>3182</v>
      </c>
    </row>
    <row r="826" spans="1:14">
      <c r="A826" s="1" t="s">
        <v>838</v>
      </c>
      <c r="B826">
        <f>HYPERLINK("https://www.suredividend.com/sure-analysis-research-database/","Dish Network Corp")</f>
        <v>0</v>
      </c>
      <c r="C826" t="s">
        <v>3191</v>
      </c>
      <c r="D826">
        <v>5.22</v>
      </c>
      <c r="E826">
        <v>0</v>
      </c>
      <c r="F826" t="s">
        <v>3182</v>
      </c>
      <c r="G826" t="s">
        <v>3182</v>
      </c>
      <c r="H826">
        <v>0</v>
      </c>
      <c r="I826">
        <v>2770.286348</v>
      </c>
      <c r="J826">
        <v>0.8708676820019221</v>
      </c>
      <c r="K826">
        <v>0</v>
      </c>
      <c r="L826">
        <v>2.180404003373612</v>
      </c>
      <c r="M826">
        <v>17.49</v>
      </c>
      <c r="N826">
        <v>4.65</v>
      </c>
    </row>
    <row r="827" spans="1:14">
      <c r="A827" s="1" t="s">
        <v>839</v>
      </c>
      <c r="B827">
        <f>HYPERLINK("https://www.suredividend.com/sure-analysis-research-database/","Amcon Distributing Company")</f>
        <v>0</v>
      </c>
      <c r="C827" t="s">
        <v>3188</v>
      </c>
      <c r="D827">
        <v>195</v>
      </c>
      <c r="E827">
        <v>0.003683377875075</v>
      </c>
      <c r="F827">
        <v>-0.964</v>
      </c>
      <c r="G827">
        <v>-0.08457473433049822</v>
      </c>
      <c r="H827">
        <v>0.718258685639743</v>
      </c>
      <c r="I827">
        <v>118.694355</v>
      </c>
      <c r="J827">
        <v>0</v>
      </c>
      <c r="K827" t="s">
        <v>3182</v>
      </c>
      <c r="L827">
        <v>-0.023961834676393</v>
      </c>
      <c r="M827">
        <v>249.61</v>
      </c>
      <c r="N827">
        <v>153.49</v>
      </c>
    </row>
    <row r="828" spans="1:14">
      <c r="A828" s="1" t="s">
        <v>840</v>
      </c>
      <c r="B828">
        <f>HYPERLINK("https://www.suredividend.com/sure-analysis-research-database/","Daily Journal Corporation")</f>
        <v>0</v>
      </c>
      <c r="C828" t="s">
        <v>3191</v>
      </c>
      <c r="D828">
        <v>290.08</v>
      </c>
      <c r="E828">
        <v>0</v>
      </c>
      <c r="F828" t="s">
        <v>3182</v>
      </c>
      <c r="G828" t="s">
        <v>3182</v>
      </c>
      <c r="H828">
        <v>0</v>
      </c>
      <c r="I828">
        <v>399.447702</v>
      </c>
      <c r="J828">
        <v>0</v>
      </c>
      <c r="K828" t="s">
        <v>3182</v>
      </c>
      <c r="M828">
        <v>315.5</v>
      </c>
      <c r="N828">
        <v>250</v>
      </c>
    </row>
    <row r="829" spans="1:14">
      <c r="A829" s="1" t="s">
        <v>841</v>
      </c>
      <c r="B829">
        <f>HYPERLINK("https://www.suredividend.com/sure-analysis-research-database/","Delek US Holdings Inc")</f>
        <v>0</v>
      </c>
      <c r="C829" t="s">
        <v>3189</v>
      </c>
      <c r="D829">
        <v>27</v>
      </c>
      <c r="E829">
        <v>0.032709348316329</v>
      </c>
      <c r="F829" t="s">
        <v>3182</v>
      </c>
      <c r="G829" t="s">
        <v>3182</v>
      </c>
      <c r="H829">
        <v>0.883152404540899</v>
      </c>
      <c r="I829">
        <v>1750.083678</v>
      </c>
      <c r="J829">
        <v>0</v>
      </c>
      <c r="K829" t="s">
        <v>3182</v>
      </c>
      <c r="L829">
        <v>0.741035467244141</v>
      </c>
      <c r="M829">
        <v>34.47</v>
      </c>
      <c r="N829">
        <v>19.03</v>
      </c>
    </row>
    <row r="830" spans="1:14">
      <c r="A830" s="1" t="s">
        <v>842</v>
      </c>
      <c r="B830">
        <f>HYPERLINK("https://www.suredividend.com/sure-analysis-DKS/","Dicks Sporting Goods, Inc.")</f>
        <v>0</v>
      </c>
      <c r="C830" t="s">
        <v>3186</v>
      </c>
      <c r="D830">
        <v>110.61</v>
      </c>
      <c r="E830">
        <v>0.03616309556098002</v>
      </c>
      <c r="F830">
        <v>1.051282051282051</v>
      </c>
      <c r="G830">
        <v>0.2945936165164078</v>
      </c>
      <c r="H830">
        <v>3.450877620821084</v>
      </c>
      <c r="I830">
        <v>6797.261357</v>
      </c>
      <c r="J830">
        <v>6.709653412226558</v>
      </c>
      <c r="K830">
        <v>0.3103307212968601</v>
      </c>
      <c r="L830">
        <v>0.9561136189878361</v>
      </c>
      <c r="M830">
        <v>149.43</v>
      </c>
      <c r="N830">
        <v>95.36</v>
      </c>
    </row>
    <row r="831" spans="1:14">
      <c r="A831" s="1" t="s">
        <v>843</v>
      </c>
      <c r="B831">
        <f>HYPERLINK("https://www.suredividend.com/sure-analysis-research-database/","Delta Apparel Inc.")</f>
        <v>0</v>
      </c>
      <c r="C831" t="s">
        <v>3186</v>
      </c>
      <c r="D831">
        <v>8.44</v>
      </c>
      <c r="E831">
        <v>0</v>
      </c>
      <c r="F831" t="s">
        <v>3182</v>
      </c>
      <c r="G831" t="s">
        <v>3182</v>
      </c>
      <c r="H831">
        <v>0</v>
      </c>
      <c r="I831">
        <v>59.164569</v>
      </c>
      <c r="J831" t="s">
        <v>3182</v>
      </c>
      <c r="K831">
        <v>-0</v>
      </c>
      <c r="L831">
        <v>0.5706979213197381</v>
      </c>
      <c r="M831">
        <v>17.39</v>
      </c>
      <c r="N831">
        <v>6.45</v>
      </c>
    </row>
    <row r="832" spans="1:14">
      <c r="A832" s="1" t="s">
        <v>844</v>
      </c>
      <c r="B832">
        <f>HYPERLINK("https://www.suredividend.com/sure-analysis-DLB/","Dolby Laboratories Inc")</f>
        <v>0</v>
      </c>
      <c r="C832" t="s">
        <v>3191</v>
      </c>
      <c r="D832">
        <v>83.48999999999999</v>
      </c>
      <c r="E832">
        <v>0.01293568091987064</v>
      </c>
      <c r="F832" t="s">
        <v>3182</v>
      </c>
      <c r="G832" t="s">
        <v>3182</v>
      </c>
      <c r="H832">
        <v>1.074564246371162</v>
      </c>
      <c r="I832">
        <v>4976.004</v>
      </c>
      <c r="J832">
        <v>22.69805588753159</v>
      </c>
      <c r="K832">
        <v>0.4797161814156973</v>
      </c>
      <c r="L832">
        <v>0.8763782103452351</v>
      </c>
      <c r="M832">
        <v>90.7</v>
      </c>
      <c r="N832">
        <v>64.29000000000001</v>
      </c>
    </row>
    <row r="833" spans="1:14">
      <c r="A833" s="1" t="s">
        <v>845</v>
      </c>
      <c r="B833">
        <f>HYPERLINK("https://www.suredividend.com/sure-analysis-research-database/","DLH Holdings Corp")</f>
        <v>0</v>
      </c>
      <c r="C833" t="s">
        <v>3183</v>
      </c>
      <c r="D833">
        <v>13.98</v>
      </c>
      <c r="E833">
        <v>0</v>
      </c>
      <c r="F833" t="s">
        <v>3182</v>
      </c>
      <c r="G833" t="s">
        <v>3182</v>
      </c>
      <c r="H833">
        <v>0</v>
      </c>
      <c r="I833">
        <v>194.321567</v>
      </c>
      <c r="J833">
        <v>0</v>
      </c>
      <c r="K833" t="s">
        <v>3182</v>
      </c>
      <c r="L833">
        <v>0.406888677701281</v>
      </c>
      <c r="M833">
        <v>15.42</v>
      </c>
      <c r="N833">
        <v>9.01</v>
      </c>
    </row>
    <row r="834" spans="1:14">
      <c r="A834" s="1" t="s">
        <v>846</v>
      </c>
      <c r="B834">
        <f>HYPERLINK("https://www.suredividend.com/sure-analysis-DLR/","Digital Realty Trust Inc")</f>
        <v>0</v>
      </c>
      <c r="C834" t="s">
        <v>3187</v>
      </c>
      <c r="D834">
        <v>130.24</v>
      </c>
      <c r="E834">
        <v>0.03746928746928747</v>
      </c>
      <c r="F834">
        <v>0</v>
      </c>
      <c r="G834">
        <v>0.03850284678617966</v>
      </c>
      <c r="H834">
        <v>4.803331277855332</v>
      </c>
      <c r="I834">
        <v>39424.858581</v>
      </c>
      <c r="J834">
        <v>101.8303929125276</v>
      </c>
      <c r="K834">
        <v>3.842665022284265</v>
      </c>
      <c r="L834">
        <v>1.329174044158947</v>
      </c>
      <c r="M834">
        <v>132.12</v>
      </c>
      <c r="N834">
        <v>84.51000000000001</v>
      </c>
    </row>
    <row r="835" spans="1:14">
      <c r="A835" s="1" t="s">
        <v>847</v>
      </c>
      <c r="B835">
        <f>HYPERLINK("https://www.suredividend.com/sure-analysis-research-database/","Duluth Holdings Inc")</f>
        <v>0</v>
      </c>
      <c r="C835" t="s">
        <v>3186</v>
      </c>
      <c r="D835">
        <v>4.87</v>
      </c>
      <c r="E835">
        <v>0</v>
      </c>
      <c r="F835" t="s">
        <v>3182</v>
      </c>
      <c r="G835" t="s">
        <v>3182</v>
      </c>
      <c r="H835">
        <v>0</v>
      </c>
      <c r="I835">
        <v>152.003063</v>
      </c>
      <c r="J835" t="s">
        <v>3182</v>
      </c>
      <c r="K835">
        <v>-0</v>
      </c>
      <c r="L835">
        <v>0.9346024432535831</v>
      </c>
      <c r="M835">
        <v>9.23</v>
      </c>
      <c r="N835">
        <v>4.77</v>
      </c>
    </row>
    <row r="836" spans="1:14">
      <c r="A836" s="1" t="s">
        <v>848</v>
      </c>
      <c r="B836">
        <f>HYPERLINK("https://www.suredividend.com/sure-analysis-research-database/","Dollar Tree Inc")</f>
        <v>0</v>
      </c>
      <c r="C836" t="s">
        <v>3188</v>
      </c>
      <c r="D836">
        <v>114.01</v>
      </c>
      <c r="E836">
        <v>0</v>
      </c>
      <c r="F836" t="s">
        <v>3182</v>
      </c>
      <c r="G836" t="s">
        <v>3182</v>
      </c>
      <c r="H836">
        <v>0</v>
      </c>
      <c r="I836">
        <v>25082.831273</v>
      </c>
      <c r="J836">
        <v>20.58500720013951</v>
      </c>
      <c r="K836">
        <v>0</v>
      </c>
      <c r="L836">
        <v>0.7564881680152641</v>
      </c>
      <c r="M836">
        <v>170.36</v>
      </c>
      <c r="N836">
        <v>102.77</v>
      </c>
    </row>
    <row r="837" spans="1:14">
      <c r="A837" s="1" t="s">
        <v>849</v>
      </c>
      <c r="B837">
        <f>HYPERLINK("https://www.suredividend.com/sure-analysis-research-database/","Deluxe Corp.")</f>
        <v>0</v>
      </c>
      <c r="C837" t="s">
        <v>3191</v>
      </c>
      <c r="D837">
        <v>17.61</v>
      </c>
      <c r="E837">
        <v>0.066494236003018</v>
      </c>
      <c r="F837">
        <v>0</v>
      </c>
      <c r="G837">
        <v>0</v>
      </c>
      <c r="H837">
        <v>1.170963496013158</v>
      </c>
      <c r="I837">
        <v>768.087551</v>
      </c>
      <c r="J837">
        <v>14.55455538172929</v>
      </c>
      <c r="K837">
        <v>0.9677384264571555</v>
      </c>
      <c r="L837">
        <v>1.349102597402571</v>
      </c>
      <c r="M837">
        <v>21.27</v>
      </c>
      <c r="N837">
        <v>13.15</v>
      </c>
    </row>
    <row r="838" spans="1:14">
      <c r="A838" s="1" t="s">
        <v>850</v>
      </c>
      <c r="B838">
        <f>HYPERLINK("https://www.suredividend.com/sure-analysis-research-database/","Digimarc Corporation")</f>
        <v>0</v>
      </c>
      <c r="C838" t="s">
        <v>3185</v>
      </c>
      <c r="D838">
        <v>27.29</v>
      </c>
      <c r="E838">
        <v>0</v>
      </c>
      <c r="F838" t="s">
        <v>3182</v>
      </c>
      <c r="G838" t="s">
        <v>3182</v>
      </c>
      <c r="H838">
        <v>0</v>
      </c>
      <c r="I838">
        <v>554.974707</v>
      </c>
      <c r="J838" t="s">
        <v>3182</v>
      </c>
      <c r="K838">
        <v>-0</v>
      </c>
      <c r="L838">
        <v>1.712659773875147</v>
      </c>
      <c r="M838">
        <v>38.35</v>
      </c>
      <c r="N838">
        <v>16.13</v>
      </c>
    </row>
    <row r="839" spans="1:14">
      <c r="A839" s="1" t="s">
        <v>851</v>
      </c>
      <c r="B839">
        <f>HYPERLINK("https://www.suredividend.com/sure-analysis-research-database/","Dunkin Brands Group Inc")</f>
        <v>0</v>
      </c>
      <c r="C839" t="s">
        <v>3186</v>
      </c>
      <c r="D839">
        <v>106.48</v>
      </c>
      <c r="E839">
        <v>0</v>
      </c>
      <c r="F839" t="s">
        <v>3182</v>
      </c>
      <c r="G839" t="s">
        <v>3182</v>
      </c>
      <c r="H839">
        <v>0.805000007152557</v>
      </c>
      <c r="I839">
        <v>0</v>
      </c>
      <c r="J839">
        <v>0</v>
      </c>
      <c r="K839">
        <v>0.3072519111269302</v>
      </c>
    </row>
    <row r="840" spans="1:14">
      <c r="A840" s="1" t="s">
        <v>852</v>
      </c>
      <c r="B840">
        <f>HYPERLINK("https://www.suredividend.com/sure-analysis-research-database/","Denali Therapeutics Inc")</f>
        <v>0</v>
      </c>
      <c r="C840" t="s">
        <v>3180</v>
      </c>
      <c r="D840">
        <v>19.59</v>
      </c>
      <c r="E840">
        <v>0</v>
      </c>
      <c r="F840" t="s">
        <v>3182</v>
      </c>
      <c r="G840" t="s">
        <v>3182</v>
      </c>
      <c r="H840">
        <v>0</v>
      </c>
      <c r="I840">
        <v>2691.666</v>
      </c>
      <c r="J840" t="s">
        <v>3182</v>
      </c>
      <c r="K840">
        <v>-0</v>
      </c>
      <c r="L840">
        <v>1.528046583990914</v>
      </c>
      <c r="M840">
        <v>33.31</v>
      </c>
      <c r="N840">
        <v>17.98</v>
      </c>
    </row>
    <row r="841" spans="1:14">
      <c r="A841" s="1" t="s">
        <v>853</v>
      </c>
      <c r="B841">
        <f>HYPERLINK("https://www.suredividend.com/sure-analysis-research-database/","NOW Inc")</f>
        <v>0</v>
      </c>
      <c r="C841" t="s">
        <v>3189</v>
      </c>
      <c r="D841">
        <v>10.69</v>
      </c>
      <c r="E841">
        <v>0</v>
      </c>
      <c r="F841" t="s">
        <v>3182</v>
      </c>
      <c r="G841" t="s">
        <v>3182</v>
      </c>
      <c r="H841">
        <v>0</v>
      </c>
      <c r="I841">
        <v>1140.826131</v>
      </c>
      <c r="J841">
        <v>8.388427436617647</v>
      </c>
      <c r="K841">
        <v>0</v>
      </c>
      <c r="L841">
        <v>1.267320045566038</v>
      </c>
      <c r="M841">
        <v>14.86</v>
      </c>
      <c r="N841">
        <v>8.83</v>
      </c>
    </row>
    <row r="842" spans="1:14">
      <c r="A842" s="1" t="s">
        <v>854</v>
      </c>
      <c r="B842">
        <f>HYPERLINK("https://www.suredividend.com/sure-analysis-research-database/","Diamond Offshore Drilling, Inc.")</f>
        <v>0</v>
      </c>
      <c r="C842" t="s">
        <v>3189</v>
      </c>
      <c r="D842">
        <v>13.59</v>
      </c>
      <c r="E842">
        <v>0</v>
      </c>
      <c r="F842" t="s">
        <v>3182</v>
      </c>
      <c r="G842" t="s">
        <v>3182</v>
      </c>
      <c r="H842">
        <v>0</v>
      </c>
      <c r="I842">
        <v>1390.556007</v>
      </c>
      <c r="J842" t="s">
        <v>3182</v>
      </c>
      <c r="K842">
        <v>-0</v>
      </c>
      <c r="L842">
        <v>1.354951373156027</v>
      </c>
      <c r="M842">
        <v>17.32</v>
      </c>
      <c r="N842">
        <v>8.4</v>
      </c>
    </row>
    <row r="843" spans="1:14">
      <c r="A843" s="1" t="s">
        <v>855</v>
      </c>
      <c r="B843">
        <f>HYPERLINK("https://www.suredividend.com/sure-analysis-DOC/","Physicians Realty Trust")</f>
        <v>0</v>
      </c>
      <c r="C843" t="s">
        <v>3187</v>
      </c>
      <c r="D843">
        <v>11.6</v>
      </c>
      <c r="E843">
        <v>0.07931034482758621</v>
      </c>
      <c r="F843">
        <v>0</v>
      </c>
      <c r="G843">
        <v>0</v>
      </c>
      <c r="H843">
        <v>0.896143765669671</v>
      </c>
      <c r="I843">
        <v>2766.454397</v>
      </c>
      <c r="J843">
        <v>59.48596733324732</v>
      </c>
      <c r="K843">
        <v>4.7616565657262</v>
      </c>
      <c r="L843">
        <v>0.809146344050202</v>
      </c>
      <c r="M843">
        <v>15.53</v>
      </c>
      <c r="N843">
        <v>10.52</v>
      </c>
    </row>
    <row r="844" spans="1:14">
      <c r="A844" s="1" t="s">
        <v>856</v>
      </c>
      <c r="B844">
        <f>HYPERLINK("https://www.suredividend.com/sure-analysis-research-database/","DocuSign Inc")</f>
        <v>0</v>
      </c>
      <c r="C844" t="s">
        <v>3185</v>
      </c>
      <c r="D844">
        <v>39.88</v>
      </c>
      <c r="E844">
        <v>0</v>
      </c>
      <c r="F844" t="s">
        <v>3182</v>
      </c>
      <c r="G844" t="s">
        <v>3182</v>
      </c>
      <c r="H844">
        <v>0</v>
      </c>
      <c r="I844">
        <v>8103.81863</v>
      </c>
      <c r="J844" t="s">
        <v>3182</v>
      </c>
      <c r="K844">
        <v>-0</v>
      </c>
      <c r="L844">
        <v>2.087462998289642</v>
      </c>
      <c r="M844">
        <v>69.45</v>
      </c>
      <c r="N844">
        <v>38.11</v>
      </c>
    </row>
    <row r="845" spans="1:14">
      <c r="A845" s="1" t="s">
        <v>857</v>
      </c>
      <c r="B845">
        <f>HYPERLINK("https://www.suredividend.com/sure-analysis-research-database/","Domo Inc.")</f>
        <v>0</v>
      </c>
      <c r="C845" t="s">
        <v>3185</v>
      </c>
      <c r="D845">
        <v>8.51</v>
      </c>
      <c r="E845">
        <v>0</v>
      </c>
      <c r="F845" t="s">
        <v>3182</v>
      </c>
      <c r="G845" t="s">
        <v>3182</v>
      </c>
      <c r="H845">
        <v>0</v>
      </c>
      <c r="I845">
        <v>279.290958</v>
      </c>
      <c r="J845" t="s">
        <v>3182</v>
      </c>
      <c r="K845">
        <v>-0</v>
      </c>
      <c r="L845">
        <v>1.878490755774859</v>
      </c>
      <c r="M845">
        <v>19.09</v>
      </c>
      <c r="N845">
        <v>7.78</v>
      </c>
    </row>
    <row r="846" spans="1:14">
      <c r="A846" s="1" t="s">
        <v>858</v>
      </c>
      <c r="B846">
        <f>HYPERLINK("https://www.suredividend.com/sure-analysis-research-database/","Masonite International Corp")</f>
        <v>0</v>
      </c>
      <c r="C846" t="s">
        <v>3183</v>
      </c>
      <c r="D846">
        <v>83.54000000000001</v>
      </c>
      <c r="E846">
        <v>0</v>
      </c>
      <c r="F846" t="s">
        <v>3182</v>
      </c>
      <c r="G846" t="s">
        <v>3182</v>
      </c>
      <c r="H846">
        <v>0</v>
      </c>
      <c r="I846">
        <v>1838.166459</v>
      </c>
      <c r="J846">
        <v>10.51149674424722</v>
      </c>
      <c r="K846">
        <v>0</v>
      </c>
      <c r="L846">
        <v>1.394093413927373</v>
      </c>
      <c r="M846">
        <v>109.58</v>
      </c>
      <c r="N846">
        <v>69.11</v>
      </c>
    </row>
    <row r="847" spans="1:14">
      <c r="A847" s="1" t="s">
        <v>859</v>
      </c>
      <c r="B847">
        <f>HYPERLINK("https://www.suredividend.com/sure-analysis-research-database/","Dorman Products Inc")</f>
        <v>0</v>
      </c>
      <c r="C847" t="s">
        <v>3186</v>
      </c>
      <c r="D847">
        <v>66.45</v>
      </c>
      <c r="E847">
        <v>0</v>
      </c>
      <c r="F847" t="s">
        <v>3182</v>
      </c>
      <c r="G847" t="s">
        <v>3182</v>
      </c>
      <c r="H847">
        <v>0</v>
      </c>
      <c r="I847">
        <v>2092.385242</v>
      </c>
      <c r="J847">
        <v>21.61309398467116</v>
      </c>
      <c r="K847">
        <v>0</v>
      </c>
      <c r="L847">
        <v>1.050282637203706</v>
      </c>
      <c r="M847">
        <v>102.25</v>
      </c>
      <c r="N847">
        <v>60.01</v>
      </c>
    </row>
    <row r="848" spans="1:14">
      <c r="A848" s="1" t="s">
        <v>860</v>
      </c>
      <c r="B848">
        <f>HYPERLINK("https://www.suredividend.com/sure-analysis-DOV/","Dover Corp.")</f>
        <v>0</v>
      </c>
      <c r="C848" t="s">
        <v>3183</v>
      </c>
      <c r="D848">
        <v>133.26</v>
      </c>
      <c r="E848">
        <v>0.01530841963079694</v>
      </c>
      <c r="F848">
        <v>0.00990099009900991</v>
      </c>
      <c r="G848">
        <v>0.01219872924994259</v>
      </c>
      <c r="H848">
        <v>2.014313937678074</v>
      </c>
      <c r="I848">
        <v>18641.760589</v>
      </c>
      <c r="J848">
        <v>18.20226685619712</v>
      </c>
      <c r="K848">
        <v>0.2766914749557794</v>
      </c>
      <c r="L848">
        <v>1.113787815510844</v>
      </c>
      <c r="M848">
        <v>158.97</v>
      </c>
      <c r="N848">
        <v>127.25</v>
      </c>
    </row>
    <row r="849" spans="1:14">
      <c r="A849" s="1" t="s">
        <v>861</v>
      </c>
      <c r="B849">
        <f>HYPERLINK("https://www.suredividend.com/sure-analysis-DOW/","Dow Inc")</f>
        <v>0</v>
      </c>
      <c r="C849" t="s">
        <v>3181</v>
      </c>
      <c r="D849">
        <v>48.99</v>
      </c>
      <c r="E849">
        <v>0.05715452133088385</v>
      </c>
      <c r="F849" t="s">
        <v>3182</v>
      </c>
      <c r="G849" t="s">
        <v>3182</v>
      </c>
      <c r="H849">
        <v>2.745912818754408</v>
      </c>
      <c r="I849">
        <v>34361.439324</v>
      </c>
      <c r="J849">
        <v>26.45222426785219</v>
      </c>
      <c r="K849">
        <v>1.500498808062518</v>
      </c>
      <c r="L849">
        <v>0.9394203101641131</v>
      </c>
      <c r="M849">
        <v>58.55</v>
      </c>
      <c r="N849">
        <v>45.12</v>
      </c>
    </row>
    <row r="850" spans="1:14">
      <c r="A850" s="1" t="s">
        <v>862</v>
      </c>
      <c r="B850">
        <f>HYPERLINK("https://www.suredividend.com/sure-analysis-DPZ/","Dominos Pizza Inc")</f>
        <v>0</v>
      </c>
      <c r="C850" t="s">
        <v>3186</v>
      </c>
      <c r="D850">
        <v>348.38</v>
      </c>
      <c r="E850">
        <v>0.01389287559561398</v>
      </c>
      <c r="F850">
        <v>0.09999999999999987</v>
      </c>
      <c r="G850">
        <v>0.1708049129648923</v>
      </c>
      <c r="H850">
        <v>4.705658853998489</v>
      </c>
      <c r="I850">
        <v>12151.836858</v>
      </c>
      <c r="J850">
        <v>23.36316610053679</v>
      </c>
      <c r="K850">
        <v>0.3214247851091864</v>
      </c>
      <c r="L850">
        <v>0.6957747718306161</v>
      </c>
      <c r="M850">
        <v>408.7</v>
      </c>
      <c r="N850">
        <v>283.83</v>
      </c>
    </row>
    <row r="851" spans="1:14">
      <c r="A851" s="1" t="s">
        <v>863</v>
      </c>
      <c r="B851">
        <f>HYPERLINK("https://www.suredividend.com/sure-analysis-research-database/","Duke Realty Corp")</f>
        <v>0</v>
      </c>
      <c r="C851" t="s">
        <v>3187</v>
      </c>
      <c r="D851">
        <v>48.2</v>
      </c>
      <c r="E851">
        <v>0.023062576092641</v>
      </c>
      <c r="F851" t="s">
        <v>3182</v>
      </c>
      <c r="G851" t="s">
        <v>3182</v>
      </c>
      <c r="H851">
        <v>1.111616167665321</v>
      </c>
      <c r="I851">
        <v>18556.648911</v>
      </c>
      <c r="J851">
        <v>19.5796669285498</v>
      </c>
      <c r="K851">
        <v>0.4555803965841479</v>
      </c>
      <c r="L851">
        <v>0.7911466839138791</v>
      </c>
      <c r="M851">
        <v>65.34999999999999</v>
      </c>
      <c r="N851">
        <v>46.65</v>
      </c>
    </row>
    <row r="852" spans="1:14">
      <c r="A852" s="1" t="s">
        <v>864</v>
      </c>
      <c r="B852">
        <f>HYPERLINK("https://www.suredividend.com/sure-analysis-research-database/","Diamondrock Hospitality Co.")</f>
        <v>0</v>
      </c>
      <c r="C852" t="s">
        <v>3187</v>
      </c>
      <c r="D852">
        <v>8.24</v>
      </c>
      <c r="E852">
        <v>0.014479928950345</v>
      </c>
      <c r="F852" t="s">
        <v>3182</v>
      </c>
      <c r="G852" t="s">
        <v>3182</v>
      </c>
      <c r="H852">
        <v>0.119314614550843</v>
      </c>
      <c r="I852">
        <v>1727.328103</v>
      </c>
      <c r="J852">
        <v>20.30072870450245</v>
      </c>
      <c r="K852">
        <v>0.3000870587294844</v>
      </c>
      <c r="L852">
        <v>1.243507647923118</v>
      </c>
      <c r="M852">
        <v>9.9</v>
      </c>
      <c r="N852">
        <v>7.06</v>
      </c>
    </row>
    <row r="853" spans="1:14">
      <c r="A853" s="1" t="s">
        <v>865</v>
      </c>
      <c r="B853">
        <f>HYPERLINK("https://www.suredividend.com/sure-analysis-DRI/","Darden Restaurants, Inc.")</f>
        <v>0</v>
      </c>
      <c r="C853" t="s">
        <v>3186</v>
      </c>
      <c r="D853">
        <v>146.88</v>
      </c>
      <c r="E853">
        <v>0.03567538126361656</v>
      </c>
      <c r="F853" t="s">
        <v>3182</v>
      </c>
      <c r="G853" t="s">
        <v>3182</v>
      </c>
      <c r="H853">
        <v>4.976833072798424</v>
      </c>
      <c r="I853">
        <v>17671.822695</v>
      </c>
      <c r="J853">
        <v>17.97012680024405</v>
      </c>
      <c r="K853">
        <v>0.6197799592526058</v>
      </c>
      <c r="L853">
        <v>0.524014555180182</v>
      </c>
      <c r="M853">
        <v>171.45</v>
      </c>
      <c r="N853">
        <v>127.55</v>
      </c>
    </row>
    <row r="854" spans="1:14">
      <c r="A854" s="1" t="s">
        <v>866</v>
      </c>
      <c r="B854">
        <f>HYPERLINK("https://www.suredividend.com/sure-analysis-research-database/","Dicerna Pharmaceuticals Inc")</f>
        <v>0</v>
      </c>
      <c r="C854" t="s">
        <v>3180</v>
      </c>
      <c r="D854">
        <v>38.22</v>
      </c>
      <c r="E854">
        <v>0</v>
      </c>
      <c r="F854" t="s">
        <v>3182</v>
      </c>
      <c r="G854" t="s">
        <v>3182</v>
      </c>
      <c r="H854">
        <v>0</v>
      </c>
      <c r="I854">
        <v>0</v>
      </c>
      <c r="J854">
        <v>0</v>
      </c>
      <c r="K854" t="s">
        <v>3182</v>
      </c>
    </row>
    <row r="855" spans="1:14">
      <c r="A855" s="1" t="s">
        <v>867</v>
      </c>
      <c r="B855">
        <f>HYPERLINK("https://www.suredividend.com/sure-analysis-research-database/","Dril-Quip, Inc.")</f>
        <v>0</v>
      </c>
      <c r="C855" t="s">
        <v>3189</v>
      </c>
      <c r="D855">
        <v>23.39</v>
      </c>
      <c r="E855">
        <v>0</v>
      </c>
      <c r="F855" t="s">
        <v>3182</v>
      </c>
      <c r="G855" t="s">
        <v>3182</v>
      </c>
      <c r="H855">
        <v>0</v>
      </c>
      <c r="I855">
        <v>799.54161</v>
      </c>
      <c r="J855">
        <v>38.54141285466378</v>
      </c>
      <c r="K855">
        <v>0</v>
      </c>
      <c r="L855">
        <v>1.062824912383489</v>
      </c>
      <c r="M855">
        <v>35.95</v>
      </c>
      <c r="N855">
        <v>21.31</v>
      </c>
    </row>
    <row r="856" spans="1:14">
      <c r="A856" s="1" t="s">
        <v>868</v>
      </c>
      <c r="B856">
        <f>HYPERLINK("https://www.suredividend.com/sure-analysis-research-database/","Durect Corp")</f>
        <v>0</v>
      </c>
      <c r="C856" t="s">
        <v>3180</v>
      </c>
      <c r="D856">
        <v>2.69</v>
      </c>
      <c r="E856">
        <v>0</v>
      </c>
      <c r="F856" t="s">
        <v>3182</v>
      </c>
      <c r="G856" t="s">
        <v>3182</v>
      </c>
      <c r="H856">
        <v>0</v>
      </c>
      <c r="I856">
        <v>74.244213</v>
      </c>
      <c r="J856" t="s">
        <v>3182</v>
      </c>
      <c r="K856">
        <v>-0</v>
      </c>
      <c r="L856">
        <v>1.643945545062767</v>
      </c>
      <c r="M856">
        <v>9.5</v>
      </c>
      <c r="N856">
        <v>2.18</v>
      </c>
    </row>
    <row r="857" spans="1:14">
      <c r="A857" s="1" t="s">
        <v>869</v>
      </c>
      <c r="B857">
        <f>HYPERLINK("https://www.suredividend.com/sure-analysis-research-database/","Drive Shack Inc")</f>
        <v>0</v>
      </c>
      <c r="C857" t="s">
        <v>3186</v>
      </c>
      <c r="D857">
        <v>0.1676</v>
      </c>
      <c r="E857">
        <v>0</v>
      </c>
      <c r="F857" t="s">
        <v>3182</v>
      </c>
      <c r="G857" t="s">
        <v>3182</v>
      </c>
      <c r="H857">
        <v>0</v>
      </c>
      <c r="I857">
        <v>15.483729</v>
      </c>
      <c r="J857" t="s">
        <v>3182</v>
      </c>
      <c r="K857">
        <v>-0</v>
      </c>
      <c r="L857">
        <v>1.713836496101323</v>
      </c>
      <c r="M857">
        <v>1.97</v>
      </c>
      <c r="N857">
        <v>0.153</v>
      </c>
    </row>
    <row r="858" spans="1:14">
      <c r="A858" s="1" t="s">
        <v>870</v>
      </c>
      <c r="B858">
        <f>HYPERLINK("https://www.suredividend.com/sure-analysis-research-database/","Daseke Inc")</f>
        <v>0</v>
      </c>
      <c r="C858" t="s">
        <v>3183</v>
      </c>
      <c r="D858">
        <v>4.48</v>
      </c>
      <c r="E858">
        <v>0</v>
      </c>
      <c r="F858" t="s">
        <v>3182</v>
      </c>
      <c r="G858" t="s">
        <v>3182</v>
      </c>
      <c r="H858">
        <v>0</v>
      </c>
      <c r="I858">
        <v>205.421427</v>
      </c>
      <c r="J858">
        <v>11.738367232</v>
      </c>
      <c r="K858">
        <v>0</v>
      </c>
      <c r="L858">
        <v>1.371400685634374</v>
      </c>
      <c r="M858">
        <v>9.57</v>
      </c>
      <c r="N858">
        <v>4.25</v>
      </c>
    </row>
    <row r="859" spans="1:14">
      <c r="A859" s="1" t="s">
        <v>871</v>
      </c>
      <c r="B859">
        <f>HYPERLINK("https://www.suredividend.com/sure-analysis-research-database/","DSP Group, Inc.")</f>
        <v>0</v>
      </c>
      <c r="C859" t="s">
        <v>3185</v>
      </c>
      <c r="D859">
        <v>21.98</v>
      </c>
      <c r="E859">
        <v>0</v>
      </c>
      <c r="F859" t="s">
        <v>3182</v>
      </c>
      <c r="G859" t="s">
        <v>3182</v>
      </c>
      <c r="H859">
        <v>0</v>
      </c>
      <c r="I859">
        <v>0</v>
      </c>
      <c r="J859">
        <v>0</v>
      </c>
      <c r="K859">
        <v>-0</v>
      </c>
    </row>
    <row r="860" spans="1:14">
      <c r="A860" s="1" t="s">
        <v>872</v>
      </c>
      <c r="B860">
        <f>HYPERLINK("https://www.suredividend.com/sure-analysis-research-database/","DSS Inc")</f>
        <v>0</v>
      </c>
      <c r="C860" t="s">
        <v>3183</v>
      </c>
      <c r="D860">
        <v>0.1511</v>
      </c>
      <c r="E860">
        <v>0</v>
      </c>
      <c r="F860" t="s">
        <v>3182</v>
      </c>
      <c r="G860" t="s">
        <v>3182</v>
      </c>
      <c r="H860">
        <v>0</v>
      </c>
      <c r="I860">
        <v>21.193928</v>
      </c>
      <c r="J860">
        <v>0</v>
      </c>
      <c r="K860" t="s">
        <v>3182</v>
      </c>
      <c r="M860">
        <v>0.468</v>
      </c>
      <c r="N860">
        <v>0.1354</v>
      </c>
    </row>
    <row r="861" spans="1:14">
      <c r="A861" s="1" t="s">
        <v>873</v>
      </c>
      <c r="B861">
        <f>HYPERLINK("https://www.suredividend.com/sure-analysis-DTE/","DTE Energy Co.")</f>
        <v>0</v>
      </c>
      <c r="C861" t="s">
        <v>3190</v>
      </c>
      <c r="D861">
        <v>98.81</v>
      </c>
      <c r="E861">
        <v>0.03855885031879364</v>
      </c>
      <c r="F861">
        <v>0.07627118644067798</v>
      </c>
      <c r="G861">
        <v>0.001582286397623145</v>
      </c>
      <c r="H861">
        <v>3.760416200757571</v>
      </c>
      <c r="I861">
        <v>20372.209751</v>
      </c>
      <c r="J861">
        <v>15.73143610152124</v>
      </c>
      <c r="K861">
        <v>0.5866483932539113</v>
      </c>
      <c r="L861">
        <v>0.5105897560392001</v>
      </c>
      <c r="M861">
        <v>118.29</v>
      </c>
      <c r="N861">
        <v>90.14</v>
      </c>
    </row>
    <row r="862" spans="1:14">
      <c r="A862" s="1" t="s">
        <v>874</v>
      </c>
      <c r="B862">
        <f>HYPERLINK("https://www.suredividend.com/sure-analysis-DUK/","Duke Energy Corp.")</f>
        <v>0</v>
      </c>
      <c r="C862" t="s">
        <v>3190</v>
      </c>
      <c r="D862">
        <v>89.89</v>
      </c>
      <c r="E862">
        <v>0.04561130270330403</v>
      </c>
      <c r="F862">
        <v>0.01990049751243772</v>
      </c>
      <c r="G862">
        <v>0.02019217806629259</v>
      </c>
      <c r="H862">
        <v>3.976191715117509</v>
      </c>
      <c r="I862">
        <v>69278.90122</v>
      </c>
      <c r="J862">
        <v>54.76592981822135</v>
      </c>
      <c r="K862">
        <v>2.424507143364335</v>
      </c>
      <c r="L862">
        <v>0.44558724375994</v>
      </c>
      <c r="M862">
        <v>103.12</v>
      </c>
      <c r="N862">
        <v>83.06</v>
      </c>
    </row>
    <row r="863" spans="1:14">
      <c r="A863" s="1" t="s">
        <v>875</v>
      </c>
      <c r="B863">
        <f>HYPERLINK("https://www.suredividend.com/sure-analysis-research-database/","DaVita Inc")</f>
        <v>0</v>
      </c>
      <c r="C863" t="s">
        <v>3180</v>
      </c>
      <c r="D863">
        <v>77.81</v>
      </c>
      <c r="E863">
        <v>0</v>
      </c>
      <c r="F863" t="s">
        <v>3182</v>
      </c>
      <c r="G863" t="s">
        <v>3182</v>
      </c>
      <c r="H863">
        <v>0</v>
      </c>
      <c r="I863">
        <v>7104.053</v>
      </c>
      <c r="J863">
        <v>15.18910984868732</v>
      </c>
      <c r="K863">
        <v>0</v>
      </c>
      <c r="L863">
        <v>0.7852892396121151</v>
      </c>
      <c r="M863">
        <v>116.97</v>
      </c>
      <c r="N863">
        <v>65.28</v>
      </c>
    </row>
    <row r="864" spans="1:14">
      <c r="A864" s="1" t="s">
        <v>876</v>
      </c>
      <c r="B864">
        <f>HYPERLINK("https://www.suredividend.com/sure-analysis-research-database/","Dynavax Technologies Corp.")</f>
        <v>0</v>
      </c>
      <c r="C864" t="s">
        <v>3180</v>
      </c>
      <c r="D864">
        <v>14.07</v>
      </c>
      <c r="E864">
        <v>0</v>
      </c>
      <c r="F864" t="s">
        <v>3182</v>
      </c>
      <c r="G864" t="s">
        <v>3182</v>
      </c>
      <c r="H864">
        <v>0</v>
      </c>
      <c r="I864">
        <v>1812.178813</v>
      </c>
      <c r="J864">
        <v>16.40144098498493</v>
      </c>
      <c r="K864">
        <v>0</v>
      </c>
      <c r="L864">
        <v>1.137182244626882</v>
      </c>
      <c r="M864">
        <v>15.12</v>
      </c>
      <c r="N864">
        <v>9.42</v>
      </c>
    </row>
    <row r="865" spans="1:14">
      <c r="A865" s="1" t="s">
        <v>877</v>
      </c>
      <c r="B865">
        <f>HYPERLINK("https://www.suredividend.com/sure-analysis-research-database/","Dover Motorsports Inc")</f>
        <v>0</v>
      </c>
      <c r="C865" t="s">
        <v>3186</v>
      </c>
      <c r="D865">
        <v>3.61</v>
      </c>
      <c r="E865">
        <v>0.021966504375715</v>
      </c>
      <c r="F865" t="s">
        <v>3182</v>
      </c>
      <c r="G865" t="s">
        <v>3182</v>
      </c>
      <c r="H865">
        <v>0.07929908079633401</v>
      </c>
      <c r="I865">
        <v>64.668154</v>
      </c>
      <c r="J865">
        <v>5.216856547273314</v>
      </c>
      <c r="K865">
        <v>0.2296527100965364</v>
      </c>
      <c r="M865">
        <v>3.62</v>
      </c>
      <c r="N865">
        <v>1.9</v>
      </c>
    </row>
    <row r="866" spans="1:14">
      <c r="A866" s="1" t="s">
        <v>878</v>
      </c>
      <c r="B866">
        <f>HYPERLINK("https://www.suredividend.com/sure-analysis-DVN/","Devon Energy Corp.")</f>
        <v>0</v>
      </c>
      <c r="C866" t="s">
        <v>3189</v>
      </c>
      <c r="D866">
        <v>47.27</v>
      </c>
      <c r="E866">
        <v>0.01692405331076793</v>
      </c>
      <c r="F866">
        <v>0</v>
      </c>
      <c r="G866">
        <v>0.1270092020979254</v>
      </c>
      <c r="H866">
        <v>1.577357302728972</v>
      </c>
      <c r="I866">
        <v>30285.889</v>
      </c>
      <c r="J866">
        <v>6.384040682967959</v>
      </c>
      <c r="K866">
        <v>0.214898815085691</v>
      </c>
      <c r="L866">
        <v>1.086315270485822</v>
      </c>
      <c r="M866">
        <v>70.53</v>
      </c>
      <c r="N866">
        <v>42.59</v>
      </c>
    </row>
    <row r="867" spans="1:14">
      <c r="A867" s="1" t="s">
        <v>879</v>
      </c>
      <c r="B867">
        <f>HYPERLINK("https://www.suredividend.com/sure-analysis-research-database/","Dawson Geophysical Company")</f>
        <v>0</v>
      </c>
      <c r="C867" t="s">
        <v>3189</v>
      </c>
      <c r="D867">
        <v>1.67</v>
      </c>
      <c r="E867">
        <v>0</v>
      </c>
      <c r="F867" t="s">
        <v>3182</v>
      </c>
      <c r="G867" t="s">
        <v>3182</v>
      </c>
      <c r="H867">
        <v>0</v>
      </c>
      <c r="I867">
        <v>41.750942</v>
      </c>
      <c r="J867">
        <v>0</v>
      </c>
      <c r="K867" t="s">
        <v>3182</v>
      </c>
      <c r="M867">
        <v>2.65</v>
      </c>
      <c r="N867">
        <v>1.28</v>
      </c>
    </row>
    <row r="868" spans="1:14">
      <c r="A868" s="1" t="s">
        <v>880</v>
      </c>
      <c r="B868">
        <f>HYPERLINK("https://www.suredividend.com/sure-analysis-DX/","Dynex Capital, Inc.")</f>
        <v>0</v>
      </c>
      <c r="C868" t="s">
        <v>3187</v>
      </c>
      <c r="D868">
        <v>10.85</v>
      </c>
      <c r="E868">
        <v>0.143778801843318</v>
      </c>
      <c r="F868">
        <v>0</v>
      </c>
      <c r="G868">
        <v>0</v>
      </c>
      <c r="H868">
        <v>1.470259836852025</v>
      </c>
      <c r="I868">
        <v>588.116861</v>
      </c>
      <c r="J868">
        <v>382.6394672413793</v>
      </c>
      <c r="K868">
        <v>48.52342695881271</v>
      </c>
      <c r="L868">
        <v>1.059430733615805</v>
      </c>
      <c r="M868">
        <v>13.61</v>
      </c>
      <c r="N868">
        <v>9.57</v>
      </c>
    </row>
    <row r="869" spans="1:14">
      <c r="A869" s="1" t="s">
        <v>881</v>
      </c>
      <c r="B869">
        <f>HYPERLINK("https://www.suredividend.com/sure-analysis-research-database/","DXC Technology Co")</f>
        <v>0</v>
      </c>
      <c r="C869" t="s">
        <v>3185</v>
      </c>
      <c r="D869">
        <v>22.31</v>
      </c>
      <c r="E869">
        <v>0</v>
      </c>
      <c r="F869" t="s">
        <v>3182</v>
      </c>
      <c r="G869" t="s">
        <v>3182</v>
      </c>
      <c r="H869">
        <v>0</v>
      </c>
      <c r="I869">
        <v>4577.439905</v>
      </c>
      <c r="J869" t="s">
        <v>3182</v>
      </c>
      <c r="K869">
        <v>-0</v>
      </c>
      <c r="L869">
        <v>1.251700989005315</v>
      </c>
      <c r="M869">
        <v>30.27</v>
      </c>
      <c r="N869">
        <v>18.61</v>
      </c>
    </row>
    <row r="870" spans="1:14">
      <c r="A870" s="1" t="s">
        <v>882</v>
      </c>
      <c r="B870">
        <f>HYPERLINK("https://www.suredividend.com/sure-analysis-research-database/","Dexcom Inc")</f>
        <v>0</v>
      </c>
      <c r="C870" t="s">
        <v>3180</v>
      </c>
      <c r="D870">
        <v>93.67</v>
      </c>
      <c r="E870">
        <v>0</v>
      </c>
      <c r="F870" t="s">
        <v>3182</v>
      </c>
      <c r="G870" t="s">
        <v>3182</v>
      </c>
      <c r="H870">
        <v>0</v>
      </c>
      <c r="I870">
        <v>36191.646491</v>
      </c>
      <c r="J870">
        <v>95.99906231153848</v>
      </c>
      <c r="K870">
        <v>0</v>
      </c>
      <c r="L870">
        <v>0.8959033321150841</v>
      </c>
      <c r="M870">
        <v>139.55</v>
      </c>
      <c r="N870">
        <v>74.75</v>
      </c>
    </row>
    <row r="871" spans="1:14">
      <c r="A871" s="1" t="s">
        <v>883</v>
      </c>
      <c r="B871">
        <f>HYPERLINK("https://www.suredividend.com/sure-analysis-research-database/","Destination XL Group Inc")</f>
        <v>0</v>
      </c>
      <c r="C871" t="s">
        <v>3186</v>
      </c>
      <c r="D871">
        <v>4.39</v>
      </c>
      <c r="E871">
        <v>0</v>
      </c>
      <c r="F871" t="s">
        <v>3182</v>
      </c>
      <c r="G871" t="s">
        <v>3182</v>
      </c>
      <c r="H871">
        <v>0</v>
      </c>
      <c r="I871">
        <v>265.110629</v>
      </c>
      <c r="J871">
        <v>7.089846477950418</v>
      </c>
      <c r="K871">
        <v>0</v>
      </c>
      <c r="L871">
        <v>1.347848636439494</v>
      </c>
      <c r="M871">
        <v>7.57</v>
      </c>
      <c r="N871">
        <v>3.69</v>
      </c>
    </row>
    <row r="872" spans="1:14">
      <c r="A872" s="1" t="s">
        <v>884</v>
      </c>
      <c r="B872">
        <f>HYPERLINK("https://www.suredividend.com/sure-analysis-research-database/","DXP Enterprises, Inc.")</f>
        <v>0</v>
      </c>
      <c r="C872" t="s">
        <v>3183</v>
      </c>
      <c r="D872">
        <v>32.97</v>
      </c>
      <c r="E872">
        <v>0</v>
      </c>
      <c r="F872" t="s">
        <v>3182</v>
      </c>
      <c r="G872" t="s">
        <v>3182</v>
      </c>
      <c r="H872">
        <v>0</v>
      </c>
      <c r="I872">
        <v>551.492949</v>
      </c>
      <c r="J872">
        <v>9.570542631195336</v>
      </c>
      <c r="K872">
        <v>0</v>
      </c>
      <c r="L872">
        <v>1.120315237894956</v>
      </c>
      <c r="M872">
        <v>39.89</v>
      </c>
      <c r="N872">
        <v>22.06</v>
      </c>
    </row>
    <row r="873" spans="1:14">
      <c r="A873" s="1" t="s">
        <v>885</v>
      </c>
      <c r="B873">
        <f>HYPERLINK("https://www.suredividend.com/sure-analysis-research-database/","Dixie Group Inc.")</f>
        <v>0</v>
      </c>
      <c r="C873" t="s">
        <v>3186</v>
      </c>
      <c r="D873">
        <v>0.64</v>
      </c>
      <c r="E873">
        <v>0</v>
      </c>
      <c r="F873" t="s">
        <v>3182</v>
      </c>
      <c r="G873" t="s">
        <v>3182</v>
      </c>
      <c r="H873">
        <v>0</v>
      </c>
      <c r="I873">
        <v>9.238614</v>
      </c>
      <c r="J873" t="s">
        <v>3182</v>
      </c>
      <c r="K873">
        <v>-0</v>
      </c>
      <c r="L873">
        <v>0.353390507006435</v>
      </c>
      <c r="M873">
        <v>1.36</v>
      </c>
      <c r="N873">
        <v>0.46</v>
      </c>
    </row>
    <row r="874" spans="1:14">
      <c r="A874" s="1" t="s">
        <v>886</v>
      </c>
      <c r="B874">
        <f>HYPERLINK("https://www.suredividend.com/sure-analysis-research-database/","Dycom Industries, Inc.")</f>
        <v>0</v>
      </c>
      <c r="C874" t="s">
        <v>3183</v>
      </c>
      <c r="D874">
        <v>84.02</v>
      </c>
      <c r="E874">
        <v>0</v>
      </c>
      <c r="F874" t="s">
        <v>3182</v>
      </c>
      <c r="G874" t="s">
        <v>3182</v>
      </c>
      <c r="H874">
        <v>0</v>
      </c>
      <c r="I874">
        <v>2464.593192</v>
      </c>
      <c r="J874">
        <v>12.9313877549714</v>
      </c>
      <c r="K874">
        <v>0</v>
      </c>
      <c r="L874">
        <v>0.809306667898782</v>
      </c>
      <c r="M874">
        <v>116.95</v>
      </c>
      <c r="N874">
        <v>77.33</v>
      </c>
    </row>
    <row r="875" spans="1:14">
      <c r="A875" s="1" t="s">
        <v>887</v>
      </c>
      <c r="B875">
        <f>HYPERLINK("https://www.suredividend.com/sure-analysis-research-database/","Dyadic International Inc., DE")</f>
        <v>0</v>
      </c>
      <c r="C875" t="s">
        <v>3180</v>
      </c>
      <c r="D875">
        <v>1.62</v>
      </c>
      <c r="E875">
        <v>0</v>
      </c>
      <c r="F875" t="s">
        <v>3182</v>
      </c>
      <c r="G875" t="s">
        <v>3182</v>
      </c>
      <c r="H875">
        <v>0</v>
      </c>
      <c r="I875">
        <v>46.673919</v>
      </c>
      <c r="J875">
        <v>0</v>
      </c>
      <c r="K875" t="s">
        <v>3182</v>
      </c>
      <c r="L875">
        <v>0.715116605127464</v>
      </c>
      <c r="M875">
        <v>2.4</v>
      </c>
      <c r="N875">
        <v>1.12</v>
      </c>
    </row>
    <row r="876" spans="1:14">
      <c r="A876" s="1" t="s">
        <v>888</v>
      </c>
      <c r="B876">
        <f>HYPERLINK("https://www.suredividend.com/sure-analysis-research-database/","DZS Inc")</f>
        <v>0</v>
      </c>
      <c r="C876" t="s">
        <v>3185</v>
      </c>
      <c r="D876">
        <v>1.24</v>
      </c>
      <c r="E876">
        <v>0</v>
      </c>
      <c r="F876" t="s">
        <v>3182</v>
      </c>
      <c r="G876" t="s">
        <v>3182</v>
      </c>
      <c r="H876">
        <v>0</v>
      </c>
      <c r="I876">
        <v>38.638125</v>
      </c>
      <c r="J876" t="s">
        <v>3182</v>
      </c>
      <c r="K876">
        <v>-0</v>
      </c>
      <c r="L876">
        <v>1.121730521319343</v>
      </c>
      <c r="M876">
        <v>14.91</v>
      </c>
      <c r="N876">
        <v>1.24</v>
      </c>
    </row>
    <row r="877" spans="1:14">
      <c r="A877" s="1" t="s">
        <v>889</v>
      </c>
      <c r="B877">
        <f>HYPERLINK("https://www.suredividend.com/sure-analysis-research-database/","Electronic Arts, Inc.")</f>
        <v>0</v>
      </c>
      <c r="C877" t="s">
        <v>3191</v>
      </c>
      <c r="D877">
        <v>128.28</v>
      </c>
      <c r="E877">
        <v>0.005899180457765001</v>
      </c>
      <c r="F877" t="s">
        <v>3182</v>
      </c>
      <c r="G877" t="s">
        <v>3182</v>
      </c>
      <c r="H877">
        <v>0.7567468691221401</v>
      </c>
      <c r="I877">
        <v>34752.54736</v>
      </c>
      <c r="J877">
        <v>38.91662638293393</v>
      </c>
      <c r="K877">
        <v>0.2342869563845635</v>
      </c>
      <c r="L877">
        <v>0.7056451423318051</v>
      </c>
      <c r="M877">
        <v>139.86</v>
      </c>
      <c r="N877">
        <v>107.86</v>
      </c>
    </row>
    <row r="878" spans="1:14">
      <c r="A878" s="1" t="s">
        <v>890</v>
      </c>
      <c r="B878">
        <f>HYPERLINK("https://www.suredividend.com/sure-analysis-research-database/","GrafTech International Ltd.")</f>
        <v>0</v>
      </c>
      <c r="C878" t="s">
        <v>3183</v>
      </c>
      <c r="D878">
        <v>3.39</v>
      </c>
      <c r="E878">
        <v>0.008844308070459</v>
      </c>
      <c r="F878">
        <v>0</v>
      </c>
      <c r="G878">
        <v>-0.3481972103686233</v>
      </c>
      <c r="H878">
        <v>0.029982204358859</v>
      </c>
      <c r="I878">
        <v>870.578781</v>
      </c>
      <c r="J878">
        <v>6.771664885424932</v>
      </c>
      <c r="K878">
        <v>0.05991647553728817</v>
      </c>
      <c r="L878">
        <v>1.419080635759562</v>
      </c>
      <c r="M878">
        <v>6.73</v>
      </c>
      <c r="N878">
        <v>3.18</v>
      </c>
    </row>
    <row r="879" spans="1:14">
      <c r="A879" s="1" t="s">
        <v>891</v>
      </c>
      <c r="B879">
        <f>HYPERLINK("https://www.suredividend.com/sure-analysis-EARN/","Ellington Residential Mortgage REIT")</f>
        <v>0</v>
      </c>
      <c r="C879" t="s">
        <v>3187</v>
      </c>
      <c r="D879">
        <v>5.64</v>
      </c>
      <c r="E879">
        <v>0.1702127659574468</v>
      </c>
      <c r="F879">
        <v>0</v>
      </c>
      <c r="G879">
        <v>-0.043647500209963</v>
      </c>
      <c r="H879">
        <v>0.89863568559592</v>
      </c>
      <c r="I879">
        <v>89.50759499999999</v>
      </c>
      <c r="J879">
        <v>0</v>
      </c>
      <c r="K879" t="s">
        <v>3182</v>
      </c>
      <c r="L879">
        <v>0.7258090264468621</v>
      </c>
      <c r="M879">
        <v>7.28</v>
      </c>
      <c r="N879">
        <v>5.06</v>
      </c>
    </row>
    <row r="880" spans="1:14">
      <c r="A880" s="1" t="s">
        <v>892</v>
      </c>
      <c r="B880">
        <f>HYPERLINK("https://www.suredividend.com/sure-analysis-research-database/","Brinker International, Inc.")</f>
        <v>0</v>
      </c>
      <c r="C880" t="s">
        <v>3186</v>
      </c>
      <c r="D880">
        <v>33.84</v>
      </c>
      <c r="E880">
        <v>0</v>
      </c>
      <c r="F880" t="s">
        <v>3182</v>
      </c>
      <c r="G880" t="s">
        <v>3182</v>
      </c>
      <c r="H880">
        <v>0</v>
      </c>
      <c r="I880">
        <v>1495.112281</v>
      </c>
      <c r="J880">
        <v>14.57224445614035</v>
      </c>
      <c r="K880">
        <v>0</v>
      </c>
      <c r="L880">
        <v>1.145971018413944</v>
      </c>
      <c r="M880">
        <v>42.12</v>
      </c>
      <c r="N880">
        <v>27.77</v>
      </c>
    </row>
    <row r="881" spans="1:14">
      <c r="A881" s="1" t="s">
        <v>893</v>
      </c>
      <c r="B881">
        <f>HYPERLINK("https://www.suredividend.com/sure-analysis-research-database/","Eventbrite Inc")</f>
        <v>0</v>
      </c>
      <c r="C881" t="s">
        <v>3185</v>
      </c>
      <c r="D881">
        <v>7.96</v>
      </c>
      <c r="E881">
        <v>0</v>
      </c>
      <c r="F881" t="s">
        <v>3182</v>
      </c>
      <c r="G881" t="s">
        <v>3182</v>
      </c>
      <c r="H881">
        <v>0</v>
      </c>
      <c r="I881">
        <v>656.7</v>
      </c>
      <c r="J881" t="s">
        <v>3182</v>
      </c>
      <c r="K881">
        <v>-0</v>
      </c>
      <c r="L881">
        <v>1.644031329026268</v>
      </c>
      <c r="M881">
        <v>11.91</v>
      </c>
      <c r="N881">
        <v>5.3</v>
      </c>
    </row>
    <row r="882" spans="1:14">
      <c r="A882" s="1" t="s">
        <v>894</v>
      </c>
      <c r="B882">
        <f>HYPERLINK("https://www.suredividend.com/sure-analysis-EBAY/","EBay Inc.")</f>
        <v>0</v>
      </c>
      <c r="C882" t="s">
        <v>3186</v>
      </c>
      <c r="D882">
        <v>38.99</v>
      </c>
      <c r="E882">
        <v>0.02564760194921775</v>
      </c>
      <c r="F882" t="s">
        <v>3182</v>
      </c>
      <c r="G882" t="s">
        <v>3182</v>
      </c>
      <c r="H882">
        <v>0.9594140424591331</v>
      </c>
      <c r="I882">
        <v>20748.816636</v>
      </c>
      <c r="J882">
        <v>15.47264476964952</v>
      </c>
      <c r="K882">
        <v>0.3868605009915859</v>
      </c>
      <c r="L882">
        <v>1.312173550342178</v>
      </c>
      <c r="M882">
        <v>51.05</v>
      </c>
      <c r="N882">
        <v>37.93</v>
      </c>
    </row>
    <row r="883" spans="1:14">
      <c r="A883" s="1" t="s">
        <v>895</v>
      </c>
      <c r="B883">
        <f>HYPERLINK("https://www.suredividend.com/sure-analysis-EBF/","Ennis Inc.")</f>
        <v>0</v>
      </c>
      <c r="C883" t="s">
        <v>3183</v>
      </c>
      <c r="D883">
        <v>21.59</v>
      </c>
      <c r="E883">
        <v>0.04631773969430292</v>
      </c>
      <c r="F883">
        <v>0</v>
      </c>
      <c r="G883">
        <v>0.02129568760013512</v>
      </c>
      <c r="H883">
        <v>0.9823050037685991</v>
      </c>
      <c r="I883">
        <v>558.6347510000001</v>
      </c>
      <c r="J883">
        <v>12.13790090843908</v>
      </c>
      <c r="K883">
        <v>0.5549745784003385</v>
      </c>
      <c r="L883">
        <v>0.5315471663601571</v>
      </c>
      <c r="M883">
        <v>22.4</v>
      </c>
      <c r="N883">
        <v>18.49</v>
      </c>
    </row>
    <row r="884" spans="1:14">
      <c r="A884" s="1" t="s">
        <v>896</v>
      </c>
      <c r="B884">
        <f>HYPERLINK("https://www.suredividend.com/sure-analysis-research-database/","Ebix Inc.")</f>
        <v>0</v>
      </c>
      <c r="C884" t="s">
        <v>3185</v>
      </c>
      <c r="D884">
        <v>5.97</v>
      </c>
      <c r="E884">
        <v>0.012562814569553</v>
      </c>
      <c r="F884" t="s">
        <v>3182</v>
      </c>
      <c r="G884" t="s">
        <v>3182</v>
      </c>
      <c r="H884">
        <v>0.075000002980232</v>
      </c>
      <c r="I884">
        <v>184.481597</v>
      </c>
      <c r="J884">
        <v>5.508228735220351</v>
      </c>
      <c r="K884">
        <v>0.06880734218369908</v>
      </c>
      <c r="L884">
        <v>3.001445344715611</v>
      </c>
      <c r="M884">
        <v>32.87</v>
      </c>
      <c r="N884">
        <v>5.12</v>
      </c>
    </row>
    <row r="885" spans="1:14">
      <c r="A885" s="1" t="s">
        <v>897</v>
      </c>
      <c r="B885">
        <f>HYPERLINK("https://www.suredividend.com/sure-analysis-research-database/","Eagle Bancorp Montana Inc")</f>
        <v>0</v>
      </c>
      <c r="C885" t="s">
        <v>3184</v>
      </c>
      <c r="D885">
        <v>11.67</v>
      </c>
      <c r="E885">
        <v>0.046243331835323</v>
      </c>
      <c r="F885">
        <v>0.0181818181818183</v>
      </c>
      <c r="G885">
        <v>0.08641877075961357</v>
      </c>
      <c r="H885">
        <v>0.539659682518228</v>
      </c>
      <c r="I885">
        <v>93.22150000000001</v>
      </c>
      <c r="J885">
        <v>0</v>
      </c>
      <c r="K885" t="s">
        <v>3182</v>
      </c>
      <c r="M885">
        <v>18.37</v>
      </c>
      <c r="N885">
        <v>11.13</v>
      </c>
    </row>
    <row r="886" spans="1:14">
      <c r="A886" s="1" t="s">
        <v>898</v>
      </c>
      <c r="B886">
        <f>HYPERLINK("https://www.suredividend.com/sure-analysis-research-database/","Emergent Biosolutions Inc")</f>
        <v>0</v>
      </c>
      <c r="C886" t="s">
        <v>3180</v>
      </c>
      <c r="D886">
        <v>2.12</v>
      </c>
      <c r="E886">
        <v>0</v>
      </c>
      <c r="F886" t="s">
        <v>3182</v>
      </c>
      <c r="G886" t="s">
        <v>3182</v>
      </c>
      <c r="H886">
        <v>0</v>
      </c>
      <c r="I886">
        <v>109.830897</v>
      </c>
      <c r="J886" t="s">
        <v>3182</v>
      </c>
      <c r="K886">
        <v>-0</v>
      </c>
      <c r="L886">
        <v>2.294118121620208</v>
      </c>
      <c r="M886">
        <v>20.54</v>
      </c>
      <c r="N886">
        <v>1.93</v>
      </c>
    </row>
    <row r="887" spans="1:14">
      <c r="A887" s="1" t="s">
        <v>899</v>
      </c>
      <c r="B887">
        <f>HYPERLINK("https://www.suredividend.com/sure-analysis-research-database/","Meridian Bancorp Inc")</f>
        <v>0</v>
      </c>
      <c r="C887" t="s">
        <v>3184</v>
      </c>
      <c r="D887">
        <v>24.15</v>
      </c>
      <c r="E887">
        <v>0</v>
      </c>
      <c r="F887" t="s">
        <v>3182</v>
      </c>
      <c r="G887" t="s">
        <v>3182</v>
      </c>
      <c r="H887">
        <v>0.380000002682209</v>
      </c>
      <c r="I887">
        <v>0</v>
      </c>
      <c r="J887">
        <v>0</v>
      </c>
      <c r="K887">
        <v>0.2533333351214727</v>
      </c>
    </row>
    <row r="888" spans="1:14">
      <c r="A888" s="1" t="s">
        <v>900</v>
      </c>
      <c r="B888">
        <f>HYPERLINK("https://www.suredividend.com/sure-analysis-EBTC/","Enterprise Bancorp, Inc.")</f>
        <v>0</v>
      </c>
      <c r="C888" t="s">
        <v>3184</v>
      </c>
      <c r="D888">
        <v>26.75</v>
      </c>
      <c r="E888">
        <v>0.03439252336448598</v>
      </c>
      <c r="F888" t="s">
        <v>3182</v>
      </c>
      <c r="G888" t="s">
        <v>3182</v>
      </c>
      <c r="H888">
        <v>0.8767933531320771</v>
      </c>
      <c r="I888">
        <v>327.495355</v>
      </c>
      <c r="J888">
        <v>0</v>
      </c>
      <c r="K888" t="s">
        <v>3182</v>
      </c>
      <c r="L888">
        <v>0.79154047265015</v>
      </c>
      <c r="M888">
        <v>35.35</v>
      </c>
      <c r="N888">
        <v>25</v>
      </c>
    </row>
    <row r="889" spans="1:14">
      <c r="A889" s="1" t="s">
        <v>901</v>
      </c>
      <c r="B889">
        <f>HYPERLINK("https://www.suredividend.com/sure-analysis-research-database/","Echo Global Logistics Inc")</f>
        <v>0</v>
      </c>
      <c r="C889" t="s">
        <v>3183</v>
      </c>
      <c r="D889">
        <v>48.24</v>
      </c>
      <c r="E889">
        <v>0</v>
      </c>
      <c r="F889" t="s">
        <v>3182</v>
      </c>
      <c r="G889" t="s">
        <v>3182</v>
      </c>
      <c r="H889">
        <v>0</v>
      </c>
      <c r="I889">
        <v>0</v>
      </c>
      <c r="J889">
        <v>0</v>
      </c>
      <c r="K889">
        <v>0</v>
      </c>
    </row>
    <row r="890" spans="1:14">
      <c r="A890" s="1" t="s">
        <v>902</v>
      </c>
      <c r="B890">
        <f>HYPERLINK("https://www.suredividend.com/sure-analysis-ECL/","Ecolab, Inc.")</f>
        <v>0</v>
      </c>
      <c r="C890" t="s">
        <v>3181</v>
      </c>
      <c r="D890">
        <v>171.12</v>
      </c>
      <c r="E890">
        <v>0.01238896680691912</v>
      </c>
      <c r="F890">
        <v>0.03921568627450989</v>
      </c>
      <c r="G890">
        <v>0.02873521738377272</v>
      </c>
      <c r="H890">
        <v>2.110383820924336</v>
      </c>
      <c r="I890">
        <v>48775.003706</v>
      </c>
      <c r="J890">
        <v>41.52477754633066</v>
      </c>
      <c r="K890">
        <v>0.5134753822200331</v>
      </c>
      <c r="L890">
        <v>1.022718168078098</v>
      </c>
      <c r="M890">
        <v>190.84</v>
      </c>
      <c r="N890">
        <v>129.66</v>
      </c>
    </row>
    <row r="891" spans="1:14">
      <c r="A891" s="1" t="s">
        <v>903</v>
      </c>
      <c r="B891">
        <f>HYPERLINK("https://www.suredividend.com/sure-analysis-research-database/","US Ecology Inc.")</f>
        <v>0</v>
      </c>
      <c r="C891" t="s">
        <v>3183</v>
      </c>
      <c r="D891">
        <v>47.99</v>
      </c>
      <c r="E891">
        <v>0</v>
      </c>
      <c r="F891" t="s">
        <v>3182</v>
      </c>
      <c r="G891" t="s">
        <v>3182</v>
      </c>
      <c r="H891">
        <v>0</v>
      </c>
      <c r="I891">
        <v>0</v>
      </c>
      <c r="J891">
        <v>0</v>
      </c>
      <c r="K891">
        <v>-0</v>
      </c>
    </row>
    <row r="892" spans="1:14">
      <c r="A892" s="1" t="s">
        <v>904</v>
      </c>
      <c r="B892">
        <f>HYPERLINK("https://www.suredividend.com/sure-analysis-research-database/","ChannelAdvisor Corp")</f>
        <v>0</v>
      </c>
      <c r="C892" t="s">
        <v>3185</v>
      </c>
      <c r="D892">
        <v>23.09</v>
      </c>
      <c r="E892">
        <v>0</v>
      </c>
      <c r="F892" t="s">
        <v>3182</v>
      </c>
      <c r="G892" t="s">
        <v>3182</v>
      </c>
      <c r="H892">
        <v>0</v>
      </c>
      <c r="I892">
        <v>667.681823</v>
      </c>
      <c r="J892">
        <v>17.93349153581693</v>
      </c>
      <c r="K892">
        <v>0</v>
      </c>
      <c r="L892">
        <v>0.73997927374976</v>
      </c>
      <c r="M892">
        <v>27.69</v>
      </c>
      <c r="N892">
        <v>11.89</v>
      </c>
    </row>
    <row r="893" spans="1:14">
      <c r="A893" s="1" t="s">
        <v>905</v>
      </c>
      <c r="B893">
        <f>HYPERLINK("https://www.suredividend.com/sure-analysis-research-database/","Encore Capital Group, Inc.")</f>
        <v>0</v>
      </c>
      <c r="C893" t="s">
        <v>3184</v>
      </c>
      <c r="D893">
        <v>41.33</v>
      </c>
      <c r="E893">
        <v>0</v>
      </c>
      <c r="F893" t="s">
        <v>3182</v>
      </c>
      <c r="G893" t="s">
        <v>3182</v>
      </c>
      <c r="H893">
        <v>0</v>
      </c>
      <c r="I893">
        <v>970.638687</v>
      </c>
      <c r="J893">
        <v>293.5103377804657</v>
      </c>
      <c r="K893">
        <v>0</v>
      </c>
      <c r="L893">
        <v>0.8692193509242171</v>
      </c>
      <c r="M893">
        <v>58.46</v>
      </c>
      <c r="N893">
        <v>34.74</v>
      </c>
    </row>
    <row r="894" spans="1:14">
      <c r="A894" s="1" t="s">
        <v>906</v>
      </c>
      <c r="B894">
        <f>HYPERLINK("https://www.suredividend.com/sure-analysis-ED/","Consolidated Edison, Inc.")</f>
        <v>0</v>
      </c>
      <c r="C894" t="s">
        <v>3190</v>
      </c>
      <c r="D894">
        <v>90.16</v>
      </c>
      <c r="E894">
        <v>0.03593611357586513</v>
      </c>
      <c r="F894">
        <v>0.02531645569620244</v>
      </c>
      <c r="G894">
        <v>0.02526420565941589</v>
      </c>
      <c r="H894">
        <v>3.178384453926575</v>
      </c>
      <c r="I894">
        <v>31098.310424</v>
      </c>
      <c r="J894">
        <v>12.63132023704305</v>
      </c>
      <c r="K894">
        <v>0.4566644330354274</v>
      </c>
      <c r="L894">
        <v>0.423778381939966</v>
      </c>
      <c r="M894">
        <v>99.18000000000001</v>
      </c>
      <c r="N894">
        <v>80.45999999999999</v>
      </c>
    </row>
    <row r="895" spans="1:14">
      <c r="A895" s="1" t="s">
        <v>907</v>
      </c>
      <c r="B895">
        <f>HYPERLINK("https://www.suredividend.com/sure-analysis-research-database/","Editas Medicine Inc")</f>
        <v>0</v>
      </c>
      <c r="C895" t="s">
        <v>3180</v>
      </c>
      <c r="D895">
        <v>7.03</v>
      </c>
      <c r="E895">
        <v>0</v>
      </c>
      <c r="F895" t="s">
        <v>3182</v>
      </c>
      <c r="G895" t="s">
        <v>3182</v>
      </c>
      <c r="H895">
        <v>0</v>
      </c>
      <c r="I895">
        <v>573.877312</v>
      </c>
      <c r="J895" t="s">
        <v>3182</v>
      </c>
      <c r="K895">
        <v>-0</v>
      </c>
      <c r="L895">
        <v>1.771851849120148</v>
      </c>
      <c r="M895">
        <v>13.94</v>
      </c>
      <c r="N895">
        <v>6.08</v>
      </c>
    </row>
    <row r="896" spans="1:14">
      <c r="A896" s="1" t="s">
        <v>908</v>
      </c>
      <c r="B896">
        <f>HYPERLINK("https://www.suredividend.com/sure-analysis-research-database/","Educational Development Corp.")</f>
        <v>0</v>
      </c>
      <c r="C896" t="s">
        <v>3191</v>
      </c>
      <c r="D896">
        <v>0.9500000000000001</v>
      </c>
      <c r="E896">
        <v>0</v>
      </c>
      <c r="F896" t="s">
        <v>3182</v>
      </c>
      <c r="G896" t="s">
        <v>3182</v>
      </c>
      <c r="H896">
        <v>0</v>
      </c>
      <c r="I896">
        <v>8.142533999999999</v>
      </c>
      <c r="J896">
        <v>0</v>
      </c>
      <c r="K896" t="s">
        <v>3182</v>
      </c>
      <c r="L896">
        <v>0.440040775538344</v>
      </c>
      <c r="M896">
        <v>4</v>
      </c>
      <c r="N896">
        <v>0.9005000000000001</v>
      </c>
    </row>
    <row r="897" spans="1:14">
      <c r="A897" s="1" t="s">
        <v>909</v>
      </c>
      <c r="B897">
        <f>HYPERLINK("https://www.suredividend.com/sure-analysis-research-database/","Excelerate Energy Inc")</f>
        <v>0</v>
      </c>
      <c r="C897" t="s">
        <v>3190</v>
      </c>
      <c r="D897">
        <v>15.3</v>
      </c>
      <c r="E897">
        <v>0.006523722945066</v>
      </c>
      <c r="F897" t="s">
        <v>3182</v>
      </c>
      <c r="G897" t="s">
        <v>3182</v>
      </c>
      <c r="H897">
        <v>0.09981296105951901</v>
      </c>
      <c r="I897">
        <v>401.688755</v>
      </c>
      <c r="J897">
        <v>28.15114970215152</v>
      </c>
      <c r="K897">
        <v>0.1837499283128111</v>
      </c>
      <c r="L897">
        <v>1.131057876177916</v>
      </c>
      <c r="M897">
        <v>31.02</v>
      </c>
      <c r="N897">
        <v>13.7</v>
      </c>
    </row>
    <row r="898" spans="1:14">
      <c r="A898" s="1" t="s">
        <v>910</v>
      </c>
      <c r="B898">
        <f>HYPERLINK("https://www.suredividend.com/sure-analysis-research-database/","Euronet Worldwide Inc")</f>
        <v>0</v>
      </c>
      <c r="C898" t="s">
        <v>3185</v>
      </c>
      <c r="D898">
        <v>79.41</v>
      </c>
      <c r="E898">
        <v>0</v>
      </c>
      <c r="F898" t="s">
        <v>3182</v>
      </c>
      <c r="G898" t="s">
        <v>3182</v>
      </c>
      <c r="H898">
        <v>0</v>
      </c>
      <c r="I898">
        <v>3943.444854</v>
      </c>
      <c r="J898">
        <v>14.51508896226797</v>
      </c>
      <c r="K898">
        <v>0</v>
      </c>
      <c r="L898">
        <v>1.168233476002019</v>
      </c>
      <c r="M898">
        <v>121.55</v>
      </c>
      <c r="N898">
        <v>73.84</v>
      </c>
    </row>
    <row r="899" spans="1:14">
      <c r="A899" s="1" t="s">
        <v>911</v>
      </c>
      <c r="B899">
        <f>HYPERLINK("https://www.suredividend.com/sure-analysis-research-database/","Emerald Holding Inc")</f>
        <v>0</v>
      </c>
      <c r="C899" t="s">
        <v>3191</v>
      </c>
      <c r="D899">
        <v>5.09</v>
      </c>
      <c r="E899">
        <v>0</v>
      </c>
      <c r="F899" t="s">
        <v>3182</v>
      </c>
      <c r="G899" t="s">
        <v>3182</v>
      </c>
      <c r="H899">
        <v>0</v>
      </c>
      <c r="I899">
        <v>320.043238</v>
      </c>
      <c r="J899">
        <v>17.68194683756906</v>
      </c>
      <c r="K899">
        <v>0</v>
      </c>
      <c r="L899">
        <v>0.7368026576106511</v>
      </c>
      <c r="M899">
        <v>5.94</v>
      </c>
      <c r="N899">
        <v>3.26</v>
      </c>
    </row>
    <row r="900" spans="1:14">
      <c r="A900" s="1" t="s">
        <v>912</v>
      </c>
      <c r="B900">
        <f>HYPERLINK("https://www.suredividend.com/sure-analysis-EFC/","Ellington Financial Inc")</f>
        <v>0</v>
      </c>
      <c r="C900" t="s">
        <v>3184</v>
      </c>
      <c r="D900">
        <v>12.62</v>
      </c>
      <c r="E900">
        <v>0.1426307448494453</v>
      </c>
      <c r="F900">
        <v>0</v>
      </c>
      <c r="G900">
        <v>0</v>
      </c>
      <c r="H900">
        <v>1.688940223747327</v>
      </c>
      <c r="I900">
        <v>858.375852</v>
      </c>
      <c r="J900">
        <v>27.4609972640604</v>
      </c>
      <c r="K900">
        <v>3.48450634154596</v>
      </c>
      <c r="L900">
        <v>1.017089094007181</v>
      </c>
      <c r="M900">
        <v>13.56</v>
      </c>
      <c r="N900">
        <v>9.84</v>
      </c>
    </row>
    <row r="901" spans="1:14">
      <c r="A901" s="1" t="s">
        <v>913</v>
      </c>
      <c r="B901">
        <f>HYPERLINK("https://www.suredividend.com/sure-analysis-research-database/","Energy Focus Inc")</f>
        <v>0</v>
      </c>
      <c r="C901" t="s">
        <v>3186</v>
      </c>
      <c r="D901">
        <v>1.47</v>
      </c>
      <c r="E901">
        <v>0</v>
      </c>
      <c r="F901" t="s">
        <v>3182</v>
      </c>
      <c r="G901" t="s">
        <v>3182</v>
      </c>
      <c r="H901">
        <v>0</v>
      </c>
      <c r="I901">
        <v>5.137697</v>
      </c>
      <c r="J901">
        <v>0</v>
      </c>
      <c r="K901" t="s">
        <v>3182</v>
      </c>
      <c r="M901">
        <v>6.16</v>
      </c>
      <c r="N901">
        <v>1.47</v>
      </c>
    </row>
    <row r="902" spans="1:14">
      <c r="A902" s="1" t="s">
        <v>914</v>
      </c>
      <c r="B902">
        <f>HYPERLINK("https://www.suredividend.com/sure-analysis-research-database/","Enterprise Financial Services Corp.")</f>
        <v>0</v>
      </c>
      <c r="C902" t="s">
        <v>3184</v>
      </c>
      <c r="D902">
        <v>35.98</v>
      </c>
      <c r="E902">
        <v>0.027058471800315</v>
      </c>
      <c r="F902">
        <v>0.08695652173913038</v>
      </c>
      <c r="G902">
        <v>0.1397230490720158</v>
      </c>
      <c r="H902">
        <v>0.9735638153753591</v>
      </c>
      <c r="I902">
        <v>1345.135723</v>
      </c>
      <c r="J902">
        <v>6.536734309678736</v>
      </c>
      <c r="K902">
        <v>0.1773340283015226</v>
      </c>
      <c r="L902">
        <v>0.86998988931884</v>
      </c>
      <c r="M902">
        <v>54.68</v>
      </c>
      <c r="N902">
        <v>32.97</v>
      </c>
    </row>
    <row r="903" spans="1:14">
      <c r="A903" s="1" t="s">
        <v>915</v>
      </c>
      <c r="B903">
        <f>HYPERLINK("https://www.suredividend.com/sure-analysis-research-database/","Equifax, Inc.")</f>
        <v>0</v>
      </c>
      <c r="C903" t="s">
        <v>3183</v>
      </c>
      <c r="D903">
        <v>177.91</v>
      </c>
      <c r="E903">
        <v>0.008743929840012</v>
      </c>
      <c r="F903">
        <v>0</v>
      </c>
      <c r="G903">
        <v>0</v>
      </c>
      <c r="H903">
        <v>1.555632557836685</v>
      </c>
      <c r="I903">
        <v>21921.496618</v>
      </c>
      <c r="J903">
        <v>42.07580924790787</v>
      </c>
      <c r="K903">
        <v>0.3686333075442382</v>
      </c>
      <c r="L903">
        <v>1.467342836271409</v>
      </c>
      <c r="M903">
        <v>239.9</v>
      </c>
      <c r="N903">
        <v>158.36</v>
      </c>
    </row>
    <row r="904" spans="1:14">
      <c r="A904" s="1" t="s">
        <v>916</v>
      </c>
      <c r="B904">
        <f>HYPERLINK("https://www.suredividend.com/sure-analysis-research-database/","eGain Corp")</f>
        <v>0</v>
      </c>
      <c r="C904" t="s">
        <v>3185</v>
      </c>
      <c r="D904">
        <v>6.03</v>
      </c>
      <c r="E904">
        <v>0</v>
      </c>
      <c r="F904" t="s">
        <v>3182</v>
      </c>
      <c r="G904" t="s">
        <v>3182</v>
      </c>
      <c r="H904">
        <v>0</v>
      </c>
      <c r="I904">
        <v>188.733971</v>
      </c>
      <c r="J904">
        <v>89.48979183499289</v>
      </c>
      <c r="K904">
        <v>0</v>
      </c>
      <c r="L904">
        <v>1.044720617020419</v>
      </c>
      <c r="M904">
        <v>10.35</v>
      </c>
      <c r="N904">
        <v>5.61</v>
      </c>
    </row>
    <row r="905" spans="1:14">
      <c r="A905" s="1" t="s">
        <v>917</v>
      </c>
      <c r="B905">
        <f>HYPERLINK("https://www.suredividend.com/sure-analysis-research-database/","Eagle Bancorp Inc (MD)")</f>
        <v>0</v>
      </c>
      <c r="C905" t="s">
        <v>3184</v>
      </c>
      <c r="D905">
        <v>21.66</v>
      </c>
      <c r="E905">
        <v>0.07858470211617301</v>
      </c>
      <c r="F905" t="s">
        <v>3182</v>
      </c>
      <c r="G905" t="s">
        <v>3182</v>
      </c>
      <c r="H905">
        <v>1.702144647836312</v>
      </c>
      <c r="I905">
        <v>647.762552</v>
      </c>
      <c r="J905">
        <v>4.891875242417835</v>
      </c>
      <c r="K905">
        <v>0.4043098925976988</v>
      </c>
      <c r="L905">
        <v>1.095170795500054</v>
      </c>
      <c r="M905">
        <v>44.52</v>
      </c>
      <c r="N905">
        <v>15.39</v>
      </c>
    </row>
    <row r="906" spans="1:14">
      <c r="A906" s="1" t="s">
        <v>918</v>
      </c>
      <c r="B906">
        <f>HYPERLINK("https://www.suredividend.com/sure-analysis-research-database/","8X8 Inc.")</f>
        <v>0</v>
      </c>
      <c r="C906" t="s">
        <v>3185</v>
      </c>
      <c r="D906">
        <v>3.12</v>
      </c>
      <c r="E906">
        <v>0</v>
      </c>
      <c r="F906" t="s">
        <v>3182</v>
      </c>
      <c r="G906" t="s">
        <v>3182</v>
      </c>
      <c r="H906">
        <v>0</v>
      </c>
      <c r="I906">
        <v>374.230625</v>
      </c>
      <c r="J906" t="s">
        <v>3182</v>
      </c>
      <c r="K906">
        <v>-0</v>
      </c>
      <c r="L906">
        <v>2.638633668852625</v>
      </c>
      <c r="M906">
        <v>6.49</v>
      </c>
      <c r="N906">
        <v>2.15</v>
      </c>
    </row>
    <row r="907" spans="1:14">
      <c r="A907" s="1" t="s">
        <v>919</v>
      </c>
      <c r="B907">
        <f>HYPERLINK("https://www.suredividend.com/sure-analysis-research-database/","Eagle Bulk Shipping Inc")</f>
        <v>0</v>
      </c>
      <c r="C907" t="s">
        <v>3183</v>
      </c>
      <c r="D907">
        <v>41.6</v>
      </c>
      <c r="E907">
        <v>0.042103421427476</v>
      </c>
      <c r="F907" t="s">
        <v>3182</v>
      </c>
      <c r="G907" t="s">
        <v>3182</v>
      </c>
      <c r="H907">
        <v>1.751502331383037</v>
      </c>
      <c r="I907">
        <v>413.461984</v>
      </c>
      <c r="J907">
        <v>3.397079836662257</v>
      </c>
      <c r="K907">
        <v>0.2225542987780225</v>
      </c>
      <c r="L907">
        <v>0.728528158185563</v>
      </c>
      <c r="M907">
        <v>65.28</v>
      </c>
      <c r="N907">
        <v>38.66</v>
      </c>
    </row>
    <row r="908" spans="1:14">
      <c r="A908" s="1" t="s">
        <v>920</v>
      </c>
      <c r="B908">
        <f>HYPERLINK("https://www.suredividend.com/sure-analysis-research-database/","NIC Inc")</f>
        <v>0</v>
      </c>
      <c r="C908" t="s">
        <v>3185</v>
      </c>
      <c r="D908">
        <v>34</v>
      </c>
      <c r="E908">
        <v>0</v>
      </c>
      <c r="F908" t="s">
        <v>3182</v>
      </c>
      <c r="G908" t="s">
        <v>3182</v>
      </c>
      <c r="H908">
        <v>0.360000014305114</v>
      </c>
      <c r="I908">
        <v>0</v>
      </c>
      <c r="J908">
        <v>0</v>
      </c>
      <c r="K908">
        <v>0.3564356577278356</v>
      </c>
    </row>
    <row r="909" spans="1:14">
      <c r="A909" s="1" t="s">
        <v>921</v>
      </c>
      <c r="B909">
        <f>HYPERLINK("https://www.suredividend.com/sure-analysis-EGP/","Eastgroup Properties, Inc.")</f>
        <v>0</v>
      </c>
      <c r="C909" t="s">
        <v>3187</v>
      </c>
      <c r="D909">
        <v>168.88</v>
      </c>
      <c r="E909">
        <v>0.0300805305542397</v>
      </c>
      <c r="F909">
        <v>0.01600000000000001</v>
      </c>
      <c r="G909">
        <v>0.120196586414042</v>
      </c>
      <c r="H909">
        <v>4.963793658771679</v>
      </c>
      <c r="I909">
        <v>7824.281498</v>
      </c>
      <c r="J909">
        <v>44.53027766952938</v>
      </c>
      <c r="K909">
        <v>1.256656622473843</v>
      </c>
      <c r="L909">
        <v>1.081194558219729</v>
      </c>
      <c r="M909">
        <v>187.41</v>
      </c>
      <c r="N909">
        <v>139.94</v>
      </c>
    </row>
    <row r="910" spans="1:14">
      <c r="A910" s="1" t="s">
        <v>922</v>
      </c>
      <c r="B910">
        <f>HYPERLINK("https://www.suredividend.com/sure-analysis-research-database/","Eagle Pharmaceuticals Inc")</f>
        <v>0</v>
      </c>
      <c r="C910" t="s">
        <v>3180</v>
      </c>
      <c r="D910">
        <v>14.12</v>
      </c>
      <c r="E910">
        <v>0</v>
      </c>
      <c r="F910" t="s">
        <v>3182</v>
      </c>
      <c r="G910" t="s">
        <v>3182</v>
      </c>
      <c r="H910">
        <v>0</v>
      </c>
      <c r="I910">
        <v>183.376031</v>
      </c>
      <c r="J910">
        <v>15.34784319718781</v>
      </c>
      <c r="K910">
        <v>0</v>
      </c>
      <c r="L910">
        <v>1.000616640523181</v>
      </c>
      <c r="M910">
        <v>40.85</v>
      </c>
      <c r="N910">
        <v>12.36</v>
      </c>
    </row>
    <row r="911" spans="1:14">
      <c r="A911" s="1" t="s">
        <v>923</v>
      </c>
      <c r="B911">
        <f>HYPERLINK("https://www.suredividend.com/sure-analysis-research-database/","VAALCO Energy, Inc.")</f>
        <v>0</v>
      </c>
      <c r="C911" t="s">
        <v>3189</v>
      </c>
      <c r="D911">
        <v>4.57</v>
      </c>
      <c r="E911">
        <v>0.047248364655701</v>
      </c>
      <c r="F911" t="s">
        <v>3182</v>
      </c>
      <c r="G911" t="s">
        <v>3182</v>
      </c>
      <c r="H911">
        <v>0.215925026476556</v>
      </c>
      <c r="I911">
        <v>486.59447</v>
      </c>
      <c r="J911">
        <v>14.20672301480249</v>
      </c>
      <c r="K911">
        <v>0.5953267892929583</v>
      </c>
      <c r="L911">
        <v>1.113594336477745</v>
      </c>
      <c r="M911">
        <v>5.45</v>
      </c>
      <c r="N911">
        <v>3.41</v>
      </c>
    </row>
    <row r="912" spans="1:14">
      <c r="A912" s="1" t="s">
        <v>924</v>
      </c>
      <c r="B912">
        <f>HYPERLINK("https://www.suredividend.com/sure-analysis-research-database/","Encompass Health Corp")</f>
        <v>0</v>
      </c>
      <c r="C912" t="s">
        <v>3180</v>
      </c>
      <c r="D912">
        <v>63.26</v>
      </c>
      <c r="E912">
        <v>0.009451623141996001</v>
      </c>
      <c r="F912" t="s">
        <v>3182</v>
      </c>
      <c r="G912" t="s">
        <v>3182</v>
      </c>
      <c r="H912">
        <v>0.5979096799626761</v>
      </c>
      <c r="I912">
        <v>6341.270395</v>
      </c>
      <c r="J912">
        <v>20.32458459826923</v>
      </c>
      <c r="K912">
        <v>0.1684252619613172</v>
      </c>
      <c r="L912">
        <v>0.530024293601708</v>
      </c>
      <c r="M912">
        <v>71.90000000000001</v>
      </c>
      <c r="N912">
        <v>50.78</v>
      </c>
    </row>
    <row r="913" spans="1:14">
      <c r="A913" s="1" t="s">
        <v>925</v>
      </c>
      <c r="B913">
        <f>HYPERLINK("https://www.suredividend.com/sure-analysis-research-database/","eHealth Inc")</f>
        <v>0</v>
      </c>
      <c r="C913" t="s">
        <v>3184</v>
      </c>
      <c r="D913">
        <v>8.75</v>
      </c>
      <c r="E913">
        <v>0</v>
      </c>
      <c r="F913" t="s">
        <v>3182</v>
      </c>
      <c r="G913" t="s">
        <v>3182</v>
      </c>
      <c r="H913">
        <v>0</v>
      </c>
      <c r="I913">
        <v>245.777018</v>
      </c>
      <c r="J913" t="s">
        <v>3182</v>
      </c>
      <c r="K913">
        <v>-0</v>
      </c>
      <c r="L913">
        <v>1.552438474225914</v>
      </c>
      <c r="M913">
        <v>10.57</v>
      </c>
      <c r="N913">
        <v>2.7</v>
      </c>
    </row>
    <row r="914" spans="1:14">
      <c r="A914" s="1" t="s">
        <v>926</v>
      </c>
      <c r="B914">
        <f>HYPERLINK("https://www.suredividend.com/sure-analysis-research-database/","Eidos Therapeutics Inc")</f>
        <v>0</v>
      </c>
      <c r="C914" t="s">
        <v>3180</v>
      </c>
      <c r="D914">
        <v>122.21</v>
      </c>
      <c r="E914">
        <v>0</v>
      </c>
      <c r="F914" t="s">
        <v>3182</v>
      </c>
      <c r="G914" t="s">
        <v>3182</v>
      </c>
      <c r="H914">
        <v>0</v>
      </c>
      <c r="I914">
        <v>0</v>
      </c>
      <c r="J914">
        <v>0</v>
      </c>
      <c r="K914" t="s">
        <v>3182</v>
      </c>
    </row>
    <row r="915" spans="1:14">
      <c r="A915" s="1" t="s">
        <v>927</v>
      </c>
      <c r="B915">
        <f>HYPERLINK("https://www.suredividend.com/sure-analysis-research-database/","Employers Holdings Inc")</f>
        <v>0</v>
      </c>
      <c r="C915" t="s">
        <v>3184</v>
      </c>
      <c r="D915">
        <v>38.69</v>
      </c>
      <c r="E915">
        <v>0.027453111037424</v>
      </c>
      <c r="F915">
        <v>0.07692307692307709</v>
      </c>
      <c r="G915">
        <v>0.04941452284458392</v>
      </c>
      <c r="H915">
        <v>1.062160866037953</v>
      </c>
      <c r="I915">
        <v>995.1329930000001</v>
      </c>
      <c r="J915">
        <v>8.313558839849623</v>
      </c>
      <c r="K915">
        <v>0.2392254202788182</v>
      </c>
      <c r="L915">
        <v>0.519968110636274</v>
      </c>
      <c r="M915">
        <v>45.19</v>
      </c>
      <c r="N915">
        <v>35.18</v>
      </c>
    </row>
    <row r="916" spans="1:14">
      <c r="A916" s="1" t="s">
        <v>928</v>
      </c>
      <c r="B916">
        <f>HYPERLINK("https://www.suredividend.com/sure-analysis-research-database/","Endurance International Group Holdings Inc")</f>
        <v>0</v>
      </c>
      <c r="C916" t="s">
        <v>3185</v>
      </c>
      <c r="D916">
        <v>9.49</v>
      </c>
      <c r="E916">
        <v>0</v>
      </c>
      <c r="F916" t="s">
        <v>3182</v>
      </c>
      <c r="G916" t="s">
        <v>3182</v>
      </c>
      <c r="H916">
        <v>0</v>
      </c>
      <c r="I916">
        <v>0</v>
      </c>
      <c r="J916">
        <v>0</v>
      </c>
      <c r="K916" t="s">
        <v>3182</v>
      </c>
    </row>
    <row r="917" spans="1:14">
      <c r="A917" s="1" t="s">
        <v>929</v>
      </c>
      <c r="B917">
        <f>HYPERLINK("https://www.suredividend.com/sure-analysis-research-database/","Eiger BioPharmaceuticals Inc")</f>
        <v>0</v>
      </c>
      <c r="C917" t="s">
        <v>3180</v>
      </c>
      <c r="D917">
        <v>0.302</v>
      </c>
      <c r="E917">
        <v>0</v>
      </c>
      <c r="F917" t="s">
        <v>3182</v>
      </c>
      <c r="G917" t="s">
        <v>3182</v>
      </c>
      <c r="H917">
        <v>0</v>
      </c>
      <c r="I917">
        <v>13.377518</v>
      </c>
      <c r="J917">
        <v>0</v>
      </c>
      <c r="K917" t="s">
        <v>3182</v>
      </c>
      <c r="L917">
        <v>1.136244037145179</v>
      </c>
      <c r="M917">
        <v>4.81</v>
      </c>
      <c r="N917">
        <v>0.21</v>
      </c>
    </row>
    <row r="918" spans="1:14">
      <c r="A918" s="1" t="s">
        <v>930</v>
      </c>
      <c r="B918">
        <f>HYPERLINK("https://www.suredividend.com/sure-analysis-EIX/","Edison International")</f>
        <v>0</v>
      </c>
      <c r="C918" t="s">
        <v>3190</v>
      </c>
      <c r="D918">
        <v>63.63</v>
      </c>
      <c r="E918">
        <v>0.04636177903504636</v>
      </c>
      <c r="F918">
        <v>0.0535714285714286</v>
      </c>
      <c r="G918">
        <v>0.03784186694963654</v>
      </c>
      <c r="H918">
        <v>2.901903465556816</v>
      </c>
      <c r="I918">
        <v>24388.664371</v>
      </c>
      <c r="J918">
        <v>25.6452832507571</v>
      </c>
      <c r="K918">
        <v>1.170122365143877</v>
      </c>
      <c r="L918">
        <v>0.7178411503094211</v>
      </c>
      <c r="M918">
        <v>73.39</v>
      </c>
      <c r="N918">
        <v>54.23</v>
      </c>
    </row>
    <row r="919" spans="1:14">
      <c r="A919" s="1" t="s">
        <v>931</v>
      </c>
      <c r="B919">
        <f>HYPERLINK("https://www.suredividend.com/sure-analysis-research-database/","Ekso Bionics Holdings Inc")</f>
        <v>0</v>
      </c>
      <c r="C919" t="s">
        <v>3180</v>
      </c>
      <c r="D919">
        <v>1.24</v>
      </c>
      <c r="E919">
        <v>0</v>
      </c>
      <c r="F919" t="s">
        <v>3182</v>
      </c>
      <c r="G919" t="s">
        <v>3182</v>
      </c>
      <c r="H919">
        <v>0</v>
      </c>
      <c r="I919">
        <v>17.651174</v>
      </c>
      <c r="J919">
        <v>0</v>
      </c>
      <c r="K919" t="s">
        <v>3182</v>
      </c>
      <c r="L919">
        <v>0.979461149936493</v>
      </c>
      <c r="M919">
        <v>1.88</v>
      </c>
      <c r="N919">
        <v>0.62</v>
      </c>
    </row>
    <row r="920" spans="1:14">
      <c r="A920" s="1" t="s">
        <v>932</v>
      </c>
      <c r="B920">
        <f>HYPERLINK("https://www.suredividend.com/sure-analysis-research-database/","Estee Lauder Cos., Inc.")</f>
        <v>0</v>
      </c>
      <c r="C920" t="s">
        <v>3188</v>
      </c>
      <c r="D920">
        <v>114.38</v>
      </c>
      <c r="E920">
        <v>0.022954641985155</v>
      </c>
      <c r="F920" t="s">
        <v>3182</v>
      </c>
      <c r="G920" t="s">
        <v>3182</v>
      </c>
      <c r="H920">
        <v>2.625551950262072</v>
      </c>
      <c r="I920">
        <v>40822.222</v>
      </c>
      <c r="J920">
        <v>26.41252090489066</v>
      </c>
      <c r="K920">
        <v>0.9410580466889147</v>
      </c>
      <c r="L920">
        <v>1.279048331502231</v>
      </c>
      <c r="M920">
        <v>280.72</v>
      </c>
      <c r="N920">
        <v>102.22</v>
      </c>
    </row>
    <row r="921" spans="1:14">
      <c r="A921" s="1" t="s">
        <v>933</v>
      </c>
      <c r="B921">
        <f>HYPERLINK("https://www.suredividend.com/sure-analysis-research-database/","Elanco Animal Health Inc")</f>
        <v>0</v>
      </c>
      <c r="C921" t="s">
        <v>3180</v>
      </c>
      <c r="D921">
        <v>9.369999999999999</v>
      </c>
      <c r="E921">
        <v>0</v>
      </c>
      <c r="F921" t="s">
        <v>3182</v>
      </c>
      <c r="G921" t="s">
        <v>3182</v>
      </c>
      <c r="H921">
        <v>0</v>
      </c>
      <c r="I921">
        <v>4616.370185</v>
      </c>
      <c r="J921" t="s">
        <v>3182</v>
      </c>
      <c r="K921">
        <v>-0</v>
      </c>
      <c r="L921">
        <v>1.686700609404966</v>
      </c>
      <c r="M921">
        <v>14.69</v>
      </c>
      <c r="N921">
        <v>7.88</v>
      </c>
    </row>
    <row r="922" spans="1:14">
      <c r="A922" s="1" t="s">
        <v>934</v>
      </c>
      <c r="B922">
        <f>HYPERLINK("https://www.suredividend.com/sure-analysis-research-database/","e.l.f. Beauty Inc")</f>
        <v>0</v>
      </c>
      <c r="C922" t="s">
        <v>3188</v>
      </c>
      <c r="D922">
        <v>98.01000000000001</v>
      </c>
      <c r="E922">
        <v>0</v>
      </c>
      <c r="F922" t="s">
        <v>3182</v>
      </c>
      <c r="G922" t="s">
        <v>3182</v>
      </c>
      <c r="H922">
        <v>0</v>
      </c>
      <c r="I922">
        <v>5353.459194</v>
      </c>
      <c r="J922">
        <v>53.51425651862292</v>
      </c>
      <c r="K922">
        <v>0</v>
      </c>
      <c r="L922">
        <v>1.05526280875622</v>
      </c>
      <c r="M922">
        <v>139.85</v>
      </c>
      <c r="N922">
        <v>47.24</v>
      </c>
    </row>
    <row r="923" spans="1:14">
      <c r="A923" s="1" t="s">
        <v>935</v>
      </c>
      <c r="B923">
        <f>HYPERLINK("https://www.suredividend.com/sure-analysis-research-database/","Electromed Inc.")</f>
        <v>0</v>
      </c>
      <c r="C923" t="s">
        <v>3180</v>
      </c>
      <c r="D923">
        <v>10.68</v>
      </c>
      <c r="E923">
        <v>0</v>
      </c>
      <c r="F923" t="s">
        <v>3182</v>
      </c>
      <c r="G923" t="s">
        <v>3182</v>
      </c>
      <c r="H923">
        <v>0</v>
      </c>
      <c r="I923">
        <v>91.549344</v>
      </c>
      <c r="J923">
        <v>0</v>
      </c>
      <c r="K923" t="s">
        <v>3182</v>
      </c>
      <c r="L923">
        <v>0.13174741662604</v>
      </c>
      <c r="M923">
        <v>13.84</v>
      </c>
      <c r="N923">
        <v>8.800000000000001</v>
      </c>
    </row>
    <row r="924" spans="1:14">
      <c r="A924" s="1" t="s">
        <v>936</v>
      </c>
      <c r="B924">
        <f>HYPERLINK("https://www.suredividend.com/sure-analysis-research-database/","Eloxx Pharmaceuticals Inc")</f>
        <v>0</v>
      </c>
      <c r="C924" t="s">
        <v>3180</v>
      </c>
      <c r="D924">
        <v>3.82</v>
      </c>
      <c r="E924">
        <v>0</v>
      </c>
      <c r="F924" t="s">
        <v>3182</v>
      </c>
      <c r="G924" t="s">
        <v>3182</v>
      </c>
      <c r="H924">
        <v>0</v>
      </c>
      <c r="I924">
        <v>0</v>
      </c>
      <c r="J924">
        <v>0</v>
      </c>
      <c r="K924" t="s">
        <v>3182</v>
      </c>
    </row>
    <row r="925" spans="1:14">
      <c r="A925" s="1" t="s">
        <v>937</v>
      </c>
      <c r="B925">
        <f>HYPERLINK("https://www.suredividend.com/sure-analysis-ELS/","Equity Lifestyle Properties Inc.")</f>
        <v>0</v>
      </c>
      <c r="C925" t="s">
        <v>3187</v>
      </c>
      <c r="D925">
        <v>66.76000000000001</v>
      </c>
      <c r="E925">
        <v>0.0268124625524266</v>
      </c>
      <c r="F925">
        <v>0.0914634146341462</v>
      </c>
      <c r="G925">
        <v>-0.0404092121980415</v>
      </c>
      <c r="H925">
        <v>1.734846793641568</v>
      </c>
      <c r="I925">
        <v>12443.578388</v>
      </c>
      <c r="J925">
        <v>42.13976757918407</v>
      </c>
      <c r="K925">
        <v>1.148905161352032</v>
      </c>
      <c r="L925">
        <v>0.85310106306984</v>
      </c>
      <c r="M925">
        <v>72.88</v>
      </c>
      <c r="N925">
        <v>58.81</v>
      </c>
    </row>
    <row r="926" spans="1:14">
      <c r="A926" s="1" t="s">
        <v>938</v>
      </c>
      <c r="B926">
        <f>HYPERLINK("https://www.suredividend.com/sure-analysis-research-database/","Electro-Sensors, Inc.")</f>
        <v>0</v>
      </c>
      <c r="C926" t="s">
        <v>3185</v>
      </c>
      <c r="D926">
        <v>3.7501</v>
      </c>
      <c r="E926">
        <v>0</v>
      </c>
      <c r="F926" t="s">
        <v>3182</v>
      </c>
      <c r="G926" t="s">
        <v>3182</v>
      </c>
      <c r="H926">
        <v>0</v>
      </c>
      <c r="I926">
        <v>12.855422</v>
      </c>
      <c r="J926">
        <v>0</v>
      </c>
      <c r="K926" t="s">
        <v>3182</v>
      </c>
      <c r="M926">
        <v>5.14</v>
      </c>
      <c r="N926">
        <v>3.65</v>
      </c>
    </row>
    <row r="927" spans="1:14">
      <c r="A927" s="1" t="s">
        <v>939</v>
      </c>
      <c r="B927">
        <f>HYPERLINK("https://www.suredividend.com/sure-analysis-research-database/","Elevate Credit Inc")</f>
        <v>0</v>
      </c>
      <c r="C927" t="s">
        <v>3184</v>
      </c>
      <c r="D927">
        <v>1.87</v>
      </c>
      <c r="E927">
        <v>0</v>
      </c>
      <c r="F927" t="s">
        <v>3182</v>
      </c>
      <c r="G927" t="s">
        <v>3182</v>
      </c>
      <c r="H927">
        <v>0</v>
      </c>
      <c r="I927">
        <v>58.518005</v>
      </c>
      <c r="J927">
        <v>0</v>
      </c>
      <c r="K927" t="s">
        <v>3182</v>
      </c>
      <c r="L927">
        <v>0.5095020286778831</v>
      </c>
      <c r="M927">
        <v>3.42</v>
      </c>
      <c r="N927">
        <v>0.6681</v>
      </c>
    </row>
    <row r="928" spans="1:14">
      <c r="A928" s="1" t="s">
        <v>940</v>
      </c>
      <c r="B928">
        <f>HYPERLINK("https://www.suredividend.com/sure-analysis-research-database/","Topgolf Callaway Brands Corp")</f>
        <v>0</v>
      </c>
      <c r="C928" t="s">
        <v>3186</v>
      </c>
      <c r="D928">
        <v>21.33</v>
      </c>
      <c r="E928">
        <v>0</v>
      </c>
      <c r="F928" t="s">
        <v>3182</v>
      </c>
      <c r="G928" t="s">
        <v>3182</v>
      </c>
      <c r="H928">
        <v>0</v>
      </c>
      <c r="I928">
        <v>3941.152952</v>
      </c>
      <c r="J928">
        <v>26.29486300614479</v>
      </c>
      <c r="K928">
        <v>0</v>
      </c>
      <c r="L928">
        <v>1.509442864551341</v>
      </c>
      <c r="M928">
        <v>31.68</v>
      </c>
      <c r="N928">
        <v>17.78</v>
      </c>
    </row>
    <row r="929" spans="1:14">
      <c r="A929" s="1" t="s">
        <v>941</v>
      </c>
      <c r="B929">
        <f>HYPERLINK("https://www.suredividend.com/sure-analysis-research-database/","EMagin Corp")</f>
        <v>0</v>
      </c>
      <c r="C929" t="s">
        <v>3185</v>
      </c>
      <c r="D929">
        <v>2.07</v>
      </c>
      <c r="E929">
        <v>0</v>
      </c>
      <c r="F929" t="s">
        <v>3182</v>
      </c>
      <c r="G929" t="s">
        <v>3182</v>
      </c>
      <c r="H929">
        <v>0</v>
      </c>
      <c r="I929">
        <v>172.198986</v>
      </c>
      <c r="J929" t="s">
        <v>3182</v>
      </c>
      <c r="K929">
        <v>-0</v>
      </c>
      <c r="L929">
        <v>0.616367855678405</v>
      </c>
      <c r="M929">
        <v>2.49</v>
      </c>
      <c r="N929">
        <v>0.6914</v>
      </c>
    </row>
    <row r="930" spans="1:14">
      <c r="A930" s="1" t="s">
        <v>942</v>
      </c>
      <c r="B930">
        <f>HYPERLINK("https://www.suredividend.com/sure-analysis-research-database/","Emclaire Financial Corp.")</f>
        <v>0</v>
      </c>
      <c r="C930" t="s">
        <v>3184</v>
      </c>
      <c r="D930">
        <v>31.6</v>
      </c>
      <c r="E930">
        <v>0</v>
      </c>
      <c r="F930" t="s">
        <v>3182</v>
      </c>
      <c r="G930" t="s">
        <v>3182</v>
      </c>
      <c r="H930">
        <v>1.240000009536743</v>
      </c>
      <c r="I930">
        <v>0</v>
      </c>
      <c r="J930">
        <v>0</v>
      </c>
      <c r="K930" t="s">
        <v>3182</v>
      </c>
    </row>
    <row r="931" spans="1:14">
      <c r="A931" s="1" t="s">
        <v>943</v>
      </c>
      <c r="B931">
        <f>HYPERLINK("https://www.suredividend.com/sure-analysis-research-database/","Emcor Group, Inc.")</f>
        <v>0</v>
      </c>
      <c r="C931" t="s">
        <v>3183</v>
      </c>
      <c r="D931">
        <v>207.39</v>
      </c>
      <c r="E931">
        <v>0.003322591355532</v>
      </c>
      <c r="F931">
        <v>0.2</v>
      </c>
      <c r="G931">
        <v>0.1760790225246736</v>
      </c>
      <c r="H931">
        <v>0.6890722212237851</v>
      </c>
      <c r="I931">
        <v>9756.546412</v>
      </c>
      <c r="J931">
        <v>17.81116478347941</v>
      </c>
      <c r="K931">
        <v>0.06002371265015549</v>
      </c>
      <c r="L931">
        <v>0.828395455961612</v>
      </c>
      <c r="M931">
        <v>227.3</v>
      </c>
      <c r="N931">
        <v>141.33</v>
      </c>
    </row>
    <row r="932" spans="1:14">
      <c r="A932" s="1" t="s">
        <v>944</v>
      </c>
      <c r="B932">
        <f>HYPERLINK("https://www.suredividend.com/sure-analysis-research-database/","Emcore Corp.")</f>
        <v>0</v>
      </c>
      <c r="C932" t="s">
        <v>3185</v>
      </c>
      <c r="D932">
        <v>0.4601</v>
      </c>
      <c r="E932">
        <v>0</v>
      </c>
      <c r="F932" t="s">
        <v>3182</v>
      </c>
      <c r="G932" t="s">
        <v>3182</v>
      </c>
      <c r="H932">
        <v>0</v>
      </c>
      <c r="I932">
        <v>24.919236</v>
      </c>
      <c r="J932" t="s">
        <v>3182</v>
      </c>
      <c r="K932">
        <v>-0</v>
      </c>
      <c r="L932">
        <v>0.948036601560413</v>
      </c>
      <c r="M932">
        <v>1.64</v>
      </c>
      <c r="N932">
        <v>0.39</v>
      </c>
    </row>
    <row r="933" spans="1:14">
      <c r="A933" s="1" t="s">
        <v>945</v>
      </c>
      <c r="B933">
        <f>HYPERLINK("https://www.suredividend.com/sure-analysis-research-database/","Eastern Co.")</f>
        <v>0</v>
      </c>
      <c r="C933" t="s">
        <v>3183</v>
      </c>
      <c r="D933">
        <v>17.44</v>
      </c>
      <c r="E933">
        <v>0.024881365305767</v>
      </c>
      <c r="F933">
        <v>0</v>
      </c>
      <c r="G933">
        <v>0</v>
      </c>
      <c r="H933">
        <v>0.433931010932589</v>
      </c>
      <c r="I933">
        <v>108.796231</v>
      </c>
      <c r="J933">
        <v>0</v>
      </c>
      <c r="K933" t="s">
        <v>3182</v>
      </c>
      <c r="M933">
        <v>23.77</v>
      </c>
      <c r="N933">
        <v>15.01</v>
      </c>
    </row>
    <row r="934" spans="1:14">
      <c r="A934" s="1" t="s">
        <v>946</v>
      </c>
      <c r="B934">
        <f>HYPERLINK("https://www.suredividend.com/sure-analysis-research-database/","Emmis Corp")</f>
        <v>0</v>
      </c>
      <c r="C934" t="s">
        <v>3191</v>
      </c>
      <c r="D934">
        <v>4.85</v>
      </c>
      <c r="E934">
        <v>0</v>
      </c>
      <c r="F934" t="s">
        <v>3182</v>
      </c>
      <c r="G934" t="s">
        <v>3182</v>
      </c>
      <c r="H934">
        <v>0</v>
      </c>
      <c r="I934">
        <v>58.960315</v>
      </c>
      <c r="J934">
        <v>0</v>
      </c>
      <c r="K934" t="s">
        <v>3182</v>
      </c>
      <c r="M934">
        <v>5.7</v>
      </c>
      <c r="N934">
        <v>2.55</v>
      </c>
    </row>
    <row r="935" spans="1:14">
      <c r="A935" s="1" t="s">
        <v>947</v>
      </c>
      <c r="B935">
        <f>HYPERLINK("https://www.suredividend.com/sure-analysis-EMN/","Eastman Chemical Co")</f>
        <v>0</v>
      </c>
      <c r="C935" t="s">
        <v>3181</v>
      </c>
      <c r="D935">
        <v>75.17</v>
      </c>
      <c r="E935">
        <v>0.04203804709325529</v>
      </c>
      <c r="F935">
        <v>0.03947368421052633</v>
      </c>
      <c r="G935">
        <v>0.04965621207400783</v>
      </c>
      <c r="H935">
        <v>3.113322505881279</v>
      </c>
      <c r="I935">
        <v>8911.834525</v>
      </c>
      <c r="J935">
        <v>15.2339051705641</v>
      </c>
      <c r="K935">
        <v>0.6366712690963762</v>
      </c>
      <c r="L935">
        <v>1.267894495492713</v>
      </c>
      <c r="M935">
        <v>90.45</v>
      </c>
      <c r="N935">
        <v>68.89</v>
      </c>
    </row>
    <row r="936" spans="1:14">
      <c r="A936" s="1" t="s">
        <v>948</v>
      </c>
      <c r="B936">
        <f>HYPERLINK("https://www.suredividend.com/sure-analysis-EMR/","Emerson Electric Co.")</f>
        <v>0</v>
      </c>
      <c r="C936" t="s">
        <v>3183</v>
      </c>
      <c r="D936">
        <v>91.16</v>
      </c>
      <c r="E936">
        <v>0.02281702501096973</v>
      </c>
      <c r="F936">
        <v>0</v>
      </c>
      <c r="G936">
        <v>0.01195558756219928</v>
      </c>
      <c r="H936">
        <v>2.059009953604932</v>
      </c>
      <c r="I936">
        <v>52317.913</v>
      </c>
      <c r="J936">
        <v>3.958979417319712</v>
      </c>
      <c r="K936">
        <v>0.09070528429977674</v>
      </c>
      <c r="L936">
        <v>0.9187554474482321</v>
      </c>
      <c r="M936">
        <v>100.62</v>
      </c>
      <c r="N936">
        <v>76.52</v>
      </c>
    </row>
    <row r="937" spans="1:14">
      <c r="A937" s="1" t="s">
        <v>949</v>
      </c>
      <c r="B937">
        <f>HYPERLINK("https://www.suredividend.com/sure-analysis-research-database/","Endo International plc")</f>
        <v>0</v>
      </c>
      <c r="C937" t="s">
        <v>3180</v>
      </c>
      <c r="D937">
        <v>0.2926</v>
      </c>
      <c r="E937">
        <v>0</v>
      </c>
      <c r="F937" t="s">
        <v>3182</v>
      </c>
      <c r="G937" t="s">
        <v>3182</v>
      </c>
      <c r="H937">
        <v>0</v>
      </c>
      <c r="I937">
        <v>0</v>
      </c>
      <c r="J937">
        <v>0</v>
      </c>
      <c r="K937" t="s">
        <v>3182</v>
      </c>
    </row>
    <row r="938" spans="1:14">
      <c r="A938" s="1" t="s">
        <v>950</v>
      </c>
      <c r="B938">
        <f>HYPERLINK("https://www.suredividend.com/sure-analysis-research-database/","Englobal Corporation")</f>
        <v>0</v>
      </c>
      <c r="C938" t="s">
        <v>3183</v>
      </c>
      <c r="D938">
        <v>0.2997</v>
      </c>
      <c r="E938">
        <v>0</v>
      </c>
      <c r="F938" t="s">
        <v>3182</v>
      </c>
      <c r="G938" t="s">
        <v>3182</v>
      </c>
      <c r="H938">
        <v>0</v>
      </c>
      <c r="I938">
        <v>12.257714</v>
      </c>
      <c r="J938" t="s">
        <v>3182</v>
      </c>
      <c r="K938">
        <v>-0</v>
      </c>
      <c r="L938">
        <v>0.6727309543619761</v>
      </c>
      <c r="M938">
        <v>1.11</v>
      </c>
      <c r="N938">
        <v>0.25</v>
      </c>
    </row>
    <row r="939" spans="1:14">
      <c r="A939" s="1" t="s">
        <v>951</v>
      </c>
      <c r="B939">
        <f>HYPERLINK("https://www.suredividend.com/sure-analysis-research-database/","Enochian Biosciences Inc")</f>
        <v>0</v>
      </c>
      <c r="C939" t="s">
        <v>3180</v>
      </c>
      <c r="D939">
        <v>0.7000000000000001</v>
      </c>
      <c r="E939">
        <v>0</v>
      </c>
      <c r="F939" t="s">
        <v>3182</v>
      </c>
      <c r="G939" t="s">
        <v>3182</v>
      </c>
      <c r="H939">
        <v>0</v>
      </c>
      <c r="I939">
        <v>40.798514</v>
      </c>
      <c r="J939">
        <v>0</v>
      </c>
      <c r="K939" t="s">
        <v>3182</v>
      </c>
      <c r="L939">
        <v>1.377727815675019</v>
      </c>
      <c r="M939">
        <v>2.99</v>
      </c>
      <c r="N939">
        <v>0.3928</v>
      </c>
    </row>
    <row r="940" spans="1:14">
      <c r="A940" s="1" t="s">
        <v>952</v>
      </c>
      <c r="B940">
        <f>HYPERLINK("https://www.suredividend.com/sure-analysis-research-database/","Enphase Energy Inc")</f>
        <v>0</v>
      </c>
      <c r="C940" t="s">
        <v>3185</v>
      </c>
      <c r="D940">
        <v>78.92</v>
      </c>
      <c r="E940">
        <v>0</v>
      </c>
      <c r="F940" t="s">
        <v>3182</v>
      </c>
      <c r="G940" t="s">
        <v>3182</v>
      </c>
      <c r="H940">
        <v>0</v>
      </c>
      <c r="I940">
        <v>10776.621967</v>
      </c>
      <c r="J940">
        <v>18.84782686520804</v>
      </c>
      <c r="K940">
        <v>0</v>
      </c>
      <c r="L940">
        <v>1.598787626145227</v>
      </c>
      <c r="M940">
        <v>339.92</v>
      </c>
      <c r="N940">
        <v>74.7</v>
      </c>
    </row>
    <row r="941" spans="1:14">
      <c r="A941" s="1" t="s">
        <v>953</v>
      </c>
      <c r="B941">
        <f>HYPERLINK("https://www.suredividend.com/sure-analysis-research-database/","Energizer Holdings Inc")</f>
        <v>0</v>
      </c>
      <c r="C941" t="s">
        <v>3183</v>
      </c>
      <c r="D941">
        <v>32.62</v>
      </c>
      <c r="E941">
        <v>0.03631670129380801</v>
      </c>
      <c r="F941">
        <v>0</v>
      </c>
      <c r="G941">
        <v>0</v>
      </c>
      <c r="H941">
        <v>1.184650796204019</v>
      </c>
      <c r="I941">
        <v>2331.847387</v>
      </c>
      <c r="J941" t="s">
        <v>3182</v>
      </c>
      <c r="K941" t="s">
        <v>3182</v>
      </c>
      <c r="L941">
        <v>0.8571031023741361</v>
      </c>
      <c r="M941">
        <v>37</v>
      </c>
      <c r="N941">
        <v>27.11</v>
      </c>
    </row>
    <row r="942" spans="1:14">
      <c r="A942" s="1" t="s">
        <v>954</v>
      </c>
      <c r="B942">
        <f>HYPERLINK("https://www.suredividend.com/sure-analysis-research-database/","Enersys")</f>
        <v>0</v>
      </c>
      <c r="C942" t="s">
        <v>3183</v>
      </c>
      <c r="D942">
        <v>88.03</v>
      </c>
      <c r="E942">
        <v>0.008494853237372001</v>
      </c>
      <c r="F942">
        <v>0.2857142857142856</v>
      </c>
      <c r="G942">
        <v>0.05154749679728043</v>
      </c>
      <c r="H942">
        <v>0.7478019304858741</v>
      </c>
      <c r="I942">
        <v>3612.743717</v>
      </c>
      <c r="J942">
        <v>17.07111840744889</v>
      </c>
      <c r="K942">
        <v>0.1463408865921476</v>
      </c>
      <c r="L942">
        <v>1.462442529114174</v>
      </c>
      <c r="M942">
        <v>113.07</v>
      </c>
      <c r="N942">
        <v>64.78</v>
      </c>
    </row>
    <row r="943" spans="1:14">
      <c r="A943" s="1" t="s">
        <v>955</v>
      </c>
      <c r="B943">
        <f>HYPERLINK("https://www.suredividend.com/sure-analysis-ENSG/","Ensign Group Inc")</f>
        <v>0</v>
      </c>
      <c r="C943" t="s">
        <v>3180</v>
      </c>
      <c r="D943">
        <v>98.83</v>
      </c>
      <c r="E943">
        <v>0.002327228574319539</v>
      </c>
      <c r="F943">
        <v>0</v>
      </c>
      <c r="G943">
        <v>0.03895047748988278</v>
      </c>
      <c r="H943">
        <v>0.229608857026798</v>
      </c>
      <c r="I943">
        <v>5579.174682</v>
      </c>
      <c r="J943">
        <v>22.48044629698726</v>
      </c>
      <c r="K943">
        <v>0.05290526659603641</v>
      </c>
      <c r="L943">
        <v>0.6085257191386101</v>
      </c>
      <c r="M943">
        <v>103.91</v>
      </c>
      <c r="N943">
        <v>85.23</v>
      </c>
    </row>
    <row r="944" spans="1:14">
      <c r="A944" s="1" t="s">
        <v>956</v>
      </c>
      <c r="B944">
        <f>HYPERLINK("https://www.suredividend.com/sure-analysis-research-database/","Enservco Corp")</f>
        <v>0</v>
      </c>
      <c r="C944" t="s">
        <v>3189</v>
      </c>
      <c r="D944">
        <v>0.383</v>
      </c>
      <c r="E944">
        <v>0</v>
      </c>
      <c r="F944" t="s">
        <v>3182</v>
      </c>
      <c r="G944" t="s">
        <v>3182</v>
      </c>
      <c r="H944">
        <v>0</v>
      </c>
      <c r="I944">
        <v>8.786215</v>
      </c>
      <c r="J944">
        <v>0</v>
      </c>
      <c r="K944" t="s">
        <v>3182</v>
      </c>
      <c r="L944">
        <v>1.6664893543365</v>
      </c>
      <c r="M944">
        <v>3.22</v>
      </c>
      <c r="N944">
        <v>0.28</v>
      </c>
    </row>
    <row r="945" spans="1:14">
      <c r="A945" s="1" t="s">
        <v>957</v>
      </c>
      <c r="B945">
        <f>HYPERLINK("https://www.suredividend.com/sure-analysis-research-database/","Enanta Pharmaceuticals Inc")</f>
        <v>0</v>
      </c>
      <c r="C945" t="s">
        <v>3180</v>
      </c>
      <c r="D945">
        <v>8.84</v>
      </c>
      <c r="E945">
        <v>0</v>
      </c>
      <c r="F945" t="s">
        <v>3182</v>
      </c>
      <c r="G945" t="s">
        <v>3182</v>
      </c>
      <c r="H945">
        <v>0</v>
      </c>
      <c r="I945">
        <v>186.129665</v>
      </c>
      <c r="J945" t="s">
        <v>3182</v>
      </c>
      <c r="K945">
        <v>-0</v>
      </c>
      <c r="L945">
        <v>1.087391176157761</v>
      </c>
      <c r="M945">
        <v>62.06</v>
      </c>
      <c r="N945">
        <v>8.199999999999999</v>
      </c>
    </row>
    <row r="946" spans="1:14">
      <c r="A946" s="1" t="s">
        <v>958</v>
      </c>
      <c r="B946">
        <f>HYPERLINK("https://www.suredividend.com/sure-analysis-research-database/","Entegris Inc")</f>
        <v>0</v>
      </c>
      <c r="C946" t="s">
        <v>3185</v>
      </c>
      <c r="D946">
        <v>85.70999999999999</v>
      </c>
      <c r="E946">
        <v>0.004655550470226</v>
      </c>
      <c r="F946">
        <v>0</v>
      </c>
      <c r="G946">
        <v>0.07394092378577932</v>
      </c>
      <c r="H946">
        <v>0.399027230803106</v>
      </c>
      <c r="I946">
        <v>12865.781107</v>
      </c>
      <c r="J946">
        <v>138.0389372489378</v>
      </c>
      <c r="K946">
        <v>0.6420389876156171</v>
      </c>
      <c r="L946">
        <v>2.193928241886971</v>
      </c>
      <c r="M946">
        <v>114.13</v>
      </c>
      <c r="N946">
        <v>61.32</v>
      </c>
    </row>
    <row r="947" spans="1:14">
      <c r="A947" s="1" t="s">
        <v>959</v>
      </c>
      <c r="B947">
        <f>HYPERLINK("https://www.suredividend.com/sure-analysis-research-database/","Envestnet Inc.")</f>
        <v>0</v>
      </c>
      <c r="C947" t="s">
        <v>3185</v>
      </c>
      <c r="D947">
        <v>37.49</v>
      </c>
      <c r="E947">
        <v>0</v>
      </c>
      <c r="F947" t="s">
        <v>3182</v>
      </c>
      <c r="G947" t="s">
        <v>3182</v>
      </c>
      <c r="H947">
        <v>0</v>
      </c>
      <c r="I947">
        <v>2044.486446</v>
      </c>
      <c r="J947" t="s">
        <v>3182</v>
      </c>
      <c r="K947">
        <v>-0</v>
      </c>
      <c r="L947">
        <v>1.155036407180954</v>
      </c>
      <c r="M947">
        <v>69.22</v>
      </c>
      <c r="N947">
        <v>35.36</v>
      </c>
    </row>
    <row r="948" spans="1:14">
      <c r="A948" s="1" t="s">
        <v>960</v>
      </c>
      <c r="B948">
        <f>HYPERLINK("https://www.suredividend.com/sure-analysis-research-database/","Enova International Inc.")</f>
        <v>0</v>
      </c>
      <c r="C948" t="s">
        <v>3184</v>
      </c>
      <c r="D948">
        <v>41.79</v>
      </c>
      <c r="E948">
        <v>0</v>
      </c>
      <c r="F948" t="s">
        <v>3182</v>
      </c>
      <c r="G948" t="s">
        <v>3182</v>
      </c>
      <c r="H948">
        <v>0</v>
      </c>
      <c r="I948">
        <v>1248.215731</v>
      </c>
      <c r="J948">
        <v>6.527471466283174</v>
      </c>
      <c r="K948">
        <v>0</v>
      </c>
      <c r="L948">
        <v>1.364913685220198</v>
      </c>
      <c r="M948">
        <v>58.64</v>
      </c>
      <c r="N948">
        <v>35.3</v>
      </c>
    </row>
    <row r="949" spans="1:14">
      <c r="A949" s="1" t="s">
        <v>961</v>
      </c>
      <c r="B949">
        <f>HYPERLINK("https://www.suredividend.com/sure-analysis-research-database/","Enzo Biochem, Inc.")</f>
        <v>0</v>
      </c>
      <c r="C949" t="s">
        <v>3180</v>
      </c>
      <c r="D949">
        <v>1.32</v>
      </c>
      <c r="E949">
        <v>0</v>
      </c>
      <c r="F949" t="s">
        <v>3182</v>
      </c>
      <c r="G949" t="s">
        <v>3182</v>
      </c>
      <c r="H949">
        <v>0</v>
      </c>
      <c r="I949">
        <v>65.641071</v>
      </c>
      <c r="J949" t="s">
        <v>3182</v>
      </c>
      <c r="K949">
        <v>-0</v>
      </c>
      <c r="M949">
        <v>2.74</v>
      </c>
      <c r="N949">
        <v>1</v>
      </c>
    </row>
    <row r="950" spans="1:14">
      <c r="A950" s="1" t="s">
        <v>962</v>
      </c>
      <c r="B950">
        <f>HYPERLINK("https://www.suredividend.com/sure-analysis-EOG/","EOG Resources, Inc.")</f>
        <v>0</v>
      </c>
      <c r="C950" t="s">
        <v>3189</v>
      </c>
      <c r="D950">
        <v>128.65</v>
      </c>
      <c r="E950">
        <v>0.02565099106101826</v>
      </c>
      <c r="F950">
        <v>0</v>
      </c>
      <c r="G950">
        <v>0.1708049129648923</v>
      </c>
      <c r="H950">
        <v>3.260805625779988</v>
      </c>
      <c r="I950">
        <v>74907.86452800001</v>
      </c>
      <c r="J950">
        <v>8.603177274342483</v>
      </c>
      <c r="K950">
        <v>0.2195828704228948</v>
      </c>
      <c r="L950">
        <v>0.8610497356238521</v>
      </c>
      <c r="M950">
        <v>143.94</v>
      </c>
      <c r="N950">
        <v>96.59999999999999</v>
      </c>
    </row>
    <row r="951" spans="1:14">
      <c r="A951" s="1" t="s">
        <v>963</v>
      </c>
      <c r="B951">
        <f>HYPERLINK("https://www.suredividend.com/sure-analysis-research-database/","Evolus Inc")</f>
        <v>0</v>
      </c>
      <c r="C951" t="s">
        <v>3180</v>
      </c>
      <c r="D951">
        <v>7.78</v>
      </c>
      <c r="E951">
        <v>0</v>
      </c>
      <c r="F951" t="s">
        <v>3182</v>
      </c>
      <c r="G951" t="s">
        <v>3182</v>
      </c>
      <c r="H951">
        <v>0</v>
      </c>
      <c r="I951">
        <v>443.23876</v>
      </c>
      <c r="J951" t="s">
        <v>3182</v>
      </c>
      <c r="K951">
        <v>-0</v>
      </c>
      <c r="L951">
        <v>0.7144599489713731</v>
      </c>
      <c r="M951">
        <v>11.49</v>
      </c>
      <c r="N951">
        <v>6.51</v>
      </c>
    </row>
    <row r="952" spans="1:14">
      <c r="A952" s="1" t="s">
        <v>964</v>
      </c>
      <c r="B952">
        <f>HYPERLINK("https://www.suredividend.com/sure-analysis-research-database/","EPAM Systems Inc")</f>
        <v>0</v>
      </c>
      <c r="C952" t="s">
        <v>3185</v>
      </c>
      <c r="D952">
        <v>232.31</v>
      </c>
      <c r="E952">
        <v>0</v>
      </c>
      <c r="F952" t="s">
        <v>3182</v>
      </c>
      <c r="G952" t="s">
        <v>3182</v>
      </c>
      <c r="H952">
        <v>0</v>
      </c>
      <c r="I952">
        <v>13464.86764</v>
      </c>
      <c r="J952">
        <v>25.24261955961365</v>
      </c>
      <c r="K952">
        <v>0</v>
      </c>
      <c r="L952">
        <v>1.75023550593965</v>
      </c>
      <c r="M952">
        <v>385.96</v>
      </c>
      <c r="N952">
        <v>197.99</v>
      </c>
    </row>
    <row r="953" spans="1:14">
      <c r="A953" s="1" t="s">
        <v>965</v>
      </c>
      <c r="B953">
        <f>HYPERLINK("https://www.suredividend.com/sure-analysis-research-database/","Bottomline Technologies (Delaware) Inc")</f>
        <v>0</v>
      </c>
      <c r="C953" t="s">
        <v>3185</v>
      </c>
      <c r="D953">
        <v>56.99</v>
      </c>
      <c r="E953">
        <v>0</v>
      </c>
      <c r="F953" t="s">
        <v>3182</v>
      </c>
      <c r="G953" t="s">
        <v>3182</v>
      </c>
      <c r="H953">
        <v>0</v>
      </c>
      <c r="I953">
        <v>0</v>
      </c>
      <c r="J953">
        <v>0</v>
      </c>
      <c r="K953">
        <v>-0</v>
      </c>
    </row>
    <row r="954" spans="1:14">
      <c r="A954" s="1" t="s">
        <v>966</v>
      </c>
      <c r="B954">
        <f>HYPERLINK("https://www.suredividend.com/sure-analysis-research-database/","Edgewell Personal Care Co")</f>
        <v>0</v>
      </c>
      <c r="C954" t="s">
        <v>3188</v>
      </c>
      <c r="D954">
        <v>35.82</v>
      </c>
      <c r="E954">
        <v>0.016655765168749</v>
      </c>
      <c r="F954" t="s">
        <v>3182</v>
      </c>
      <c r="G954" t="s">
        <v>3182</v>
      </c>
      <c r="H954">
        <v>0.596609508344604</v>
      </c>
      <c r="I954">
        <v>1820.081936</v>
      </c>
      <c r="J954">
        <v>15.54297126917165</v>
      </c>
      <c r="K954">
        <v>0.2639865081170815</v>
      </c>
      <c r="L954">
        <v>0.6560045716327361</v>
      </c>
      <c r="M954">
        <v>45.78</v>
      </c>
      <c r="N954">
        <v>33.71</v>
      </c>
    </row>
    <row r="955" spans="1:14">
      <c r="A955" s="1" t="s">
        <v>967</v>
      </c>
      <c r="B955">
        <f>HYPERLINK("https://www.suredividend.com/sure-analysis-research-database/","Evolution Petroleum Corporation")</f>
        <v>0</v>
      </c>
      <c r="C955" t="s">
        <v>3189</v>
      </c>
      <c r="D955">
        <v>6.47</v>
      </c>
      <c r="E955">
        <v>0.07093817571047401</v>
      </c>
      <c r="F955">
        <v>0</v>
      </c>
      <c r="G955">
        <v>0.03713728933664817</v>
      </c>
      <c r="H955">
        <v>0.458969996846772</v>
      </c>
      <c r="I955">
        <v>216.358062</v>
      </c>
      <c r="J955">
        <v>6.143568777862964</v>
      </c>
      <c r="K955">
        <v>0.4329905630629924</v>
      </c>
      <c r="L955">
        <v>0.857936271984685</v>
      </c>
      <c r="M955">
        <v>9.77</v>
      </c>
      <c r="N955">
        <v>5.06</v>
      </c>
    </row>
    <row r="956" spans="1:14">
      <c r="A956" s="1" t="s">
        <v>968</v>
      </c>
      <c r="B956">
        <f>HYPERLINK("https://www.suredividend.com/sure-analysis-EPR/","EPR Properties")</f>
        <v>0</v>
      </c>
      <c r="C956" t="s">
        <v>3187</v>
      </c>
      <c r="D956">
        <v>45.24</v>
      </c>
      <c r="E956">
        <v>0.0729442970822281</v>
      </c>
      <c r="F956">
        <v>0</v>
      </c>
      <c r="G956">
        <v>0</v>
      </c>
      <c r="H956">
        <v>3.441477770024202</v>
      </c>
      <c r="I956">
        <v>3407.903594</v>
      </c>
      <c r="J956">
        <v>23.39002734514307</v>
      </c>
      <c r="K956">
        <v>1.783149103639483</v>
      </c>
      <c r="L956">
        <v>0.9900223573872331</v>
      </c>
      <c r="M956">
        <v>46.49</v>
      </c>
      <c r="N956">
        <v>32.18</v>
      </c>
    </row>
    <row r="957" spans="1:14">
      <c r="A957" s="1" t="s">
        <v>969</v>
      </c>
      <c r="B957">
        <f>HYPERLINK("https://www.suredividend.com/sure-analysis-EPRT/","Essential Properties Realty Trust Inc")</f>
        <v>0</v>
      </c>
      <c r="C957" t="s">
        <v>3187</v>
      </c>
      <c r="D957">
        <v>23.08</v>
      </c>
      <c r="E957">
        <v>0.04852686308492202</v>
      </c>
      <c r="F957">
        <v>0.03703703703703698</v>
      </c>
      <c r="G957">
        <v>0.05922384104881218</v>
      </c>
      <c r="H957">
        <v>1.089687580039208</v>
      </c>
      <c r="I957">
        <v>3601.039044</v>
      </c>
      <c r="J957">
        <v>20.36003711106588</v>
      </c>
      <c r="K957">
        <v>0.9234640508806848</v>
      </c>
      <c r="L957">
        <v>0.7864725489331461</v>
      </c>
      <c r="M957">
        <v>25.81</v>
      </c>
      <c r="N957">
        <v>20.01</v>
      </c>
    </row>
    <row r="958" spans="1:14">
      <c r="A958" s="1" t="s">
        <v>970</v>
      </c>
      <c r="B958">
        <f>HYPERLINK("https://www.suredividend.com/sure-analysis-research-database/","Epizyme Inc")</f>
        <v>0</v>
      </c>
      <c r="C958" t="s">
        <v>3180</v>
      </c>
      <c r="D958">
        <v>1.47</v>
      </c>
      <c r="E958">
        <v>0</v>
      </c>
      <c r="F958" t="s">
        <v>3182</v>
      </c>
      <c r="G958" t="s">
        <v>3182</v>
      </c>
      <c r="H958">
        <v>0</v>
      </c>
      <c r="I958">
        <v>0</v>
      </c>
      <c r="J958">
        <v>0</v>
      </c>
      <c r="K958" t="s">
        <v>3182</v>
      </c>
    </row>
    <row r="959" spans="1:14">
      <c r="A959" s="1" t="s">
        <v>971</v>
      </c>
      <c r="B959">
        <f>HYPERLINK("https://www.suredividend.com/sure-analysis-research-database/","Equity Bancshares Inc")</f>
        <v>0</v>
      </c>
      <c r="C959" t="s">
        <v>3184</v>
      </c>
      <c r="D959">
        <v>25.2</v>
      </c>
      <c r="E959">
        <v>0.008710403231358001</v>
      </c>
      <c r="F959" t="s">
        <v>3182</v>
      </c>
      <c r="G959" t="s">
        <v>3182</v>
      </c>
      <c r="H959">
        <v>0.219502161430246</v>
      </c>
      <c r="I959">
        <v>388.385903</v>
      </c>
      <c r="J959">
        <v>7.681987080185134</v>
      </c>
      <c r="K959">
        <v>0.06968322585087175</v>
      </c>
      <c r="L959">
        <v>0.9577744927677661</v>
      </c>
      <c r="M959">
        <v>37.25</v>
      </c>
      <c r="N959">
        <v>20.22</v>
      </c>
    </row>
    <row r="960" spans="1:14">
      <c r="A960" s="1" t="s">
        <v>972</v>
      </c>
      <c r="B960">
        <f>HYPERLINK("https://www.suredividend.com/sure-analysis-research-database/","Equity Commonwealth")</f>
        <v>0</v>
      </c>
      <c r="C960" t="s">
        <v>3187</v>
      </c>
      <c r="D960">
        <v>19.15</v>
      </c>
      <c r="E960">
        <v>0</v>
      </c>
      <c r="F960" t="s">
        <v>3182</v>
      </c>
      <c r="G960" t="s">
        <v>3182</v>
      </c>
      <c r="H960">
        <v>0</v>
      </c>
      <c r="I960">
        <v>2043.535681</v>
      </c>
      <c r="J960">
        <v>26.36752188201594</v>
      </c>
      <c r="K960">
        <v>0</v>
      </c>
      <c r="L960">
        <v>0.425013505232232</v>
      </c>
      <c r="M960">
        <v>22.89</v>
      </c>
      <c r="N960">
        <v>18.1</v>
      </c>
    </row>
    <row r="961" spans="1:14">
      <c r="A961" s="1" t="s">
        <v>973</v>
      </c>
      <c r="B961">
        <f>HYPERLINK("https://www.suredividend.com/sure-analysis-EQH/","Equitable Holdings Inc")</f>
        <v>0</v>
      </c>
      <c r="C961" t="s">
        <v>3184</v>
      </c>
      <c r="D961">
        <v>26.57</v>
      </c>
      <c r="E961">
        <v>0.03312006021829131</v>
      </c>
      <c r="F961">
        <v>0.09999999999999987</v>
      </c>
      <c r="G961">
        <v>0.1109534595426207</v>
      </c>
      <c r="H961">
        <v>0.830474344612236</v>
      </c>
      <c r="I961">
        <v>9229.122713000001</v>
      </c>
      <c r="J961">
        <v>27.14447856617647</v>
      </c>
      <c r="K961">
        <v>0.8961630998297572</v>
      </c>
      <c r="L961">
        <v>1.427419297723507</v>
      </c>
      <c r="M961">
        <v>32.49</v>
      </c>
      <c r="N961">
        <v>21.53</v>
      </c>
    </row>
    <row r="962" spans="1:14">
      <c r="A962" s="1" t="s">
        <v>974</v>
      </c>
      <c r="B962">
        <f>HYPERLINK("https://www.suredividend.com/sure-analysis-EQIX/","Equinix Inc")</f>
        <v>0</v>
      </c>
      <c r="C962" t="s">
        <v>3187</v>
      </c>
      <c r="D962">
        <v>763.1900000000001</v>
      </c>
      <c r="E962">
        <v>0.02232733657411654</v>
      </c>
      <c r="F962">
        <v>0.1000000000000001</v>
      </c>
      <c r="G962">
        <v>0.08383683412808396</v>
      </c>
      <c r="H962">
        <v>13.16438741510294</v>
      </c>
      <c r="I962">
        <v>71650.890363</v>
      </c>
      <c r="J962">
        <v>82.32205084780894</v>
      </c>
      <c r="K962">
        <v>1.414005092921905</v>
      </c>
      <c r="L962">
        <v>1.086446328988636</v>
      </c>
      <c r="M962">
        <v>814.13</v>
      </c>
      <c r="N962">
        <v>562.76</v>
      </c>
    </row>
    <row r="963" spans="1:14">
      <c r="A963" s="1" t="s">
        <v>975</v>
      </c>
      <c r="B963">
        <f>HYPERLINK("https://www.suredividend.com/sure-analysis-EQR/","Equity Residential Properties Trust")</f>
        <v>0</v>
      </c>
      <c r="C963" t="s">
        <v>3187</v>
      </c>
      <c r="D963">
        <v>54.19</v>
      </c>
      <c r="E963">
        <v>0.04890201144122532</v>
      </c>
      <c r="F963">
        <v>0.06000000000000005</v>
      </c>
      <c r="G963">
        <v>0.04173780361657564</v>
      </c>
      <c r="H963">
        <v>3.174989263848345</v>
      </c>
      <c r="I963">
        <v>21280.413</v>
      </c>
      <c r="J963">
        <v>25.63309134141097</v>
      </c>
      <c r="K963">
        <v>1.490605288191711</v>
      </c>
      <c r="L963">
        <v>0.9315334475877021</v>
      </c>
      <c r="M963">
        <v>68.68000000000001</v>
      </c>
      <c r="N963">
        <v>52.57</v>
      </c>
    </row>
    <row r="964" spans="1:14">
      <c r="A964" s="1" t="s">
        <v>976</v>
      </c>
      <c r="B964">
        <f>HYPERLINK("https://www.suredividend.com/sure-analysis-research-database/","EQT Corp")</f>
        <v>0</v>
      </c>
      <c r="C964" t="s">
        <v>3189</v>
      </c>
      <c r="D964">
        <v>44.35</v>
      </c>
      <c r="E964">
        <v>0.013445521320705</v>
      </c>
      <c r="F964" t="s">
        <v>3182</v>
      </c>
      <c r="G964" t="s">
        <v>3182</v>
      </c>
      <c r="H964">
        <v>0.5963088705732851</v>
      </c>
      <c r="I964">
        <v>18242.5742</v>
      </c>
      <c r="J964">
        <v>6.19408806111996</v>
      </c>
      <c r="K964">
        <v>0.08168614665387466</v>
      </c>
      <c r="L964">
        <v>1.180019070572709</v>
      </c>
      <c r="M964">
        <v>44.88</v>
      </c>
      <c r="N964">
        <v>27.87</v>
      </c>
    </row>
    <row r="965" spans="1:14">
      <c r="A965" s="1" t="s">
        <v>977</v>
      </c>
      <c r="B965">
        <f>HYPERLINK("https://www.suredividend.com/sure-analysis-ERIE/","Erie Indemnity Co.")</f>
        <v>0</v>
      </c>
      <c r="C965" t="s">
        <v>3184</v>
      </c>
      <c r="D965">
        <v>277.95</v>
      </c>
      <c r="E965">
        <v>0.01712538226299694</v>
      </c>
      <c r="F965">
        <v>0.072072072072072</v>
      </c>
      <c r="G965">
        <v>0.05745255380789049</v>
      </c>
      <c r="H965">
        <v>4.698226007166486</v>
      </c>
      <c r="I965">
        <v>12838.251451</v>
      </c>
      <c r="J965">
        <v>32.04571742161583</v>
      </c>
      <c r="K965">
        <v>0.6181876325219061</v>
      </c>
      <c r="L965">
        <v>0.5463170882096621</v>
      </c>
      <c r="M965">
        <v>313.87</v>
      </c>
      <c r="N965">
        <v>197.87</v>
      </c>
    </row>
    <row r="966" spans="1:14">
      <c r="A966" s="1" t="s">
        <v>978</v>
      </c>
      <c r="B966">
        <f>HYPERLINK("https://www.suredividend.com/sure-analysis-research-database/","Energy Recovery Inc")</f>
        <v>0</v>
      </c>
      <c r="C966" t="s">
        <v>3183</v>
      </c>
      <c r="D966">
        <v>17.71</v>
      </c>
      <c r="E966">
        <v>0</v>
      </c>
      <c r="F966" t="s">
        <v>3182</v>
      </c>
      <c r="G966" t="s">
        <v>3182</v>
      </c>
      <c r="H966">
        <v>0</v>
      </c>
      <c r="I966">
        <v>998.960921</v>
      </c>
      <c r="J966">
        <v>94.66132108594712</v>
      </c>
      <c r="K966">
        <v>0</v>
      </c>
      <c r="L966">
        <v>1.321269337857254</v>
      </c>
      <c r="M966">
        <v>30.76</v>
      </c>
      <c r="N966">
        <v>14.04</v>
      </c>
    </row>
    <row r="967" spans="1:14">
      <c r="A967" s="1" t="s">
        <v>979</v>
      </c>
      <c r="B967">
        <f>HYPERLINK("https://www.suredividend.com/sure-analysis-ES/","Eversource Energy")</f>
        <v>0</v>
      </c>
      <c r="C967" t="s">
        <v>3190</v>
      </c>
      <c r="D967">
        <v>54.28</v>
      </c>
      <c r="E967">
        <v>0.04974207811348563</v>
      </c>
      <c r="F967">
        <v>0.05882352941176472</v>
      </c>
      <c r="G967">
        <v>0.0597476908802026</v>
      </c>
      <c r="H967">
        <v>2.624179471949984</v>
      </c>
      <c r="I967">
        <v>18948.6052</v>
      </c>
      <c r="J967">
        <v>16.11073198270966</v>
      </c>
      <c r="K967">
        <v>0.7786882706083038</v>
      </c>
      <c r="L967">
        <v>0.679751977578933</v>
      </c>
      <c r="M967">
        <v>84.59999999999999</v>
      </c>
      <c r="N967">
        <v>52.03</v>
      </c>
    </row>
    <row r="968" spans="1:14">
      <c r="A968" s="1" t="s">
        <v>980</v>
      </c>
      <c r="B968">
        <f>HYPERLINK("https://www.suredividend.com/sure-analysis-research-database/","Elmira Savings Bank Elmira NY")</f>
        <v>0</v>
      </c>
      <c r="C968" t="s">
        <v>3184</v>
      </c>
      <c r="D968">
        <v>23.08</v>
      </c>
      <c r="E968">
        <v>0</v>
      </c>
      <c r="F968" t="s">
        <v>3182</v>
      </c>
      <c r="G968" t="s">
        <v>3182</v>
      </c>
      <c r="H968">
        <v>0.600000023841857</v>
      </c>
      <c r="I968">
        <v>0</v>
      </c>
      <c r="J968">
        <v>0</v>
      </c>
      <c r="K968" t="s">
        <v>3182</v>
      </c>
    </row>
    <row r="969" spans="1:14">
      <c r="A969" s="1" t="s">
        <v>981</v>
      </c>
      <c r="B969">
        <f>HYPERLINK("https://www.suredividend.com/sure-analysis-research-database/","Escalade, Inc.")</f>
        <v>0</v>
      </c>
      <c r="C969" t="s">
        <v>3186</v>
      </c>
      <c r="D969">
        <v>17.01</v>
      </c>
      <c r="E969">
        <v>0.034277695722084</v>
      </c>
      <c r="F969">
        <v>0</v>
      </c>
      <c r="G969">
        <v>0.03713728933664817</v>
      </c>
      <c r="H969">
        <v>0.583063604232664</v>
      </c>
      <c r="I969">
        <v>233.662968</v>
      </c>
      <c r="J969">
        <v>24.16619795221843</v>
      </c>
      <c r="K969">
        <v>0.8319971521584818</v>
      </c>
      <c r="L969">
        <v>0.223485777601732</v>
      </c>
      <c r="M969">
        <v>17.41</v>
      </c>
      <c r="N969">
        <v>8.76</v>
      </c>
    </row>
    <row r="970" spans="1:14">
      <c r="A970" s="1" t="s">
        <v>982</v>
      </c>
      <c r="B970">
        <f>HYPERLINK("https://www.suredividend.com/sure-analysis-research-database/","Esco Technologies, Inc.")</f>
        <v>0</v>
      </c>
      <c r="C970" t="s">
        <v>3185</v>
      </c>
      <c r="D970">
        <v>98.5</v>
      </c>
      <c r="E970">
        <v>0.003244917328954</v>
      </c>
      <c r="F970">
        <v>0</v>
      </c>
      <c r="G970">
        <v>0</v>
      </c>
      <c r="H970">
        <v>0.319624356902001</v>
      </c>
      <c r="I970">
        <v>2539.582456</v>
      </c>
      <c r="J970">
        <v>27.72833182840547</v>
      </c>
      <c r="K970">
        <v>0.09054514359830057</v>
      </c>
      <c r="L970">
        <v>0.9725463238614731</v>
      </c>
      <c r="M970">
        <v>109.49</v>
      </c>
      <c r="N970">
        <v>82.78</v>
      </c>
    </row>
    <row r="971" spans="1:14">
      <c r="A971" s="1" t="s">
        <v>983</v>
      </c>
      <c r="B971">
        <f>HYPERLINK("https://www.suredividend.com/sure-analysis-research-database/","Enstar Group Limited")</f>
        <v>0</v>
      </c>
      <c r="C971" t="s">
        <v>3184</v>
      </c>
      <c r="D971">
        <v>242.53</v>
      </c>
      <c r="E971">
        <v>0</v>
      </c>
      <c r="F971" t="s">
        <v>3182</v>
      </c>
      <c r="G971" t="s">
        <v>3182</v>
      </c>
      <c r="H971">
        <v>0</v>
      </c>
      <c r="I971">
        <v>3888.096655</v>
      </c>
      <c r="J971">
        <v>12.38247342245223</v>
      </c>
      <c r="K971">
        <v>0</v>
      </c>
      <c r="L971">
        <v>0.71367836107033</v>
      </c>
      <c r="M971">
        <v>271.39</v>
      </c>
      <c r="N971">
        <v>185.55</v>
      </c>
    </row>
    <row r="972" spans="1:14">
      <c r="A972" s="1" t="s">
        <v>984</v>
      </c>
      <c r="B972">
        <f>HYPERLINK("https://www.suredividend.com/sure-analysis-research-database/","Element Solutions Inc")</f>
        <v>0</v>
      </c>
      <c r="C972" t="s">
        <v>3181</v>
      </c>
      <c r="D972">
        <v>18.58</v>
      </c>
      <c r="E972">
        <v>0.017118795057966</v>
      </c>
      <c r="F972" t="s">
        <v>3182</v>
      </c>
      <c r="G972" t="s">
        <v>3182</v>
      </c>
      <c r="H972">
        <v>0.318067212177013</v>
      </c>
      <c r="I972">
        <v>4487.373114</v>
      </c>
      <c r="J972">
        <v>83.56374514189943</v>
      </c>
      <c r="K972">
        <v>1.431445599356494</v>
      </c>
      <c r="L972">
        <v>1.270036720667246</v>
      </c>
      <c r="M972">
        <v>21.64</v>
      </c>
      <c r="N972">
        <v>16.63</v>
      </c>
    </row>
    <row r="973" spans="1:14">
      <c r="A973" s="1" t="s">
        <v>985</v>
      </c>
      <c r="B973">
        <f>HYPERLINK("https://www.suredividend.com/sure-analysis-research-database/","Essent Group Ltd")</f>
        <v>0</v>
      </c>
      <c r="C973" t="s">
        <v>3184</v>
      </c>
      <c r="D973">
        <v>48.07</v>
      </c>
      <c r="E973">
        <v>0.020229612841796</v>
      </c>
      <c r="F973" t="s">
        <v>3182</v>
      </c>
      <c r="G973" t="s">
        <v>3182</v>
      </c>
      <c r="H973">
        <v>0.9724374893051581</v>
      </c>
      <c r="I973">
        <v>5142.933782</v>
      </c>
      <c r="J973">
        <v>7.693508949492652</v>
      </c>
      <c r="K973">
        <v>0.1560894846396722</v>
      </c>
      <c r="L973">
        <v>1.017122304739256</v>
      </c>
      <c r="M973">
        <v>53.39</v>
      </c>
      <c r="N973">
        <v>36.15</v>
      </c>
    </row>
    <row r="974" spans="1:14">
      <c r="A974" s="1" t="s">
        <v>986</v>
      </c>
      <c r="B974">
        <f>HYPERLINK("https://www.suredividend.com/sure-analysis-research-database/","Espey Manufacturing &amp; Electronics Corp.")</f>
        <v>0</v>
      </c>
      <c r="C974" t="s">
        <v>3183</v>
      </c>
      <c r="D974">
        <v>17.27</v>
      </c>
      <c r="E974">
        <v>0.019989663610917</v>
      </c>
      <c r="F974" t="s">
        <v>3182</v>
      </c>
      <c r="G974" t="s">
        <v>3182</v>
      </c>
      <c r="H974">
        <v>0.345221490560542</v>
      </c>
      <c r="I974">
        <v>46.743552</v>
      </c>
      <c r="J974">
        <v>0</v>
      </c>
      <c r="K974" t="s">
        <v>3182</v>
      </c>
      <c r="M974">
        <v>22.28</v>
      </c>
      <c r="N974">
        <v>12.57</v>
      </c>
    </row>
    <row r="975" spans="1:14">
      <c r="A975" s="1" t="s">
        <v>987</v>
      </c>
      <c r="B975">
        <f>HYPERLINK("https://www.suredividend.com/sure-analysis-research-database/","Esperion Therapeutics Inc.")</f>
        <v>0</v>
      </c>
      <c r="C975" t="s">
        <v>3180</v>
      </c>
      <c r="D975">
        <v>0.884</v>
      </c>
      <c r="E975">
        <v>0</v>
      </c>
      <c r="F975" t="s">
        <v>3182</v>
      </c>
      <c r="G975" t="s">
        <v>3182</v>
      </c>
      <c r="H975">
        <v>0</v>
      </c>
      <c r="I975">
        <v>94.58293399999999</v>
      </c>
      <c r="J975">
        <v>0</v>
      </c>
      <c r="K975" t="s">
        <v>3182</v>
      </c>
      <c r="L975">
        <v>0.5196102105425641</v>
      </c>
      <c r="M975">
        <v>8.869999999999999</v>
      </c>
      <c r="N975">
        <v>0.7000000000000001</v>
      </c>
    </row>
    <row r="976" spans="1:14">
      <c r="A976" s="1" t="s">
        <v>988</v>
      </c>
      <c r="B976">
        <f>HYPERLINK("https://www.suredividend.com/sure-analysis-research-database/","Esquire Financial Holdings Inc")</f>
        <v>0</v>
      </c>
      <c r="C976" t="s">
        <v>3184</v>
      </c>
      <c r="D976">
        <v>46.52</v>
      </c>
      <c r="E976">
        <v>0.009620154428638001</v>
      </c>
      <c r="F976" t="s">
        <v>3182</v>
      </c>
      <c r="G976" t="s">
        <v>3182</v>
      </c>
      <c r="H976">
        <v>0.447529584020278</v>
      </c>
      <c r="I976">
        <v>381.581789</v>
      </c>
      <c r="J976">
        <v>10.01080328042606</v>
      </c>
      <c r="K976">
        <v>0.09728904000440827</v>
      </c>
      <c r="L976">
        <v>1.00895975573422</v>
      </c>
      <c r="M976">
        <v>53.76</v>
      </c>
      <c r="N976">
        <v>34.47</v>
      </c>
    </row>
    <row r="977" spans="1:14">
      <c r="A977" s="1" t="s">
        <v>989</v>
      </c>
      <c r="B977">
        <f>HYPERLINK("https://www.suredividend.com/sure-analysis-ESRT/","Empire State Realty Trust Inc")</f>
        <v>0</v>
      </c>
      <c r="C977" t="s">
        <v>3187</v>
      </c>
      <c r="D977">
        <v>8.74</v>
      </c>
      <c r="E977">
        <v>0.01601830663615561</v>
      </c>
      <c r="F977" t="s">
        <v>3182</v>
      </c>
      <c r="G977" t="s">
        <v>3182</v>
      </c>
      <c r="H977">
        <v>0.139058280238122</v>
      </c>
      <c r="I977">
        <v>1399.373706</v>
      </c>
      <c r="J977">
        <v>30.03205652674049</v>
      </c>
      <c r="K977">
        <v>0.79461874421784</v>
      </c>
      <c r="L977">
        <v>1.260225131234065</v>
      </c>
      <c r="M977">
        <v>9.039999999999999</v>
      </c>
      <c r="N977">
        <v>5.34</v>
      </c>
    </row>
    <row r="978" spans="1:14">
      <c r="A978" s="1" t="s">
        <v>990</v>
      </c>
      <c r="B978">
        <f>HYPERLINK("https://www.suredividend.com/sure-analysis-ESS/","Essex Property Trust, Inc.")</f>
        <v>0</v>
      </c>
      <c r="C978" t="s">
        <v>3187</v>
      </c>
      <c r="D978">
        <v>211.76</v>
      </c>
      <c r="E978">
        <v>0.04363430298451077</v>
      </c>
      <c r="F978">
        <v>0.05000000000000004</v>
      </c>
      <c r="G978">
        <v>0.04428684488783619</v>
      </c>
      <c r="H978">
        <v>8.986141098909242</v>
      </c>
      <c r="I978">
        <v>13591.731743</v>
      </c>
      <c r="J978">
        <v>25.8595083762336</v>
      </c>
      <c r="K978">
        <v>1.101242781729074</v>
      </c>
      <c r="L978">
        <v>0.9466506142630911</v>
      </c>
      <c r="M978">
        <v>246.07</v>
      </c>
      <c r="N978">
        <v>188.8</v>
      </c>
    </row>
    <row r="979" spans="1:14">
      <c r="A979" s="1" t="s">
        <v>991</v>
      </c>
      <c r="B979">
        <f>HYPERLINK("https://www.suredividend.com/sure-analysis-research-database/","ESSA Bancorp Inc")</f>
        <v>0</v>
      </c>
      <c r="C979" t="s">
        <v>3184</v>
      </c>
      <c r="D979">
        <v>16.41</v>
      </c>
      <c r="E979">
        <v>0.035606262305646</v>
      </c>
      <c r="F979">
        <v>0</v>
      </c>
      <c r="G979">
        <v>0.08447177119769855</v>
      </c>
      <c r="H979">
        <v>0.5842987644356601</v>
      </c>
      <c r="I979">
        <v>170.683774</v>
      </c>
      <c r="J979">
        <v>8.632163761189501</v>
      </c>
      <c r="K979">
        <v>0.2878319036628867</v>
      </c>
      <c r="L979">
        <v>0.500670268804564</v>
      </c>
      <c r="M979">
        <v>20.64</v>
      </c>
      <c r="N979">
        <v>12.3</v>
      </c>
    </row>
    <row r="980" spans="1:14">
      <c r="A980" s="1" t="s">
        <v>992</v>
      </c>
      <c r="B980">
        <f>HYPERLINK("https://www.suredividend.com/sure-analysis-research-database/","Elastic N.V")</f>
        <v>0</v>
      </c>
      <c r="C980" t="s">
        <v>3185</v>
      </c>
      <c r="D980">
        <v>70.87</v>
      </c>
      <c r="E980">
        <v>0</v>
      </c>
      <c r="F980" t="s">
        <v>3182</v>
      </c>
      <c r="G980" t="s">
        <v>3182</v>
      </c>
      <c r="H980">
        <v>0</v>
      </c>
      <c r="I980">
        <v>6974.959633</v>
      </c>
      <c r="J980" t="s">
        <v>3182</v>
      </c>
      <c r="K980">
        <v>-0</v>
      </c>
      <c r="L980">
        <v>1.928095948478997</v>
      </c>
      <c r="M980">
        <v>84.04000000000001</v>
      </c>
      <c r="N980">
        <v>46.18</v>
      </c>
    </row>
    <row r="981" spans="1:14">
      <c r="A981" s="1" t="s">
        <v>993</v>
      </c>
      <c r="B981">
        <f>HYPERLINK("https://www.suredividend.com/sure-analysis-research-database/","Earthstone Energy Inc")</f>
        <v>0</v>
      </c>
      <c r="C981" t="s">
        <v>3189</v>
      </c>
      <c r="D981">
        <v>21.17</v>
      </c>
      <c r="E981">
        <v>0</v>
      </c>
      <c r="F981" t="s">
        <v>3182</v>
      </c>
      <c r="G981" t="s">
        <v>3182</v>
      </c>
      <c r="H981">
        <v>0</v>
      </c>
      <c r="I981">
        <v>2251.0061</v>
      </c>
      <c r="J981">
        <v>0</v>
      </c>
      <c r="K981" t="s">
        <v>3182</v>
      </c>
      <c r="L981">
        <v>1.358767250518549</v>
      </c>
      <c r="M981">
        <v>22.45</v>
      </c>
      <c r="N981">
        <v>11.32</v>
      </c>
    </row>
    <row r="982" spans="1:14">
      <c r="A982" s="1" t="s">
        <v>994</v>
      </c>
      <c r="B982">
        <f>HYPERLINK("https://www.suredividend.com/sure-analysis-research-database/","Community Bankers Trust Corp")</f>
        <v>0</v>
      </c>
      <c r="C982" t="s">
        <v>3184</v>
      </c>
      <c r="D982">
        <v>11.3</v>
      </c>
      <c r="E982">
        <v>0</v>
      </c>
      <c r="F982" t="s">
        <v>3182</v>
      </c>
      <c r="G982" t="s">
        <v>3182</v>
      </c>
      <c r="H982">
        <v>0.259999997913837</v>
      </c>
      <c r="I982">
        <v>0</v>
      </c>
      <c r="J982">
        <v>0</v>
      </c>
      <c r="K982" t="s">
        <v>3182</v>
      </c>
    </row>
    <row r="983" spans="1:14">
      <c r="A983" s="1" t="s">
        <v>995</v>
      </c>
      <c r="B983">
        <f>HYPERLINK("https://www.suredividend.com/sure-analysis-ETN/","Eaton Corporation plc")</f>
        <v>0</v>
      </c>
      <c r="C983" t="s">
        <v>3183</v>
      </c>
      <c r="D983">
        <v>216.16</v>
      </c>
      <c r="E983">
        <v>0.01591413767579571</v>
      </c>
      <c r="F983">
        <v>0.06172839506172823</v>
      </c>
      <c r="G983">
        <v>0.03907769072713529</v>
      </c>
      <c r="H983">
        <v>3.367543781495544</v>
      </c>
      <c r="I983">
        <v>86312.68799999999</v>
      </c>
      <c r="J983">
        <v>28.81892754590985</v>
      </c>
      <c r="K983">
        <v>0.4508090738280515</v>
      </c>
      <c r="L983">
        <v>0.9910181667379431</v>
      </c>
      <c r="M983">
        <v>240.44</v>
      </c>
      <c r="N983">
        <v>148.76</v>
      </c>
    </row>
    <row r="984" spans="1:14">
      <c r="A984" s="1" t="s">
        <v>996</v>
      </c>
      <c r="B984">
        <f>HYPERLINK("https://www.suredividend.com/sure-analysis-ETR/","Entergy Corp.")</f>
        <v>0</v>
      </c>
      <c r="C984" t="s">
        <v>3190</v>
      </c>
      <c r="D984">
        <v>98.65000000000001</v>
      </c>
      <c r="E984">
        <v>0.04581855043081601</v>
      </c>
      <c r="F984">
        <v>0</v>
      </c>
      <c r="G984">
        <v>0.0329242585182985</v>
      </c>
      <c r="H984">
        <v>4.202671150017537</v>
      </c>
      <c r="I984">
        <v>20860.093756</v>
      </c>
      <c r="J984">
        <v>15.23477497491313</v>
      </c>
      <c r="K984">
        <v>0.6426102675867793</v>
      </c>
      <c r="L984">
        <v>0.6574986244483281</v>
      </c>
      <c r="M984">
        <v>117.05</v>
      </c>
      <c r="N984">
        <v>87.09999999999999</v>
      </c>
    </row>
    <row r="985" spans="1:14">
      <c r="A985" s="1" t="s">
        <v>997</v>
      </c>
      <c r="B985">
        <f>HYPERLINK("https://www.suredividend.com/sure-analysis-research-database/","Equitrans Midstream Corporation")</f>
        <v>0</v>
      </c>
      <c r="C985" t="s">
        <v>3189</v>
      </c>
      <c r="D985">
        <v>9.1</v>
      </c>
      <c r="E985">
        <v>0.06412248229190901</v>
      </c>
      <c r="F985">
        <v>0</v>
      </c>
      <c r="G985">
        <v>-0.1821729320639408</v>
      </c>
      <c r="H985">
        <v>0.5835145888563731</v>
      </c>
      <c r="I985">
        <v>3942.6751</v>
      </c>
      <c r="J985">
        <v>12.96753441958677</v>
      </c>
      <c r="K985">
        <v>0.8352627953855899</v>
      </c>
      <c r="L985">
        <v>1.198785546109054</v>
      </c>
      <c r="M985">
        <v>10.14</v>
      </c>
      <c r="N985">
        <v>4.32</v>
      </c>
    </row>
    <row r="986" spans="1:14">
      <c r="A986" s="1" t="s">
        <v>998</v>
      </c>
      <c r="B986">
        <f>HYPERLINK("https://www.suredividend.com/sure-analysis-research-database/","Etsy Inc")</f>
        <v>0</v>
      </c>
      <c r="C986" t="s">
        <v>3186</v>
      </c>
      <c r="D986">
        <v>61.63</v>
      </c>
      <c r="E986">
        <v>0</v>
      </c>
      <c r="F986" t="s">
        <v>3182</v>
      </c>
      <c r="G986" t="s">
        <v>3182</v>
      </c>
      <c r="H986">
        <v>0</v>
      </c>
      <c r="I986">
        <v>7581.340494</v>
      </c>
      <c r="J986" t="s">
        <v>3182</v>
      </c>
      <c r="K986">
        <v>-0</v>
      </c>
      <c r="L986">
        <v>1.870104547481366</v>
      </c>
      <c r="M986">
        <v>149.91</v>
      </c>
      <c r="N986">
        <v>58.2</v>
      </c>
    </row>
    <row r="987" spans="1:14">
      <c r="A987" s="1" t="s">
        <v>999</v>
      </c>
      <c r="B987">
        <f>HYPERLINK("https://www.suredividend.com/sure-analysis-research-database/","Eaton Vance Corp.")</f>
        <v>0</v>
      </c>
      <c r="C987" t="s">
        <v>3184</v>
      </c>
      <c r="D987">
        <v>73.06999999999999</v>
      </c>
      <c r="E987">
        <v>0.019393712155093</v>
      </c>
      <c r="F987" t="s">
        <v>3182</v>
      </c>
      <c r="G987" t="s">
        <v>3182</v>
      </c>
      <c r="H987">
        <v>1.417098547172647</v>
      </c>
      <c r="I987">
        <v>8344.346219999999</v>
      </c>
      <c r="J987">
        <v>60.24102789302319</v>
      </c>
      <c r="K987">
        <v>1.180915455977206</v>
      </c>
      <c r="L987">
        <v>1.459801302580515</v>
      </c>
      <c r="M987">
        <v>75.61</v>
      </c>
      <c r="N987">
        <v>21.43</v>
      </c>
    </row>
    <row r="988" spans="1:14">
      <c r="A988" s="1" t="s">
        <v>1000</v>
      </c>
      <c r="B988">
        <f>HYPERLINK("https://www.suredividend.com/sure-analysis-research-database/","Everbridge Inc")</f>
        <v>0</v>
      </c>
      <c r="C988" t="s">
        <v>3185</v>
      </c>
      <c r="D988">
        <v>20.81</v>
      </c>
      <c r="E988">
        <v>0</v>
      </c>
      <c r="F988" t="s">
        <v>3182</v>
      </c>
      <c r="G988" t="s">
        <v>3182</v>
      </c>
      <c r="H988">
        <v>0</v>
      </c>
      <c r="I988">
        <v>848.230125</v>
      </c>
      <c r="J988" t="s">
        <v>3182</v>
      </c>
      <c r="K988">
        <v>-0</v>
      </c>
      <c r="L988">
        <v>1.947612418108013</v>
      </c>
      <c r="M988">
        <v>36.41</v>
      </c>
      <c r="N988">
        <v>19.37</v>
      </c>
    </row>
    <row r="989" spans="1:14">
      <c r="A989" s="1" t="s">
        <v>1001</v>
      </c>
      <c r="B989">
        <f>HYPERLINK("https://www.suredividend.com/sure-analysis-research-database/","Evans Bancorp Inc")</f>
        <v>0</v>
      </c>
      <c r="C989" t="s">
        <v>3184</v>
      </c>
      <c r="D989">
        <v>25.4</v>
      </c>
      <c r="E989">
        <v>0.050798587651114</v>
      </c>
      <c r="F989" t="s">
        <v>3182</v>
      </c>
      <c r="G989" t="s">
        <v>3182</v>
      </c>
      <c r="H989">
        <v>1.290284126338307</v>
      </c>
      <c r="I989">
        <v>139.283211</v>
      </c>
      <c r="J989">
        <v>0</v>
      </c>
      <c r="K989" t="s">
        <v>3182</v>
      </c>
      <c r="L989">
        <v>0.465374873668372</v>
      </c>
      <c r="M989">
        <v>38.08</v>
      </c>
      <c r="N989">
        <v>22.16</v>
      </c>
    </row>
    <row r="990" spans="1:14">
      <c r="A990" s="1" t="s">
        <v>1002</v>
      </c>
      <c r="B990">
        <f>HYPERLINK("https://www.suredividend.com/sure-analysis-research-database/","Entravision Communications Corp.")</f>
        <v>0</v>
      </c>
      <c r="C990" t="s">
        <v>3191</v>
      </c>
      <c r="D990">
        <v>3.81</v>
      </c>
      <c r="E990">
        <v>0.045219949477696</v>
      </c>
      <c r="F990">
        <v>1</v>
      </c>
      <c r="G990">
        <v>0</v>
      </c>
      <c r="H990">
        <v>0.172288007510024</v>
      </c>
      <c r="I990">
        <v>299.633686</v>
      </c>
      <c r="J990">
        <v>38.33103309709608</v>
      </c>
      <c r="K990">
        <v>1.944559904176343</v>
      </c>
      <c r="L990">
        <v>1.469756331605912</v>
      </c>
      <c r="M990">
        <v>7.09</v>
      </c>
      <c r="N990">
        <v>3.35</v>
      </c>
    </row>
    <row r="991" spans="1:14">
      <c r="A991" s="1" t="s">
        <v>1003</v>
      </c>
      <c r="B991">
        <f>HYPERLINK("https://www.suredividend.com/sure-analysis-research-database/","EverQuote Inc")</f>
        <v>0</v>
      </c>
      <c r="C991" t="s">
        <v>3191</v>
      </c>
      <c r="D991">
        <v>7.44</v>
      </c>
      <c r="E991">
        <v>0</v>
      </c>
      <c r="F991" t="s">
        <v>3182</v>
      </c>
      <c r="G991" t="s">
        <v>3182</v>
      </c>
      <c r="H991">
        <v>0</v>
      </c>
      <c r="I991">
        <v>206.549354</v>
      </c>
      <c r="J991" t="s">
        <v>3182</v>
      </c>
      <c r="K991">
        <v>-0</v>
      </c>
      <c r="L991">
        <v>1.33615654874429</v>
      </c>
      <c r="M991">
        <v>18.86</v>
      </c>
      <c r="N991">
        <v>5.36</v>
      </c>
    </row>
    <row r="992" spans="1:14">
      <c r="A992" s="1" t="s">
        <v>1004</v>
      </c>
      <c r="B992">
        <f>HYPERLINK("https://www.suredividend.com/sure-analysis-research-database/","Evofem Biosciences Inc")</f>
        <v>0</v>
      </c>
      <c r="C992" t="s">
        <v>3180</v>
      </c>
      <c r="D992">
        <v>0.4782</v>
      </c>
      <c r="E992">
        <v>0</v>
      </c>
      <c r="F992" t="s">
        <v>3182</v>
      </c>
      <c r="G992" t="s">
        <v>3182</v>
      </c>
      <c r="H992">
        <v>0</v>
      </c>
      <c r="I992">
        <v>0</v>
      </c>
      <c r="J992">
        <v>0</v>
      </c>
      <c r="K992" t="s">
        <v>3182</v>
      </c>
    </row>
    <row r="993" spans="1:14">
      <c r="A993" s="1" t="s">
        <v>1005</v>
      </c>
      <c r="B993">
        <f>HYPERLINK("https://www.suredividend.com/sure-analysis-research-database/","Evolent Health Inc")</f>
        <v>0</v>
      </c>
      <c r="C993" t="s">
        <v>3180</v>
      </c>
      <c r="D993">
        <v>24.01</v>
      </c>
      <c r="E993">
        <v>0</v>
      </c>
      <c r="F993" t="s">
        <v>3182</v>
      </c>
      <c r="G993" t="s">
        <v>3182</v>
      </c>
      <c r="H993">
        <v>0</v>
      </c>
      <c r="I993">
        <v>2719.000013</v>
      </c>
      <c r="J993" t="s">
        <v>3182</v>
      </c>
      <c r="K993">
        <v>-0</v>
      </c>
      <c r="L993">
        <v>1.118254893906443</v>
      </c>
      <c r="M993">
        <v>36.7</v>
      </c>
      <c r="N993">
        <v>21.83</v>
      </c>
    </row>
    <row r="994" spans="1:14">
      <c r="A994" s="1" t="s">
        <v>1006</v>
      </c>
      <c r="B994">
        <f>HYPERLINK("https://www.suredividend.com/sure-analysis-research-database/","EVI Industries Inc")</f>
        <v>0</v>
      </c>
      <c r="C994" t="s">
        <v>3183</v>
      </c>
      <c r="D994">
        <v>25.92</v>
      </c>
      <c r="E994">
        <v>0</v>
      </c>
      <c r="F994" t="s">
        <v>3182</v>
      </c>
      <c r="G994" t="s">
        <v>3182</v>
      </c>
      <c r="H994">
        <v>0</v>
      </c>
      <c r="I994">
        <v>328.025428</v>
      </c>
      <c r="J994">
        <v>0</v>
      </c>
      <c r="K994" t="s">
        <v>3182</v>
      </c>
      <c r="L994">
        <v>0.8390245371608881</v>
      </c>
      <c r="M994">
        <v>28.03</v>
      </c>
      <c r="N994">
        <v>15.84</v>
      </c>
    </row>
    <row r="995" spans="1:14">
      <c r="A995" s="1" t="s">
        <v>1007</v>
      </c>
      <c r="B995">
        <f>HYPERLINK("https://www.suredividend.com/sure-analysis-research-database/","Evoke Pharma Inc")</f>
        <v>0</v>
      </c>
      <c r="C995" t="s">
        <v>3180</v>
      </c>
      <c r="D995">
        <v>1.2</v>
      </c>
      <c r="E995">
        <v>0</v>
      </c>
      <c r="F995" t="s">
        <v>3182</v>
      </c>
      <c r="G995" t="s">
        <v>3182</v>
      </c>
      <c r="H995">
        <v>0</v>
      </c>
      <c r="I995">
        <v>4.011684</v>
      </c>
      <c r="J995">
        <v>0</v>
      </c>
      <c r="K995" t="s">
        <v>3182</v>
      </c>
      <c r="L995">
        <v>0.212241513992602</v>
      </c>
      <c r="M995">
        <v>5.96</v>
      </c>
      <c r="N995">
        <v>0.9186000000000001</v>
      </c>
    </row>
    <row r="996" spans="1:14">
      <c r="A996" s="1" t="s">
        <v>1008</v>
      </c>
      <c r="B996">
        <f>HYPERLINK("https://www.suredividend.com/sure-analysis-research-database/","Symbolic Logic Inc")</f>
        <v>0</v>
      </c>
      <c r="C996" t="s">
        <v>3185</v>
      </c>
      <c r="D996">
        <v>0.8290000000000001</v>
      </c>
      <c r="E996">
        <v>0</v>
      </c>
      <c r="F996" t="s">
        <v>3182</v>
      </c>
      <c r="G996" t="s">
        <v>3182</v>
      </c>
      <c r="H996">
        <v>0</v>
      </c>
      <c r="I996">
        <v>8.844594000000001</v>
      </c>
      <c r="J996">
        <v>12.65321082689556</v>
      </c>
      <c r="K996">
        <v>0</v>
      </c>
      <c r="M996">
        <v>1.49</v>
      </c>
      <c r="N996">
        <v>0.54</v>
      </c>
    </row>
    <row r="997" spans="1:14">
      <c r="A997" s="1" t="s">
        <v>1009</v>
      </c>
      <c r="B997">
        <f>HYPERLINK("https://www.suredividend.com/sure-analysis-research-database/","EVO Payments Inc")</f>
        <v>0</v>
      </c>
      <c r="C997" t="s">
        <v>3185</v>
      </c>
      <c r="D997">
        <v>33.99</v>
      </c>
      <c r="E997">
        <v>0</v>
      </c>
      <c r="F997" t="s">
        <v>3182</v>
      </c>
      <c r="G997" t="s">
        <v>3182</v>
      </c>
      <c r="H997">
        <v>0</v>
      </c>
      <c r="I997">
        <v>0</v>
      </c>
      <c r="J997">
        <v>0</v>
      </c>
      <c r="K997">
        <v>-0</v>
      </c>
    </row>
    <row r="998" spans="1:14">
      <c r="A998" s="1" t="s">
        <v>1010</v>
      </c>
      <c r="B998">
        <f>HYPERLINK("https://www.suredividend.com/sure-analysis-EVR/","Evercore Inc")</f>
        <v>0</v>
      </c>
      <c r="C998" t="s">
        <v>3184</v>
      </c>
      <c r="D998">
        <v>136.92</v>
      </c>
      <c r="E998">
        <v>0.0222027461291265</v>
      </c>
      <c r="F998" t="s">
        <v>3182</v>
      </c>
      <c r="G998" t="s">
        <v>3182</v>
      </c>
      <c r="H998">
        <v>2.933301679676401</v>
      </c>
      <c r="I998">
        <v>5187.92235</v>
      </c>
      <c r="J998">
        <v>15.10488077284109</v>
      </c>
      <c r="K998">
        <v>0.3438806189538571</v>
      </c>
      <c r="L998">
        <v>1.342176277827767</v>
      </c>
      <c r="M998">
        <v>146.99</v>
      </c>
      <c r="N998">
        <v>99.55</v>
      </c>
    </row>
    <row r="999" spans="1:14">
      <c r="A999" s="1" t="s">
        <v>1011</v>
      </c>
      <c r="B999">
        <f>HYPERLINK("https://www.suredividend.com/sure-analysis-EVRG/","Evergy Inc")</f>
        <v>0</v>
      </c>
      <c r="C999" t="s">
        <v>3190</v>
      </c>
      <c r="D999">
        <v>51.04</v>
      </c>
      <c r="E999">
        <v>0.04800156739811913</v>
      </c>
      <c r="F999">
        <v>0.06986899563318794</v>
      </c>
      <c r="G999">
        <v>0.05216171888497745</v>
      </c>
      <c r="H999">
        <v>0.5934218838644471</v>
      </c>
      <c r="I999">
        <v>11723.99794</v>
      </c>
      <c r="J999">
        <v>15.47926847129654</v>
      </c>
      <c r="K999">
        <v>0.1803713932718684</v>
      </c>
      <c r="L999">
        <v>0.5360013669696251</v>
      </c>
      <c r="M999">
        <v>63.35</v>
      </c>
      <c r="N999">
        <v>46.92</v>
      </c>
    </row>
    <row r="1000" spans="1:14">
      <c r="A1000" s="1" t="s">
        <v>1012</v>
      </c>
      <c r="B1000">
        <f>HYPERLINK("https://www.suredividend.com/sure-analysis-research-database/","Everi Holdings Inc")</f>
        <v>0</v>
      </c>
      <c r="C1000" t="s">
        <v>3186</v>
      </c>
      <c r="D1000">
        <v>11.08</v>
      </c>
      <c r="E1000">
        <v>0</v>
      </c>
      <c r="F1000" t="s">
        <v>3182</v>
      </c>
      <c r="G1000" t="s">
        <v>3182</v>
      </c>
      <c r="H1000">
        <v>0</v>
      </c>
      <c r="I1000">
        <v>974.962229</v>
      </c>
      <c r="J1000">
        <v>8.712176336633663</v>
      </c>
      <c r="K1000">
        <v>0</v>
      </c>
      <c r="L1000">
        <v>1.170509640117171</v>
      </c>
      <c r="M1000">
        <v>19.85</v>
      </c>
      <c r="N1000">
        <v>10.52</v>
      </c>
    </row>
    <row r="1001" spans="1:14">
      <c r="A1001" s="1" t="s">
        <v>1013</v>
      </c>
      <c r="B1001">
        <f>HYPERLINK("https://www.suredividend.com/sure-analysis-research-database/","Evertec Inc")</f>
        <v>0</v>
      </c>
      <c r="C1001" t="s">
        <v>3185</v>
      </c>
      <c r="D1001">
        <v>32.69</v>
      </c>
      <c r="E1001">
        <v>0.006105346838823001</v>
      </c>
      <c r="F1001" t="s">
        <v>3182</v>
      </c>
      <c r="G1001" t="s">
        <v>3182</v>
      </c>
      <c r="H1001">
        <v>0.199583788161152</v>
      </c>
      <c r="I1001">
        <v>2112.78484</v>
      </c>
      <c r="J1001">
        <v>21.79229549133067</v>
      </c>
      <c r="K1001">
        <v>0.1348539109196973</v>
      </c>
      <c r="L1001">
        <v>0.9839617877561401</v>
      </c>
      <c r="M1001">
        <v>41.92</v>
      </c>
      <c r="N1001">
        <v>30</v>
      </c>
    </row>
    <row r="1002" spans="1:14">
      <c r="A1002" s="1" t="s">
        <v>1014</v>
      </c>
      <c r="B1002">
        <f>HYPERLINK("https://www.suredividend.com/sure-analysis-research-database/","Edwards Lifesciences Corp")</f>
        <v>0</v>
      </c>
      <c r="C1002" t="s">
        <v>3180</v>
      </c>
      <c r="D1002">
        <v>65.53</v>
      </c>
      <c r="E1002">
        <v>0</v>
      </c>
      <c r="F1002" t="s">
        <v>3182</v>
      </c>
      <c r="G1002" t="s">
        <v>3182</v>
      </c>
      <c r="H1002">
        <v>0</v>
      </c>
      <c r="I1002">
        <v>39743.945</v>
      </c>
      <c r="J1002">
        <v>27.8065801441265</v>
      </c>
      <c r="K1002">
        <v>0</v>
      </c>
      <c r="L1002">
        <v>1.003660487924916</v>
      </c>
      <c r="M1002">
        <v>94.87</v>
      </c>
      <c r="N1002">
        <v>60.57</v>
      </c>
    </row>
    <row r="1003" spans="1:14">
      <c r="A1003" s="1" t="s">
        <v>1015</v>
      </c>
      <c r="B1003">
        <f>HYPERLINK("https://www.suredividend.com/sure-analysis-research-database/","East West Bancorp, Inc.")</f>
        <v>0</v>
      </c>
      <c r="C1003" t="s">
        <v>3184</v>
      </c>
      <c r="D1003">
        <v>56.89</v>
      </c>
      <c r="E1003">
        <v>0.032970908149022</v>
      </c>
      <c r="F1003">
        <v>0.2</v>
      </c>
      <c r="G1003">
        <v>0.1585177183566617</v>
      </c>
      <c r="H1003">
        <v>1.875714964597872</v>
      </c>
      <c r="I1003">
        <v>8049.005873</v>
      </c>
      <c r="J1003">
        <v>6.354953269549619</v>
      </c>
      <c r="K1003">
        <v>0.2102819467037973</v>
      </c>
      <c r="L1003">
        <v>1.636425296008772</v>
      </c>
      <c r="M1003">
        <v>77.12</v>
      </c>
      <c r="N1003">
        <v>32.44</v>
      </c>
    </row>
    <row r="1004" spans="1:14">
      <c r="A1004" s="1" t="s">
        <v>1016</v>
      </c>
      <c r="B1004">
        <f>HYPERLINK("https://www.suredividend.com/sure-analysis-research-database/","Exact Sciences Corp.")</f>
        <v>0</v>
      </c>
      <c r="C1004" t="s">
        <v>3180</v>
      </c>
      <c r="D1004">
        <v>62.46</v>
      </c>
      <c r="E1004">
        <v>0</v>
      </c>
      <c r="F1004" t="s">
        <v>3182</v>
      </c>
      <c r="G1004" t="s">
        <v>3182</v>
      </c>
      <c r="H1004">
        <v>0</v>
      </c>
      <c r="I1004">
        <v>11284.356324</v>
      </c>
      <c r="J1004" t="s">
        <v>3182</v>
      </c>
      <c r="K1004">
        <v>-0</v>
      </c>
      <c r="L1004">
        <v>1.462925352646355</v>
      </c>
      <c r="M1004">
        <v>100.77</v>
      </c>
      <c r="N1004">
        <v>35.21</v>
      </c>
    </row>
    <row r="1005" spans="1:14">
      <c r="A1005" s="1" t="s">
        <v>1017</v>
      </c>
      <c r="B1005">
        <f>HYPERLINK("https://www.suredividend.com/sure-analysis-EXC/","Exelon Corp.")</f>
        <v>0</v>
      </c>
      <c r="C1005" t="s">
        <v>3190</v>
      </c>
      <c r="D1005">
        <v>40.7</v>
      </c>
      <c r="E1005">
        <v>0.03538083538083538</v>
      </c>
      <c r="F1005">
        <v>0.06666666666666665</v>
      </c>
      <c r="G1005">
        <v>-0.001383131160095252</v>
      </c>
      <c r="H1005">
        <v>1.390151570805279</v>
      </c>
      <c r="I1005">
        <v>40505.421237</v>
      </c>
      <c r="J1005">
        <v>19.10633077193397</v>
      </c>
      <c r="K1005">
        <v>0.6526533196268915</v>
      </c>
      <c r="L1005">
        <v>0.511636888029494</v>
      </c>
      <c r="M1005">
        <v>42.84</v>
      </c>
      <c r="N1005">
        <v>34.49</v>
      </c>
    </row>
    <row r="1006" spans="1:14">
      <c r="A1006" s="1" t="s">
        <v>1018</v>
      </c>
      <c r="B1006">
        <f>HYPERLINK("https://www.suredividend.com/sure-analysis-research-database/","Exelixis Inc")</f>
        <v>0</v>
      </c>
      <c r="C1006" t="s">
        <v>3180</v>
      </c>
      <c r="D1006">
        <v>20.13</v>
      </c>
      <c r="E1006">
        <v>0</v>
      </c>
      <c r="F1006" t="s">
        <v>3182</v>
      </c>
      <c r="G1006" t="s">
        <v>3182</v>
      </c>
      <c r="H1006">
        <v>0</v>
      </c>
      <c r="I1006">
        <v>6409.005202</v>
      </c>
      <c r="J1006">
        <v>39.02148159769366</v>
      </c>
      <c r="K1006">
        <v>0</v>
      </c>
      <c r="L1006">
        <v>0.465738041719419</v>
      </c>
      <c r="M1006">
        <v>22.8</v>
      </c>
      <c r="N1006">
        <v>15.32</v>
      </c>
    </row>
    <row r="1007" spans="1:14">
      <c r="A1007" s="1" t="s">
        <v>1019</v>
      </c>
      <c r="B1007">
        <f>HYPERLINK("https://www.suredividend.com/sure-analysis-research-database/","ExlService Holdings Inc")</f>
        <v>0</v>
      </c>
      <c r="C1007" t="s">
        <v>3185</v>
      </c>
      <c r="D1007">
        <v>26.46</v>
      </c>
      <c r="E1007">
        <v>0</v>
      </c>
      <c r="F1007" t="s">
        <v>3182</v>
      </c>
      <c r="G1007" t="s">
        <v>3182</v>
      </c>
      <c r="H1007">
        <v>0</v>
      </c>
      <c r="I1007">
        <v>4363.856415</v>
      </c>
      <c r="J1007">
        <v>24.77718206956463</v>
      </c>
      <c r="K1007">
        <v>0</v>
      </c>
      <c r="L1007">
        <v>0.9747454271855481</v>
      </c>
      <c r="M1007">
        <v>38.24</v>
      </c>
      <c r="N1007">
        <v>25.17</v>
      </c>
    </row>
    <row r="1008" spans="1:14">
      <c r="A1008" s="1" t="s">
        <v>1020</v>
      </c>
      <c r="B1008">
        <f>HYPERLINK("https://www.suredividend.com/sure-analysis-research-database/","Eagle Materials Inc.")</f>
        <v>0</v>
      </c>
      <c r="C1008" t="s">
        <v>3181</v>
      </c>
      <c r="D1008">
        <v>161.42</v>
      </c>
      <c r="E1008">
        <v>0.006180887218157001</v>
      </c>
      <c r="F1008" t="s">
        <v>3182</v>
      </c>
      <c r="G1008" t="s">
        <v>3182</v>
      </c>
      <c r="H1008">
        <v>0.9977188147549401</v>
      </c>
      <c r="I1008">
        <v>5631.441622</v>
      </c>
      <c r="J1008">
        <v>11.51760663305668</v>
      </c>
      <c r="K1008">
        <v>0.07320020651173441</v>
      </c>
      <c r="L1008">
        <v>1.27229255052801</v>
      </c>
      <c r="M1008">
        <v>195.68</v>
      </c>
      <c r="N1008">
        <v>119.17</v>
      </c>
    </row>
    <row r="1009" spans="1:14">
      <c r="A1009" s="1" t="s">
        <v>1021</v>
      </c>
      <c r="B1009">
        <f>HYPERLINK("https://www.suredividend.com/sure-analysis-EXPD/","Expeditors International Of Washington, Inc.")</f>
        <v>0</v>
      </c>
      <c r="C1009" t="s">
        <v>3183</v>
      </c>
      <c r="D1009">
        <v>112.81</v>
      </c>
      <c r="E1009">
        <v>0.01223295807109299</v>
      </c>
      <c r="F1009" t="s">
        <v>3182</v>
      </c>
      <c r="G1009" t="s">
        <v>3182</v>
      </c>
      <c r="H1009">
        <v>1.351986107505459</v>
      </c>
      <c r="I1009">
        <v>16684.280425</v>
      </c>
      <c r="J1009">
        <v>15.7950805688557</v>
      </c>
      <c r="K1009">
        <v>0.201188408854979</v>
      </c>
      <c r="L1009">
        <v>1.002613526028877</v>
      </c>
      <c r="M1009">
        <v>128.04</v>
      </c>
      <c r="N1009">
        <v>91.28</v>
      </c>
    </row>
    <row r="1010" spans="1:14">
      <c r="A1010" s="1" t="s">
        <v>1022</v>
      </c>
      <c r="B1010">
        <f>HYPERLINK("https://www.suredividend.com/sure-analysis-research-database/","Expedia Group Inc")</f>
        <v>0</v>
      </c>
      <c r="C1010" t="s">
        <v>3186</v>
      </c>
      <c r="D1010">
        <v>94.84</v>
      </c>
      <c r="E1010">
        <v>0</v>
      </c>
      <c r="F1010" t="s">
        <v>3182</v>
      </c>
      <c r="G1010" t="s">
        <v>3182</v>
      </c>
      <c r="H1010">
        <v>0</v>
      </c>
      <c r="I1010">
        <v>13072.857511</v>
      </c>
      <c r="J1010">
        <v>14.54155451746385</v>
      </c>
      <c r="K1010">
        <v>0</v>
      </c>
      <c r="L1010">
        <v>1.515777351454826</v>
      </c>
      <c r="M1010">
        <v>124.95</v>
      </c>
      <c r="N1010">
        <v>82.39</v>
      </c>
    </row>
    <row r="1011" spans="1:14">
      <c r="A1011" s="1" t="s">
        <v>1023</v>
      </c>
      <c r="B1011">
        <f>HYPERLINK("https://www.suredividend.com/sure-analysis-research-database/","eXp World Holdings Inc")</f>
        <v>0</v>
      </c>
      <c r="C1011" t="s">
        <v>3187</v>
      </c>
      <c r="D1011">
        <v>13.91</v>
      </c>
      <c r="E1011">
        <v>0.01323119974498</v>
      </c>
      <c r="F1011" t="s">
        <v>3182</v>
      </c>
      <c r="G1011" t="s">
        <v>3182</v>
      </c>
      <c r="H1011">
        <v>0.184045988452681</v>
      </c>
      <c r="I1011">
        <v>2136.411667</v>
      </c>
      <c r="J1011">
        <v>264.5383441381872</v>
      </c>
      <c r="K1011">
        <v>3.559883722488995</v>
      </c>
      <c r="L1011">
        <v>2.103630022365416</v>
      </c>
      <c r="M1011">
        <v>25.33</v>
      </c>
      <c r="N1011">
        <v>9.859999999999999</v>
      </c>
    </row>
    <row r="1012" spans="1:14">
      <c r="A1012" s="1" t="s">
        <v>1024</v>
      </c>
      <c r="B1012">
        <f>HYPERLINK("https://www.suredividend.com/sure-analysis-EXPO/","Exponent Inc.")</f>
        <v>0</v>
      </c>
      <c r="C1012" t="s">
        <v>3183</v>
      </c>
      <c r="D1012">
        <v>73.91</v>
      </c>
      <c r="E1012">
        <v>0.01407116763631444</v>
      </c>
      <c r="F1012">
        <v>0.08333333333333348</v>
      </c>
      <c r="G1012">
        <v>0.1486983549970351</v>
      </c>
      <c r="H1012">
        <v>1.013663573548311</v>
      </c>
      <c r="I1012">
        <v>3758.245155</v>
      </c>
      <c r="J1012">
        <v>36.90415321785581</v>
      </c>
      <c r="K1012">
        <v>0.514550037334168</v>
      </c>
      <c r="L1012">
        <v>0.9486138862527941</v>
      </c>
      <c r="M1012">
        <v>111.51</v>
      </c>
      <c r="N1012">
        <v>64.61</v>
      </c>
    </row>
    <row r="1013" spans="1:14">
      <c r="A1013" s="1" t="s">
        <v>1025</v>
      </c>
      <c r="B1013">
        <f>HYPERLINK("https://www.suredividend.com/sure-analysis-research-database/","Express Inc.")</f>
        <v>0</v>
      </c>
      <c r="C1013" t="s">
        <v>3186</v>
      </c>
      <c r="D1013">
        <v>8.880000000000001</v>
      </c>
      <c r="E1013">
        <v>0</v>
      </c>
      <c r="F1013" t="s">
        <v>3182</v>
      </c>
      <c r="G1013" t="s">
        <v>3182</v>
      </c>
      <c r="H1013">
        <v>0</v>
      </c>
      <c r="I1013">
        <v>33.257607</v>
      </c>
      <c r="J1013">
        <v>0.183511506878038</v>
      </c>
      <c r="K1013">
        <v>0</v>
      </c>
      <c r="L1013">
        <v>1.756234216824586</v>
      </c>
      <c r="M1013">
        <v>42.8</v>
      </c>
      <c r="N1013">
        <v>7.36</v>
      </c>
    </row>
    <row r="1014" spans="1:14">
      <c r="A1014" s="1" t="s">
        <v>1026</v>
      </c>
      <c r="B1014">
        <f>HYPERLINK("https://www.suredividend.com/sure-analysis-EXR/","Extra Space Storage Inc.")</f>
        <v>0</v>
      </c>
      <c r="C1014" t="s">
        <v>3187</v>
      </c>
      <c r="D1014">
        <v>105.37</v>
      </c>
      <c r="E1014">
        <v>0.06149757995634431</v>
      </c>
      <c r="F1014">
        <v>-0.5933333333333333</v>
      </c>
      <c r="G1014">
        <v>-0.06638831910300036</v>
      </c>
      <c r="H1014">
        <v>5.246133876953027</v>
      </c>
      <c r="I1014">
        <v>22264.681</v>
      </c>
      <c r="J1014">
        <v>27.07070583028558</v>
      </c>
      <c r="K1014">
        <v>0.9076356188500047</v>
      </c>
      <c r="L1014">
        <v>0.9725509346050361</v>
      </c>
      <c r="M1014">
        <v>164.76</v>
      </c>
      <c r="N1014">
        <v>101.19</v>
      </c>
    </row>
    <row r="1015" spans="1:14">
      <c r="A1015" s="1" t="s">
        <v>1027</v>
      </c>
      <c r="B1015">
        <f>HYPERLINK("https://www.suredividend.com/sure-analysis-research-database/","Exterran Corp")</f>
        <v>0</v>
      </c>
      <c r="C1015" t="s">
        <v>3189</v>
      </c>
      <c r="D1015">
        <v>4.58</v>
      </c>
      <c r="E1015">
        <v>0</v>
      </c>
      <c r="F1015" t="s">
        <v>3182</v>
      </c>
      <c r="G1015" t="s">
        <v>3182</v>
      </c>
      <c r="H1015">
        <v>0</v>
      </c>
      <c r="I1015">
        <v>152.575706</v>
      </c>
      <c r="J1015" t="s">
        <v>3182</v>
      </c>
      <c r="K1015">
        <v>-0</v>
      </c>
      <c r="L1015">
        <v>1.159107831366806</v>
      </c>
      <c r="M1015">
        <v>7.7</v>
      </c>
      <c r="N1015">
        <v>2.67</v>
      </c>
    </row>
    <row r="1016" spans="1:14">
      <c r="A1016" s="1" t="s">
        <v>1028</v>
      </c>
      <c r="B1016">
        <f>HYPERLINK("https://www.suredividend.com/sure-analysis-research-database/","Extreme Networks Inc.")</f>
        <v>0</v>
      </c>
      <c r="C1016" t="s">
        <v>3185</v>
      </c>
      <c r="D1016">
        <v>17.1</v>
      </c>
      <c r="E1016">
        <v>0</v>
      </c>
      <c r="F1016" t="s">
        <v>3182</v>
      </c>
      <c r="G1016" t="s">
        <v>3182</v>
      </c>
      <c r="H1016">
        <v>0</v>
      </c>
      <c r="I1016">
        <v>2214.960914</v>
      </c>
      <c r="J1016">
        <v>28.37001964546456</v>
      </c>
      <c r="K1016">
        <v>0</v>
      </c>
      <c r="L1016">
        <v>1.127590681040556</v>
      </c>
      <c r="M1016">
        <v>32.73</v>
      </c>
      <c r="N1016">
        <v>14.63</v>
      </c>
    </row>
    <row r="1017" spans="1:14">
      <c r="A1017" s="1" t="s">
        <v>1029</v>
      </c>
      <c r="B1017">
        <f>HYPERLINK("https://www.suredividend.com/sure-analysis-research-database/","National Vision Holdings Inc")</f>
        <v>0</v>
      </c>
      <c r="C1017" t="s">
        <v>3186</v>
      </c>
      <c r="D1017">
        <v>16.73</v>
      </c>
      <c r="E1017">
        <v>0</v>
      </c>
      <c r="F1017" t="s">
        <v>3182</v>
      </c>
      <c r="G1017" t="s">
        <v>3182</v>
      </c>
      <c r="H1017">
        <v>0</v>
      </c>
      <c r="I1017">
        <v>1307.579793</v>
      </c>
      <c r="J1017">
        <v>50.05090117665072</v>
      </c>
      <c r="K1017">
        <v>0</v>
      </c>
      <c r="L1017">
        <v>1.377401260626122</v>
      </c>
      <c r="M1017">
        <v>43.82</v>
      </c>
      <c r="N1017">
        <v>13.71</v>
      </c>
    </row>
    <row r="1018" spans="1:14">
      <c r="A1018" s="1" t="s">
        <v>1030</v>
      </c>
      <c r="B1018">
        <f>HYPERLINK("https://www.suredividend.com/sure-analysis-research-database/","Eyegate Pharmaceuticals Inc")</f>
        <v>0</v>
      </c>
      <c r="C1018" t="s">
        <v>3180</v>
      </c>
      <c r="D1018">
        <v>1.95</v>
      </c>
      <c r="E1018">
        <v>0</v>
      </c>
      <c r="F1018" t="s">
        <v>3182</v>
      </c>
      <c r="G1018" t="s">
        <v>3182</v>
      </c>
      <c r="H1018">
        <v>0</v>
      </c>
      <c r="I1018">
        <v>24.607549</v>
      </c>
      <c r="J1018">
        <v>0</v>
      </c>
      <c r="K1018" t="s">
        <v>3182</v>
      </c>
      <c r="L1018">
        <v>0.761998129625139</v>
      </c>
      <c r="M1018">
        <v>8.18</v>
      </c>
      <c r="N1018">
        <v>1.44</v>
      </c>
    </row>
    <row r="1019" spans="1:14">
      <c r="A1019" s="1" t="s">
        <v>1031</v>
      </c>
      <c r="B1019">
        <f>HYPERLINK("https://www.suredividend.com/sure-analysis-research-database/","Vivani Medical Inc")</f>
        <v>0</v>
      </c>
      <c r="C1019" t="s">
        <v>3180</v>
      </c>
      <c r="D1019">
        <v>4.14</v>
      </c>
      <c r="E1019">
        <v>0</v>
      </c>
      <c r="F1019" t="s">
        <v>3182</v>
      </c>
      <c r="G1019" t="s">
        <v>3182</v>
      </c>
      <c r="H1019">
        <v>0</v>
      </c>
      <c r="I1019">
        <v>163.153989</v>
      </c>
      <c r="J1019">
        <v>0</v>
      </c>
      <c r="K1019">
        <v>-0</v>
      </c>
      <c r="L1019">
        <v>1.213603404373694</v>
      </c>
    </row>
    <row r="1020" spans="1:14">
      <c r="A1020" s="1" t="s">
        <v>1032</v>
      </c>
      <c r="B1020">
        <f>HYPERLINK("https://www.suredividend.com/sure-analysis-research-database/","EyePoint Pharmaceuticals Inc")</f>
        <v>0</v>
      </c>
      <c r="C1020" t="s">
        <v>3180</v>
      </c>
      <c r="D1020">
        <v>7.29</v>
      </c>
      <c r="E1020">
        <v>0</v>
      </c>
      <c r="F1020" t="s">
        <v>3182</v>
      </c>
      <c r="G1020" t="s">
        <v>3182</v>
      </c>
      <c r="H1020">
        <v>0</v>
      </c>
      <c r="I1020">
        <v>257.405759</v>
      </c>
      <c r="J1020">
        <v>0</v>
      </c>
      <c r="K1020" t="s">
        <v>3182</v>
      </c>
      <c r="L1020">
        <v>1.207011128997223</v>
      </c>
      <c r="M1020">
        <v>15.63</v>
      </c>
      <c r="N1020">
        <v>2.19</v>
      </c>
    </row>
    <row r="1021" spans="1:14">
      <c r="A1021" s="1" t="s">
        <v>1033</v>
      </c>
      <c r="B1021">
        <f>HYPERLINK("https://www.suredividend.com/sure-analysis-research-database/","EZCorp, Inc.")</f>
        <v>0</v>
      </c>
      <c r="C1021" t="s">
        <v>3184</v>
      </c>
      <c r="D1021">
        <v>8.380000000000001</v>
      </c>
      <c r="E1021">
        <v>0</v>
      </c>
      <c r="F1021" t="s">
        <v>3182</v>
      </c>
      <c r="G1021" t="s">
        <v>3182</v>
      </c>
      <c r="H1021">
        <v>0</v>
      </c>
      <c r="I1021">
        <v>436.611232</v>
      </c>
      <c r="J1021">
        <v>12.28264641235547</v>
      </c>
      <c r="K1021">
        <v>0</v>
      </c>
      <c r="L1021">
        <v>0.6337484989633111</v>
      </c>
      <c r="M1021">
        <v>10.68</v>
      </c>
      <c r="N1021">
        <v>7.05</v>
      </c>
    </row>
    <row r="1022" spans="1:14">
      <c r="A1022" s="1" t="s">
        <v>1034</v>
      </c>
      <c r="B1022">
        <f>HYPERLINK("https://www.suredividend.com/sure-analysis-F/","Ford Motor Co.")</f>
        <v>0</v>
      </c>
      <c r="C1022" t="s">
        <v>3186</v>
      </c>
      <c r="D1022">
        <v>10.14</v>
      </c>
      <c r="E1022">
        <v>0.05917159763313609</v>
      </c>
      <c r="F1022" t="s">
        <v>3182</v>
      </c>
      <c r="G1022" t="s">
        <v>3182</v>
      </c>
      <c r="H1022">
        <v>0.730807514045803</v>
      </c>
      <c r="I1022">
        <v>39871.517941</v>
      </c>
      <c r="J1022">
        <v>6.470548188987342</v>
      </c>
      <c r="K1022">
        <v>0.4776519699645771</v>
      </c>
      <c r="L1022">
        <v>1.369234356501363</v>
      </c>
      <c r="M1022">
        <v>15.02</v>
      </c>
      <c r="N1022">
        <v>9.529999999999999</v>
      </c>
    </row>
    <row r="1023" spans="1:14">
      <c r="A1023" s="1" t="s">
        <v>1035</v>
      </c>
      <c r="B1023">
        <f>HYPERLINK("https://www.suredividend.com/sure-analysis-FAF/","First American Financial Corp")</f>
        <v>0</v>
      </c>
      <c r="C1023" t="s">
        <v>3184</v>
      </c>
      <c r="D1023">
        <v>53.88</v>
      </c>
      <c r="E1023">
        <v>0.03860430586488493</v>
      </c>
      <c r="F1023">
        <v>0.01923076923076916</v>
      </c>
      <c r="G1023">
        <v>0.04762370263962179</v>
      </c>
      <c r="H1023">
        <v>2.062143750101691</v>
      </c>
      <c r="I1023">
        <v>5559.407259</v>
      </c>
      <c r="J1023">
        <v>23.48714515690748</v>
      </c>
      <c r="K1023">
        <v>0.9124529867706598</v>
      </c>
      <c r="L1023">
        <v>1.101632988078144</v>
      </c>
      <c r="M1023">
        <v>63.94</v>
      </c>
      <c r="N1023">
        <v>47.17</v>
      </c>
    </row>
    <row r="1024" spans="1:14">
      <c r="A1024" s="1" t="s">
        <v>1036</v>
      </c>
      <c r="B1024">
        <f>HYPERLINK("https://www.suredividend.com/sure-analysis-FANG/","Diamondback Energy Inc")</f>
        <v>0</v>
      </c>
      <c r="C1024" t="s">
        <v>3189</v>
      </c>
      <c r="D1024">
        <v>163.24</v>
      </c>
      <c r="E1024">
        <v>0.02058319039451115</v>
      </c>
      <c r="F1024">
        <v>-0.6093023255813954</v>
      </c>
      <c r="G1024">
        <v>0.1750317554823924</v>
      </c>
      <c r="H1024">
        <v>3.192881278347148</v>
      </c>
      <c r="I1024">
        <v>29190.319207</v>
      </c>
      <c r="J1024">
        <v>8.451163638471337</v>
      </c>
      <c r="K1024">
        <v>0.1648364108594294</v>
      </c>
      <c r="L1024">
        <v>0.79282810845519</v>
      </c>
      <c r="M1024">
        <v>171.4</v>
      </c>
      <c r="N1024">
        <v>117.6</v>
      </c>
    </row>
    <row r="1025" spans="1:14">
      <c r="A1025" s="1" t="s">
        <v>1037</v>
      </c>
      <c r="B1025">
        <f>HYPERLINK("https://www.suredividend.com/sure-analysis-research-database/","Farmer Bros. Co.")</f>
        <v>0</v>
      </c>
      <c r="C1025" t="s">
        <v>3188</v>
      </c>
      <c r="D1025">
        <v>2.62</v>
      </c>
      <c r="E1025">
        <v>0</v>
      </c>
      <c r="F1025" t="s">
        <v>3182</v>
      </c>
      <c r="G1025" t="s">
        <v>3182</v>
      </c>
      <c r="H1025">
        <v>0</v>
      </c>
      <c r="I1025">
        <v>50.513521</v>
      </c>
      <c r="J1025">
        <v>0</v>
      </c>
      <c r="K1025" t="s">
        <v>3182</v>
      </c>
      <c r="L1025">
        <v>0.6621527809602841</v>
      </c>
      <c r="M1025">
        <v>6.08</v>
      </c>
      <c r="N1025">
        <v>1.75</v>
      </c>
    </row>
    <row r="1026" spans="1:14">
      <c r="A1026" s="1" t="s">
        <v>1038</v>
      </c>
      <c r="B1026">
        <f>HYPERLINK("https://www.suredividend.com/sure-analysis-research-database/","Faro Technologies Inc.")</f>
        <v>0</v>
      </c>
      <c r="C1026" t="s">
        <v>3185</v>
      </c>
      <c r="D1026">
        <v>14.61</v>
      </c>
      <c r="E1026">
        <v>0</v>
      </c>
      <c r="F1026" t="s">
        <v>3182</v>
      </c>
      <c r="G1026" t="s">
        <v>3182</v>
      </c>
      <c r="H1026">
        <v>0</v>
      </c>
      <c r="I1026">
        <v>276.852604</v>
      </c>
      <c r="J1026" t="s">
        <v>3182</v>
      </c>
      <c r="K1026">
        <v>-0</v>
      </c>
      <c r="L1026">
        <v>1.43474628778227</v>
      </c>
      <c r="M1026">
        <v>36.74</v>
      </c>
      <c r="N1026">
        <v>10.3</v>
      </c>
    </row>
    <row r="1027" spans="1:14">
      <c r="A1027" s="1" t="s">
        <v>1039</v>
      </c>
      <c r="B1027">
        <f>HYPERLINK("https://www.suredividend.com/sure-analysis-FAST/","Fastenal Co.")</f>
        <v>0</v>
      </c>
      <c r="C1027" t="s">
        <v>3183</v>
      </c>
      <c r="D1027">
        <v>59.86</v>
      </c>
      <c r="E1027">
        <v>0.02338790511192783</v>
      </c>
      <c r="F1027">
        <v>0.1290322580645162</v>
      </c>
      <c r="G1027">
        <v>-0.04033442140543075</v>
      </c>
      <c r="H1027">
        <v>1.374585405446013</v>
      </c>
      <c r="I1027">
        <v>34204.792057</v>
      </c>
      <c r="J1027">
        <v>30.1576371512079</v>
      </c>
      <c r="K1027">
        <v>0.6942350532555621</v>
      </c>
      <c r="L1027">
        <v>0.917162906016844</v>
      </c>
      <c r="M1027">
        <v>60.34</v>
      </c>
      <c r="N1027">
        <v>43.72</v>
      </c>
    </row>
    <row r="1028" spans="1:14">
      <c r="A1028" s="1" t="s">
        <v>1040</v>
      </c>
      <c r="B1028">
        <f>HYPERLINK("https://www.suredividend.com/sure-analysis-research-database/","Fate Therapeutics Inc")</f>
        <v>0</v>
      </c>
      <c r="C1028" t="s">
        <v>3180</v>
      </c>
      <c r="D1028">
        <v>2.21</v>
      </c>
      <c r="E1028">
        <v>0</v>
      </c>
      <c r="F1028" t="s">
        <v>3182</v>
      </c>
      <c r="G1028" t="s">
        <v>3182</v>
      </c>
      <c r="H1028">
        <v>0</v>
      </c>
      <c r="I1028">
        <v>217.822975</v>
      </c>
      <c r="J1028" t="s">
        <v>3182</v>
      </c>
      <c r="K1028">
        <v>-0</v>
      </c>
      <c r="L1028">
        <v>1.453518515943641</v>
      </c>
      <c r="M1028">
        <v>23.96</v>
      </c>
      <c r="N1028">
        <v>1.63</v>
      </c>
    </row>
    <row r="1029" spans="1:14">
      <c r="A1029" s="1" t="s">
        <v>1041</v>
      </c>
      <c r="B1029">
        <f>HYPERLINK("https://www.suredividend.com/sure-analysis-research-database/","Meta Platforms Inc")</f>
        <v>0</v>
      </c>
      <c r="C1029" t="s">
        <v>3191</v>
      </c>
      <c r="D1029">
        <v>196.64</v>
      </c>
      <c r="E1029">
        <v>0</v>
      </c>
      <c r="F1029" t="s">
        <v>3182</v>
      </c>
      <c r="G1029" t="s">
        <v>3182</v>
      </c>
      <c r="H1029">
        <v>0</v>
      </c>
      <c r="I1029">
        <v>561210.58517</v>
      </c>
      <c r="J1029">
        <v>15.03054757003374</v>
      </c>
      <c r="K1029">
        <v>0</v>
      </c>
      <c r="M1029">
        <v>384.33</v>
      </c>
      <c r="N1029">
        <v>169</v>
      </c>
    </row>
    <row r="1030" spans="1:14">
      <c r="A1030" s="1" t="s">
        <v>1042</v>
      </c>
      <c r="B1030">
        <f>HYPERLINK("https://www.suredividend.com/sure-analysis-research-database/","Flagstar Bancorp, Inc.")</f>
        <v>0</v>
      </c>
      <c r="C1030" t="s">
        <v>3184</v>
      </c>
      <c r="D1030">
        <v>37.54</v>
      </c>
      <c r="E1030">
        <v>0.006377948474633001</v>
      </c>
      <c r="F1030" t="s">
        <v>3182</v>
      </c>
      <c r="G1030" t="s">
        <v>3182</v>
      </c>
      <c r="H1030">
        <v>0.239428185737723</v>
      </c>
      <c r="I1030">
        <v>2002.268577</v>
      </c>
      <c r="J1030">
        <v>7.388444935202951</v>
      </c>
      <c r="K1030">
        <v>0.04731782326832471</v>
      </c>
      <c r="M1030">
        <v>52.97</v>
      </c>
      <c r="N1030">
        <v>30.77</v>
      </c>
    </row>
    <row r="1031" spans="1:14">
      <c r="A1031" s="1" t="s">
        <v>1043</v>
      </c>
      <c r="B1031">
        <f>HYPERLINK("https://www.suredividend.com/sure-analysis-research-database/","Fortress Biotech Inc")</f>
        <v>0</v>
      </c>
      <c r="C1031" t="s">
        <v>3180</v>
      </c>
      <c r="D1031">
        <v>1.94</v>
      </c>
      <c r="E1031">
        <v>0</v>
      </c>
      <c r="F1031" t="s">
        <v>3182</v>
      </c>
      <c r="G1031" t="s">
        <v>3182</v>
      </c>
      <c r="H1031">
        <v>0</v>
      </c>
      <c r="I1031">
        <v>258.189354</v>
      </c>
      <c r="J1031">
        <v>0</v>
      </c>
      <c r="K1031" t="s">
        <v>3182</v>
      </c>
      <c r="L1031">
        <v>2.081486095277753</v>
      </c>
      <c r="M1031">
        <v>132</v>
      </c>
      <c r="N1031">
        <v>1.62</v>
      </c>
    </row>
    <row r="1032" spans="1:14">
      <c r="A1032" s="1" t="s">
        <v>1044</v>
      </c>
      <c r="B1032">
        <f>HYPERLINK("https://www.suredividend.com/sure-analysis-research-database/","First Business Financial Services Inc")</f>
        <v>0</v>
      </c>
      <c r="C1032" t="s">
        <v>3184</v>
      </c>
      <c r="D1032">
        <v>32.13</v>
      </c>
      <c r="E1032">
        <v>0.026841277916217</v>
      </c>
      <c r="F1032">
        <v>0.1518987341772151</v>
      </c>
      <c r="G1032">
        <v>0.08687106848953952</v>
      </c>
      <c r="H1032">
        <v>0.862410259448082</v>
      </c>
      <c r="I1032">
        <v>267.157769</v>
      </c>
      <c r="J1032">
        <v>7.508228012197179</v>
      </c>
      <c r="K1032">
        <v>0.197347885457227</v>
      </c>
      <c r="L1032">
        <v>0.7796018433714861</v>
      </c>
      <c r="M1032">
        <v>38.4</v>
      </c>
      <c r="N1032">
        <v>24.22</v>
      </c>
    </row>
    <row r="1033" spans="1:14">
      <c r="A1033" s="1" t="s">
        <v>1045</v>
      </c>
      <c r="B1033">
        <f>HYPERLINK("https://www.suredividend.com/sure-analysis-research-database/","FB Financial Corp")</f>
        <v>0</v>
      </c>
      <c r="C1033" t="s">
        <v>3184</v>
      </c>
      <c r="D1033">
        <v>31.4</v>
      </c>
      <c r="E1033">
        <v>0.01834481560125</v>
      </c>
      <c r="F1033" t="s">
        <v>3182</v>
      </c>
      <c r="G1033" t="s">
        <v>3182</v>
      </c>
      <c r="H1033">
        <v>0.57602720987927</v>
      </c>
      <c r="I1033">
        <v>1469.477265</v>
      </c>
      <c r="J1033">
        <v>10.37370822285287</v>
      </c>
      <c r="K1033">
        <v>0.1907374867149901</v>
      </c>
      <c r="L1033">
        <v>1.174028127497129</v>
      </c>
      <c r="M1033">
        <v>43.5</v>
      </c>
      <c r="N1033">
        <v>24.09</v>
      </c>
    </row>
    <row r="1034" spans="1:14">
      <c r="A1034" s="1" t="s">
        <v>1046</v>
      </c>
      <c r="B1034">
        <f>HYPERLINK("https://www.suredividend.com/sure-analysis-research-database/","Foundation Building Materials Inc")</f>
        <v>0</v>
      </c>
      <c r="C1034" t="s">
        <v>3183</v>
      </c>
      <c r="D1034">
        <v>19.24</v>
      </c>
      <c r="E1034">
        <v>0</v>
      </c>
      <c r="F1034" t="s">
        <v>3182</v>
      </c>
      <c r="G1034" t="s">
        <v>3182</v>
      </c>
      <c r="H1034">
        <v>0</v>
      </c>
      <c r="I1034">
        <v>831.304989</v>
      </c>
      <c r="J1034">
        <v>18.30423174211732</v>
      </c>
      <c r="K1034">
        <v>0</v>
      </c>
      <c r="L1034">
        <v>1.501794591416622</v>
      </c>
      <c r="M1034">
        <v>19.28</v>
      </c>
      <c r="N1034">
        <v>8.09</v>
      </c>
    </row>
    <row r="1035" spans="1:14">
      <c r="A1035" s="1" t="s">
        <v>1047</v>
      </c>
      <c r="B1035">
        <f>HYPERLINK("https://www.suredividend.com/sure-analysis-research-database/","First Bancshares Inc Miss")</f>
        <v>0</v>
      </c>
      <c r="C1035" t="s">
        <v>3184</v>
      </c>
      <c r="D1035">
        <v>25.23</v>
      </c>
      <c r="E1035">
        <v>0.033387627627837</v>
      </c>
      <c r="F1035">
        <v>0.2105263157894737</v>
      </c>
      <c r="G1035">
        <v>0.356911634828607</v>
      </c>
      <c r="H1035">
        <v>0.8423698450503371</v>
      </c>
      <c r="I1035">
        <v>784.546857</v>
      </c>
      <c r="J1035">
        <v>11.14618974228196</v>
      </c>
      <c r="K1035">
        <v>0.3303411157060145</v>
      </c>
      <c r="L1035">
        <v>1.130083488495403</v>
      </c>
      <c r="M1035">
        <v>34.52</v>
      </c>
      <c r="N1035">
        <v>22.09</v>
      </c>
    </row>
    <row r="1036" spans="1:14">
      <c r="A1036" s="1" t="s">
        <v>1048</v>
      </c>
      <c r="B1036">
        <f>HYPERLINK("https://www.suredividend.com/sure-analysis-research-database/","First Bancorp")</f>
        <v>0</v>
      </c>
      <c r="C1036" t="s">
        <v>3184</v>
      </c>
      <c r="D1036">
        <v>30.53</v>
      </c>
      <c r="E1036">
        <v>0.03518844936331</v>
      </c>
      <c r="F1036">
        <v>0</v>
      </c>
      <c r="G1036">
        <v>0.1288813207301975</v>
      </c>
      <c r="H1036">
        <v>1.07430335906186</v>
      </c>
      <c r="I1036">
        <v>1254.269424</v>
      </c>
      <c r="J1036">
        <v>10.4325103707154</v>
      </c>
      <c r="K1036">
        <v>0.3432279102434058</v>
      </c>
      <c r="L1036">
        <v>0.9405426938182391</v>
      </c>
      <c r="M1036">
        <v>47.01</v>
      </c>
      <c r="N1036">
        <v>25.47</v>
      </c>
    </row>
    <row r="1037" spans="1:14">
      <c r="A1037" s="1" t="s">
        <v>1049</v>
      </c>
      <c r="B1037">
        <f>HYPERLINK("https://www.suredividend.com/sure-analysis-research-database/","First Bancorp PR")</f>
        <v>0</v>
      </c>
      <c r="C1037" t="s">
        <v>3184</v>
      </c>
      <c r="D1037">
        <v>13.99</v>
      </c>
      <c r="E1037">
        <v>0.038003552306509</v>
      </c>
      <c r="F1037">
        <v>0.1666666666666667</v>
      </c>
      <c r="G1037">
        <v>0.3608221078587388</v>
      </c>
      <c r="H1037">
        <v>0.5316696967680661</v>
      </c>
      <c r="I1037">
        <v>2494.395218</v>
      </c>
      <c r="J1037">
        <v>8.627244552865493</v>
      </c>
      <c r="K1037">
        <v>0.3364998080810545</v>
      </c>
      <c r="L1037">
        <v>1.254566322073815</v>
      </c>
      <c r="M1037">
        <v>15.36</v>
      </c>
      <c r="N1037">
        <v>9.949999999999999</v>
      </c>
    </row>
    <row r="1038" spans="1:14">
      <c r="A1038" s="1" t="s">
        <v>1050</v>
      </c>
      <c r="B1038">
        <f>HYPERLINK("https://www.suredividend.com/sure-analysis-research-database/","Fauquier Bankshares, Inc.")</f>
        <v>0</v>
      </c>
      <c r="C1038" t="s">
        <v>3184</v>
      </c>
      <c r="D1038">
        <v>21.28</v>
      </c>
      <c r="E1038">
        <v>0</v>
      </c>
      <c r="F1038" t="s">
        <v>3182</v>
      </c>
      <c r="G1038" t="s">
        <v>3182</v>
      </c>
      <c r="H1038">
        <v>0.5</v>
      </c>
      <c r="I1038">
        <v>0</v>
      </c>
      <c r="J1038">
        <v>0</v>
      </c>
      <c r="K1038" t="s">
        <v>3182</v>
      </c>
    </row>
    <row r="1039" spans="1:14">
      <c r="A1039" s="1" t="s">
        <v>1051</v>
      </c>
      <c r="B1039">
        <f>HYPERLINK("https://www.suredividend.com/sure-analysis-research-database/","Franklin Covey Co.")</f>
        <v>0</v>
      </c>
      <c r="C1039" t="s">
        <v>3183</v>
      </c>
      <c r="D1039">
        <v>35.08</v>
      </c>
      <c r="E1039">
        <v>0</v>
      </c>
      <c r="F1039" t="s">
        <v>3182</v>
      </c>
      <c r="G1039" t="s">
        <v>3182</v>
      </c>
      <c r="H1039">
        <v>0</v>
      </c>
      <c r="I1039">
        <v>463.207826</v>
      </c>
      <c r="J1039">
        <v>27.9934626361274</v>
      </c>
      <c r="K1039">
        <v>0</v>
      </c>
      <c r="L1039">
        <v>0.6078569352569311</v>
      </c>
      <c r="M1039">
        <v>52.72</v>
      </c>
      <c r="N1039">
        <v>32.19</v>
      </c>
    </row>
    <row r="1040" spans="1:14">
      <c r="A1040" s="1" t="s">
        <v>1052</v>
      </c>
      <c r="B1040">
        <f>HYPERLINK("https://www.suredividend.com/sure-analysis-research-database/","First Capital Inc.")</f>
        <v>0</v>
      </c>
      <c r="C1040" t="s">
        <v>3184</v>
      </c>
      <c r="D1040">
        <v>24.65</v>
      </c>
      <c r="E1040">
        <v>0.042362167175859</v>
      </c>
      <c r="F1040">
        <v>0.03846153846153855</v>
      </c>
      <c r="G1040">
        <v>0.03258826616987576</v>
      </c>
      <c r="H1040">
        <v>1.044227420884944</v>
      </c>
      <c r="I1040">
        <v>82.59376899999999</v>
      </c>
      <c r="J1040">
        <v>0</v>
      </c>
      <c r="K1040" t="s">
        <v>3182</v>
      </c>
      <c r="M1040">
        <v>37.3</v>
      </c>
      <c r="N1040">
        <v>21.91</v>
      </c>
    </row>
    <row r="1041" spans="1:14">
      <c r="A1041" s="1" t="s">
        <v>1053</v>
      </c>
      <c r="B1041">
        <f>HYPERLINK("https://www.suredividend.com/sure-analysis-research-database/","First Community Bankshares Inc.")</f>
        <v>0</v>
      </c>
      <c r="C1041" t="s">
        <v>3184</v>
      </c>
      <c r="D1041">
        <v>33.53</v>
      </c>
      <c r="E1041">
        <v>0.025546496568445</v>
      </c>
      <c r="F1041" t="s">
        <v>3182</v>
      </c>
      <c r="G1041" t="s">
        <v>3182</v>
      </c>
      <c r="H1041">
        <v>0.8565740299399721</v>
      </c>
      <c r="I1041">
        <v>629.99118</v>
      </c>
      <c r="J1041">
        <v>13.25460088217968</v>
      </c>
      <c r="K1041">
        <v>0.3037496560070823</v>
      </c>
      <c r="L1041">
        <v>0.6788602518850331</v>
      </c>
      <c r="M1041">
        <v>37.91</v>
      </c>
      <c r="N1041">
        <v>21.89</v>
      </c>
    </row>
    <row r="1042" spans="1:14">
      <c r="A1042" s="1" t="s">
        <v>1054</v>
      </c>
      <c r="B1042">
        <f>HYPERLINK("https://www.suredividend.com/sure-analysis-research-database/","First Choice Bancorp")</f>
        <v>0</v>
      </c>
      <c r="C1042" t="s">
        <v>3184</v>
      </c>
      <c r="D1042">
        <v>29.1</v>
      </c>
      <c r="E1042">
        <v>0</v>
      </c>
      <c r="F1042" t="s">
        <v>3182</v>
      </c>
      <c r="G1042" t="s">
        <v>3182</v>
      </c>
      <c r="H1042">
        <v>1</v>
      </c>
      <c r="I1042">
        <v>0</v>
      </c>
      <c r="J1042">
        <v>0</v>
      </c>
      <c r="K1042" t="s">
        <v>3182</v>
      </c>
    </row>
    <row r="1043" spans="1:14">
      <c r="A1043" s="1" t="s">
        <v>1055</v>
      </c>
      <c r="B1043">
        <f>HYPERLINK("https://www.suredividend.com/sure-analysis-research-database/","First Community Corp.")</f>
        <v>0</v>
      </c>
      <c r="C1043" t="s">
        <v>3184</v>
      </c>
      <c r="D1043">
        <v>17.22</v>
      </c>
      <c r="E1043">
        <v>0.03178507201036501</v>
      </c>
      <c r="F1043">
        <v>0.07692307692307709</v>
      </c>
      <c r="G1043">
        <v>0.04941452284458392</v>
      </c>
      <c r="H1043">
        <v>0.547338940018486</v>
      </c>
      <c r="I1043">
        <v>130.76453</v>
      </c>
      <c r="J1043">
        <v>0</v>
      </c>
      <c r="K1043" t="s">
        <v>3182</v>
      </c>
      <c r="M1043">
        <v>21.13</v>
      </c>
      <c r="N1043">
        <v>15.8</v>
      </c>
    </row>
    <row r="1044" spans="1:14">
      <c r="A1044" s="1" t="s">
        <v>1056</v>
      </c>
      <c r="B1044">
        <f>HYPERLINK("https://www.suredividend.com/sure-analysis-research-database/","1st Constitution Bancorp")</f>
        <v>0</v>
      </c>
      <c r="C1044" t="s">
        <v>3184</v>
      </c>
      <c r="D1044">
        <v>27.79</v>
      </c>
      <c r="E1044">
        <v>0</v>
      </c>
      <c r="F1044" t="s">
        <v>3182</v>
      </c>
      <c r="G1044" t="s">
        <v>3182</v>
      </c>
      <c r="H1044">
        <v>0.390000008046627</v>
      </c>
      <c r="I1044">
        <v>0</v>
      </c>
      <c r="J1044">
        <v>0</v>
      </c>
      <c r="K1044" t="s">
        <v>3182</v>
      </c>
    </row>
    <row r="1045" spans="1:14">
      <c r="A1045" s="1" t="s">
        <v>1057</v>
      </c>
      <c r="B1045">
        <f>HYPERLINK("https://www.suredividend.com/sure-analysis-research-database/","Fuelcell Energy Inc")</f>
        <v>0</v>
      </c>
      <c r="C1045" t="s">
        <v>3183</v>
      </c>
      <c r="D1045">
        <v>1.18</v>
      </c>
      <c r="E1045">
        <v>0</v>
      </c>
      <c r="F1045" t="s">
        <v>3182</v>
      </c>
      <c r="G1045" t="s">
        <v>3182</v>
      </c>
      <c r="H1045">
        <v>0</v>
      </c>
      <c r="I1045">
        <v>479.977542</v>
      </c>
      <c r="J1045" t="s">
        <v>3182</v>
      </c>
      <c r="K1045">
        <v>-0</v>
      </c>
      <c r="L1045">
        <v>2.871309136690737</v>
      </c>
      <c r="M1045">
        <v>4.36</v>
      </c>
      <c r="N1045">
        <v>0.981</v>
      </c>
    </row>
    <row r="1046" spans="1:14">
      <c r="A1046" s="1" t="s">
        <v>1058</v>
      </c>
      <c r="B1046">
        <f>HYPERLINK("https://www.suredividend.com/sure-analysis-research-database/","First Commonwealth Financial Corp.")</f>
        <v>0</v>
      </c>
      <c r="C1046" t="s">
        <v>3184</v>
      </c>
      <c r="D1046">
        <v>12.58</v>
      </c>
      <c r="E1046">
        <v>0.038781466381133</v>
      </c>
      <c r="F1046">
        <v>0.04166666666666674</v>
      </c>
      <c r="G1046">
        <v>0.04563955259127317</v>
      </c>
      <c r="H1046">
        <v>0.4878708470746591</v>
      </c>
      <c r="I1046">
        <v>1288.270185</v>
      </c>
      <c r="J1046">
        <v>9.02744232688184</v>
      </c>
      <c r="K1046">
        <v>0.3318849299827613</v>
      </c>
      <c r="L1046">
        <v>0.9999954381638361</v>
      </c>
      <c r="M1046">
        <v>16.05</v>
      </c>
      <c r="N1046">
        <v>11.05</v>
      </c>
    </row>
    <row r="1047" spans="1:14">
      <c r="A1047" s="1" t="s">
        <v>1059</v>
      </c>
      <c r="B1047">
        <f>HYPERLINK("https://www.suredividend.com/sure-analysis-research-database/","FirstCash Holdings Inc")</f>
        <v>0</v>
      </c>
      <c r="C1047" t="s">
        <v>3184</v>
      </c>
      <c r="D1047">
        <v>109.37</v>
      </c>
      <c r="E1047">
        <v>0.012155604992757</v>
      </c>
      <c r="F1047">
        <v>0.06060606060606055</v>
      </c>
      <c r="G1047">
        <v>0.06961037572506878</v>
      </c>
      <c r="H1047">
        <v>1.329458518057937</v>
      </c>
      <c r="I1047">
        <v>4933.452335</v>
      </c>
      <c r="J1047">
        <v>21.47051647868813</v>
      </c>
      <c r="K1047">
        <v>0.2658917036115874</v>
      </c>
      <c r="L1047">
        <v>0.5954797719240561</v>
      </c>
      <c r="M1047">
        <v>111.84</v>
      </c>
      <c r="N1047">
        <v>84.09</v>
      </c>
    </row>
    <row r="1048" spans="1:14">
      <c r="A1048" s="1" t="s">
        <v>1060</v>
      </c>
      <c r="B1048">
        <f>HYPERLINK("https://www.suredividend.com/sure-analysis-research-database/","FTI Consulting Inc.")</f>
        <v>0</v>
      </c>
      <c r="C1048" t="s">
        <v>3183</v>
      </c>
      <c r="D1048">
        <v>213.56</v>
      </c>
      <c r="E1048">
        <v>0</v>
      </c>
      <c r="F1048" t="s">
        <v>3182</v>
      </c>
      <c r="G1048" t="s">
        <v>3182</v>
      </c>
      <c r="H1048">
        <v>0</v>
      </c>
      <c r="I1048">
        <v>7583.456017</v>
      </c>
      <c r="J1048">
        <v>31.49838225580149</v>
      </c>
      <c r="K1048">
        <v>0</v>
      </c>
      <c r="L1048">
        <v>0.081658076659352</v>
      </c>
      <c r="M1048">
        <v>218.33</v>
      </c>
      <c r="N1048">
        <v>152.42</v>
      </c>
    </row>
    <row r="1049" spans="1:14">
      <c r="A1049" s="1" t="s">
        <v>1061</v>
      </c>
      <c r="B1049">
        <f>HYPERLINK("https://www.suredividend.com/sure-analysis-research-database/","First Citizens Bancshares, Inc (NC)")</f>
        <v>0</v>
      </c>
      <c r="C1049" t="s">
        <v>3184</v>
      </c>
      <c r="D1049">
        <v>1390</v>
      </c>
      <c r="E1049">
        <v>0.002154711857357</v>
      </c>
      <c r="F1049">
        <v>0.5957446808510638</v>
      </c>
      <c r="G1049">
        <v>0.1339665776330272</v>
      </c>
      <c r="H1049">
        <v>2.995049481727444</v>
      </c>
      <c r="I1049">
        <v>18785.64011</v>
      </c>
      <c r="J1049">
        <v>1.752882346738826</v>
      </c>
      <c r="K1049">
        <v>0.004154482441501754</v>
      </c>
      <c r="L1049">
        <v>1.028401742334775</v>
      </c>
      <c r="M1049">
        <v>1510.44</v>
      </c>
      <c r="N1049">
        <v>504.7</v>
      </c>
    </row>
    <row r="1050" spans="1:14">
      <c r="A1050" s="1" t="s">
        <v>1062</v>
      </c>
      <c r="B1050">
        <f>HYPERLINK("https://www.suredividend.com/sure-analysis-FCPT/","Four Corners Property Trust Inc")</f>
        <v>0</v>
      </c>
      <c r="C1050" t="s">
        <v>3187</v>
      </c>
      <c r="D1050">
        <v>22.33</v>
      </c>
      <c r="E1050">
        <v>0.0613524406627855</v>
      </c>
      <c r="F1050">
        <v>0.02255639097744355</v>
      </c>
      <c r="G1050">
        <v>0.03411351398193263</v>
      </c>
      <c r="H1050">
        <v>1.331243286391093</v>
      </c>
      <c r="I1050">
        <v>2022.335341</v>
      </c>
      <c r="J1050">
        <v>21.48312379089828</v>
      </c>
      <c r="K1050">
        <v>1.199318276028012</v>
      </c>
      <c r="L1050">
        <v>0.6665931608358101</v>
      </c>
      <c r="M1050">
        <v>28.1</v>
      </c>
      <c r="N1050">
        <v>20.51</v>
      </c>
    </row>
    <row r="1051" spans="1:14">
      <c r="A1051" s="1" t="s">
        <v>1063</v>
      </c>
      <c r="B1051">
        <f>HYPERLINK("https://www.suredividend.com/sure-analysis-FCX/","Freeport-McMoRan Inc")</f>
        <v>0</v>
      </c>
      <c r="C1051" t="s">
        <v>3181</v>
      </c>
      <c r="D1051">
        <v>35.01</v>
      </c>
      <c r="E1051">
        <v>0.00856898029134533</v>
      </c>
      <c r="F1051">
        <v>0</v>
      </c>
      <c r="G1051">
        <v>0.08447177119769855</v>
      </c>
      <c r="H1051">
        <v>0.5982672246706511</v>
      </c>
      <c r="I1051">
        <v>50191.583301</v>
      </c>
      <c r="J1051">
        <v>23.91214068664602</v>
      </c>
      <c r="K1051">
        <v>0.4097720716922268</v>
      </c>
      <c r="L1051">
        <v>1.419587599564833</v>
      </c>
      <c r="M1051">
        <v>46.46</v>
      </c>
      <c r="N1051">
        <v>32.92</v>
      </c>
    </row>
    <row r="1052" spans="1:14">
      <c r="A1052" s="1" t="s">
        <v>1064</v>
      </c>
      <c r="B1052">
        <f>HYPERLINK("https://www.suredividend.com/sure-analysis-research-database/","Fidelity D&amp;D Bancorp, Inc.")</f>
        <v>0</v>
      </c>
      <c r="C1052" t="s">
        <v>3184</v>
      </c>
      <c r="D1052">
        <v>46.51</v>
      </c>
      <c r="E1052">
        <v>0.030601132325963</v>
      </c>
      <c r="F1052">
        <v>0.09090909090909083</v>
      </c>
      <c r="G1052">
        <v>0.06724918187953888</v>
      </c>
      <c r="H1052">
        <v>1.423258664480543</v>
      </c>
      <c r="I1052">
        <v>264.509905</v>
      </c>
      <c r="J1052">
        <v>0</v>
      </c>
      <c r="K1052" t="s">
        <v>3182</v>
      </c>
      <c r="M1052">
        <v>52.41</v>
      </c>
      <c r="N1052">
        <v>35.24</v>
      </c>
    </row>
    <row r="1053" spans="1:14">
      <c r="A1053" s="1" t="s">
        <v>1065</v>
      </c>
      <c r="B1053">
        <f>HYPERLINK("https://www.suredividend.com/sure-analysis-research-database/","Fresh Del Monte Produce Inc")</f>
        <v>0</v>
      </c>
      <c r="C1053" t="s">
        <v>3188</v>
      </c>
      <c r="D1053">
        <v>22.75</v>
      </c>
      <c r="E1053">
        <v>0.030478808109535</v>
      </c>
      <c r="F1053" t="s">
        <v>3182</v>
      </c>
      <c r="G1053" t="s">
        <v>3182</v>
      </c>
      <c r="H1053">
        <v>0.69339288449193</v>
      </c>
      <c r="I1053">
        <v>1094.734232</v>
      </c>
      <c r="J1053">
        <v>7.915648817787418</v>
      </c>
      <c r="K1053">
        <v>0.2407614182263646</v>
      </c>
      <c r="L1053">
        <v>0.409037826630217</v>
      </c>
      <c r="M1053">
        <v>31.86</v>
      </c>
      <c r="N1053">
        <v>21.41</v>
      </c>
    </row>
    <row r="1054" spans="1:14">
      <c r="A1054" s="1" t="s">
        <v>1066</v>
      </c>
      <c r="B1054">
        <f>HYPERLINK("https://www.suredividend.com/sure-analysis-FDS/","Factset Research Systems Inc.")</f>
        <v>0</v>
      </c>
      <c r="C1054" t="s">
        <v>3184</v>
      </c>
      <c r="D1054">
        <v>442.26</v>
      </c>
      <c r="E1054">
        <v>0.008863564419119974</v>
      </c>
      <c r="F1054">
        <v>0.101123595505618</v>
      </c>
      <c r="G1054">
        <v>0.08895321224138986</v>
      </c>
      <c r="H1054">
        <v>3.727370486210217</v>
      </c>
      <c r="I1054">
        <v>16800.774551</v>
      </c>
      <c r="J1054">
        <v>35.88582543324797</v>
      </c>
      <c r="K1054">
        <v>0.3095822662965297</v>
      </c>
      <c r="L1054">
        <v>0.8726655995519391</v>
      </c>
      <c r="M1054">
        <v>470.86</v>
      </c>
      <c r="N1054">
        <v>376.08</v>
      </c>
    </row>
    <row r="1055" spans="1:14">
      <c r="A1055" s="1" t="s">
        <v>1067</v>
      </c>
      <c r="B1055">
        <f>HYPERLINK("https://www.suredividend.com/sure-analysis-FDX/","Fedex Corp")</f>
        <v>0</v>
      </c>
      <c r="C1055" t="s">
        <v>3183</v>
      </c>
      <c r="D1055">
        <v>247.25</v>
      </c>
      <c r="E1055">
        <v>0.02038422649140546</v>
      </c>
      <c r="F1055">
        <v>0.09565217391304359</v>
      </c>
      <c r="G1055">
        <v>0.1415407984224459</v>
      </c>
      <c r="H1055">
        <v>4.783376250273124</v>
      </c>
      <c r="I1055">
        <v>62163.705521</v>
      </c>
      <c r="J1055">
        <v>14.88951030437126</v>
      </c>
      <c r="K1055">
        <v>0.2909596259290221</v>
      </c>
      <c r="L1055">
        <v>0.9585460182361101</v>
      </c>
      <c r="M1055">
        <v>270.46</v>
      </c>
      <c r="N1055">
        <v>150.63</v>
      </c>
    </row>
    <row r="1056" spans="1:14">
      <c r="A1056" s="1" t="s">
        <v>1068</v>
      </c>
      <c r="B1056">
        <f>HYPERLINK("https://www.suredividend.com/sure-analysis-FE/","Firstenergy Corp.")</f>
        <v>0</v>
      </c>
      <c r="C1056" t="s">
        <v>3190</v>
      </c>
      <c r="D1056">
        <v>36.57</v>
      </c>
      <c r="E1056">
        <v>0.04484550177741318</v>
      </c>
      <c r="F1056">
        <v>0</v>
      </c>
      <c r="G1056">
        <v>0.01613736474159566</v>
      </c>
      <c r="H1056">
        <v>1.536221594528786</v>
      </c>
      <c r="I1056">
        <v>20984.408077</v>
      </c>
      <c r="J1056">
        <v>38.71662006846864</v>
      </c>
      <c r="K1056">
        <v>1.625459310685415</v>
      </c>
      <c r="L1056">
        <v>0.5763199499257841</v>
      </c>
      <c r="M1056">
        <v>42.01</v>
      </c>
      <c r="N1056">
        <v>32.18</v>
      </c>
    </row>
    <row r="1057" spans="1:14">
      <c r="A1057" s="1" t="s">
        <v>1069</v>
      </c>
      <c r="B1057">
        <f>HYPERLINK("https://www.suredividend.com/sure-analysis-research-database/","Frequency Electronics, Inc.")</f>
        <v>0</v>
      </c>
      <c r="C1057" t="s">
        <v>3185</v>
      </c>
      <c r="D1057">
        <v>7.5111</v>
      </c>
      <c r="E1057">
        <v>0</v>
      </c>
      <c r="F1057" t="s">
        <v>3182</v>
      </c>
      <c r="G1057" t="s">
        <v>3182</v>
      </c>
      <c r="H1057">
        <v>0</v>
      </c>
      <c r="I1057">
        <v>70.52957499999999</v>
      </c>
      <c r="J1057">
        <v>0</v>
      </c>
      <c r="K1057" t="s">
        <v>3182</v>
      </c>
      <c r="M1057">
        <v>7.96</v>
      </c>
      <c r="N1057">
        <v>4.39</v>
      </c>
    </row>
    <row r="1058" spans="1:14">
      <c r="A1058" s="1" t="s">
        <v>1070</v>
      </c>
      <c r="B1058">
        <f>HYPERLINK("https://www.suredividend.com/sure-analysis-FELE/","Franklin Electric Co., Inc.")</f>
        <v>0</v>
      </c>
      <c r="C1058" t="s">
        <v>3183</v>
      </c>
      <c r="D1058">
        <v>86.44</v>
      </c>
      <c r="E1058">
        <v>0.01041184636742249</v>
      </c>
      <c r="F1058">
        <v>0.1538461538461537</v>
      </c>
      <c r="G1058">
        <v>0.09184981078954069</v>
      </c>
      <c r="H1058">
        <v>0.893410397751854</v>
      </c>
      <c r="I1058">
        <v>3987.315211</v>
      </c>
      <c r="J1058">
        <v>19.93617733365333</v>
      </c>
      <c r="K1058">
        <v>0.2097207506459751</v>
      </c>
      <c r="L1058">
        <v>1.012165939191621</v>
      </c>
      <c r="M1058">
        <v>106.31</v>
      </c>
      <c r="N1058">
        <v>76.38</v>
      </c>
    </row>
    <row r="1059" spans="1:14">
      <c r="A1059" s="1" t="s">
        <v>1071</v>
      </c>
      <c r="B1059">
        <f>HYPERLINK("https://www.suredividend.com/sure-analysis-research-database/","Forum Energy Technologies Inc")</f>
        <v>0</v>
      </c>
      <c r="C1059" t="s">
        <v>3189</v>
      </c>
      <c r="D1059">
        <v>21.76</v>
      </c>
      <c r="E1059">
        <v>0</v>
      </c>
      <c r="F1059" t="s">
        <v>3182</v>
      </c>
      <c r="G1059" t="s">
        <v>3182</v>
      </c>
      <c r="H1059">
        <v>0</v>
      </c>
      <c r="I1059">
        <v>220.809622</v>
      </c>
      <c r="J1059" t="s">
        <v>3182</v>
      </c>
      <c r="K1059">
        <v>-0</v>
      </c>
      <c r="L1059">
        <v>0.6060246432871691</v>
      </c>
      <c r="M1059">
        <v>33.84</v>
      </c>
      <c r="N1059">
        <v>20.3</v>
      </c>
    </row>
    <row r="1060" spans="1:14">
      <c r="A1060" s="1" t="s">
        <v>1072</v>
      </c>
      <c r="B1060">
        <f>HYPERLINK("https://www.suredividend.com/sure-analysis-research-database/","Futurefuel Corp")</f>
        <v>0</v>
      </c>
      <c r="C1060" t="s">
        <v>3181</v>
      </c>
      <c r="D1060">
        <v>6.67</v>
      </c>
      <c r="E1060">
        <v>0.035578708450043</v>
      </c>
      <c r="F1060">
        <v>0</v>
      </c>
      <c r="G1060">
        <v>0</v>
      </c>
      <c r="H1060">
        <v>0.237309985361787</v>
      </c>
      <c r="I1060">
        <v>291.900831</v>
      </c>
      <c r="J1060">
        <v>6.960792436151187</v>
      </c>
      <c r="K1060">
        <v>0.2476622681713494</v>
      </c>
      <c r="L1060">
        <v>1.180155224554014</v>
      </c>
      <c r="M1060">
        <v>10.22</v>
      </c>
      <c r="N1060">
        <v>6.36</v>
      </c>
    </row>
    <row r="1061" spans="1:14">
      <c r="A1061" s="1" t="s">
        <v>1073</v>
      </c>
      <c r="B1061">
        <f>HYPERLINK("https://www.suredividend.com/sure-analysis-research-database/","First Financial Bancorp")</f>
        <v>0</v>
      </c>
      <c r="C1061" t="s">
        <v>3184</v>
      </c>
      <c r="D1061">
        <v>19.65</v>
      </c>
      <c r="E1061">
        <v>0.045416344348086</v>
      </c>
      <c r="F1061">
        <v>0</v>
      </c>
      <c r="G1061">
        <v>0.02834672210021361</v>
      </c>
      <c r="H1061">
        <v>0.8924311664398891</v>
      </c>
      <c r="I1061">
        <v>1869.197349</v>
      </c>
      <c r="J1061">
        <v>7.165491769754773</v>
      </c>
      <c r="K1061">
        <v>0.3245204241599597</v>
      </c>
      <c r="L1061">
        <v>1.083312121471804</v>
      </c>
      <c r="M1061">
        <v>25.29</v>
      </c>
      <c r="N1061">
        <v>17.19</v>
      </c>
    </row>
    <row r="1062" spans="1:14">
      <c r="A1062" s="1" t="s">
        <v>1074</v>
      </c>
      <c r="B1062">
        <f>HYPERLINK("https://www.suredividend.com/sure-analysis-research-database/","FBL Financial Group, Inc.")</f>
        <v>0</v>
      </c>
      <c r="C1062" t="s">
        <v>3184</v>
      </c>
      <c r="D1062">
        <v>60.99</v>
      </c>
      <c r="E1062">
        <v>0.032664680854819</v>
      </c>
      <c r="F1062" t="s">
        <v>3182</v>
      </c>
      <c r="G1062" t="s">
        <v>3182</v>
      </c>
      <c r="H1062">
        <v>1.992218885335427</v>
      </c>
      <c r="I1062">
        <v>1487.247798</v>
      </c>
      <c r="J1062">
        <v>14.5015288705903</v>
      </c>
      <c r="K1062">
        <v>0.4766073888362266</v>
      </c>
      <c r="L1062">
        <v>0.5068456660864551</v>
      </c>
      <c r="M1062">
        <v>61.01</v>
      </c>
      <c r="N1062">
        <v>32</v>
      </c>
    </row>
    <row r="1063" spans="1:14">
      <c r="A1063" s="1" t="s">
        <v>1075</v>
      </c>
      <c r="B1063">
        <f>HYPERLINK("https://www.suredividend.com/sure-analysis-research-database/","Flushing Financial Corp.")</f>
        <v>0</v>
      </c>
      <c r="C1063" t="s">
        <v>3184</v>
      </c>
      <c r="D1063">
        <v>12.97</v>
      </c>
      <c r="E1063">
        <v>0.064839624959103</v>
      </c>
      <c r="F1063">
        <v>0</v>
      </c>
      <c r="G1063">
        <v>0.01924487649145656</v>
      </c>
      <c r="H1063">
        <v>0.84096993571957</v>
      </c>
      <c r="I1063">
        <v>375.66225</v>
      </c>
      <c r="J1063">
        <v>7.912510266444805</v>
      </c>
      <c r="K1063">
        <v>0.5390832921279295</v>
      </c>
      <c r="L1063">
        <v>1.055073439426262</v>
      </c>
      <c r="M1063">
        <v>19.64</v>
      </c>
      <c r="N1063">
        <v>8.65</v>
      </c>
    </row>
    <row r="1064" spans="1:14">
      <c r="A1064" s="1" t="s">
        <v>1076</v>
      </c>
      <c r="B1064">
        <f>HYPERLINK("https://www.suredividend.com/sure-analysis-FFIN/","First Financial Bankshares, Inc.")</f>
        <v>0</v>
      </c>
      <c r="C1064" t="s">
        <v>3184</v>
      </c>
      <c r="D1064">
        <v>25.3</v>
      </c>
      <c r="E1064">
        <v>0.02845849802371541</v>
      </c>
      <c r="F1064">
        <v>0.0588235294117645</v>
      </c>
      <c r="G1064">
        <v>-0.03035973390442093</v>
      </c>
      <c r="H1064">
        <v>0.6908584904708051</v>
      </c>
      <c r="I1064">
        <v>3611.352259</v>
      </c>
      <c r="J1064">
        <v>16.30775461187627</v>
      </c>
      <c r="K1064">
        <v>0.4457151551424549</v>
      </c>
      <c r="L1064">
        <v>1.247957254801191</v>
      </c>
      <c r="M1064">
        <v>37.3</v>
      </c>
      <c r="N1064">
        <v>22.84</v>
      </c>
    </row>
    <row r="1065" spans="1:14">
      <c r="A1065" s="1" t="s">
        <v>1077</v>
      </c>
      <c r="B1065">
        <f>HYPERLINK("https://www.suredividend.com/sure-analysis-research-database/","F5 Inc")</f>
        <v>0</v>
      </c>
      <c r="C1065" t="s">
        <v>3185</v>
      </c>
      <c r="D1065">
        <v>152.87</v>
      </c>
      <c r="E1065">
        <v>0</v>
      </c>
      <c r="F1065" t="s">
        <v>3182</v>
      </c>
      <c r="G1065" t="s">
        <v>3182</v>
      </c>
      <c r="H1065">
        <v>0</v>
      </c>
      <c r="I1065">
        <v>9066.172884</v>
      </c>
      <c r="J1065">
        <v>27.29459562864282</v>
      </c>
      <c r="K1065">
        <v>0</v>
      </c>
      <c r="L1065">
        <v>1.116218369718058</v>
      </c>
      <c r="M1065">
        <v>167.89</v>
      </c>
      <c r="N1065">
        <v>127.05</v>
      </c>
    </row>
    <row r="1066" spans="1:14">
      <c r="A1066" s="1" t="s">
        <v>1078</v>
      </c>
      <c r="B1066">
        <f>HYPERLINK("https://www.suredividend.com/sure-analysis-research-database/","First Financial Northwest Inc")</f>
        <v>0</v>
      </c>
      <c r="C1066" t="s">
        <v>3184</v>
      </c>
      <c r="D1066">
        <v>11.0034</v>
      </c>
      <c r="E1066">
        <v>0.044977378230392</v>
      </c>
      <c r="F1066">
        <v>0.08333333333333348</v>
      </c>
      <c r="G1066">
        <v>0.1019722877214801</v>
      </c>
      <c r="H1066">
        <v>0.494904083620299</v>
      </c>
      <c r="I1066">
        <v>100.70414</v>
      </c>
      <c r="J1066">
        <v>0</v>
      </c>
      <c r="K1066" t="s">
        <v>3182</v>
      </c>
      <c r="L1066">
        <v>0.290326274233571</v>
      </c>
      <c r="M1066">
        <v>14.72</v>
      </c>
      <c r="N1066">
        <v>9.26</v>
      </c>
    </row>
    <row r="1067" spans="1:14">
      <c r="A1067" s="1" t="s">
        <v>1079</v>
      </c>
      <c r="B1067">
        <f>HYPERLINK("https://www.suredividend.com/sure-analysis-research-database/","First Foundation Inc")</f>
        <v>0</v>
      </c>
      <c r="C1067" t="s">
        <v>3184</v>
      </c>
      <c r="D1067">
        <v>5.25</v>
      </c>
      <c r="E1067">
        <v>0.049059039546988</v>
      </c>
      <c r="F1067">
        <v>-0.9090909090909091</v>
      </c>
      <c r="G1067">
        <v>-0.2752203363223045</v>
      </c>
      <c r="H1067">
        <v>0.257559957621687</v>
      </c>
      <c r="I1067">
        <v>296.329814</v>
      </c>
      <c r="J1067">
        <v>0</v>
      </c>
      <c r="K1067" t="s">
        <v>3182</v>
      </c>
      <c r="L1067">
        <v>1.754677273150618</v>
      </c>
      <c r="M1067">
        <v>16.46</v>
      </c>
      <c r="N1067">
        <v>3.68</v>
      </c>
    </row>
    <row r="1068" spans="1:14">
      <c r="A1068" s="1" t="s">
        <v>1080</v>
      </c>
      <c r="B1068">
        <f>HYPERLINK("https://www.suredividend.com/sure-analysis-research-database/","F&amp;G Annuities &amp; Life Inc")</f>
        <v>0</v>
      </c>
      <c r="C1068" t="s">
        <v>3184</v>
      </c>
      <c r="D1068">
        <v>31.94</v>
      </c>
      <c r="E1068">
        <v>0.018637479538778</v>
      </c>
      <c r="F1068" t="s">
        <v>3182</v>
      </c>
      <c r="G1068" t="s">
        <v>3182</v>
      </c>
      <c r="H1068">
        <v>0.5952810964686001</v>
      </c>
      <c r="I1068">
        <v>4008.708688</v>
      </c>
      <c r="J1068">
        <v>0</v>
      </c>
      <c r="K1068" t="s">
        <v>3182</v>
      </c>
      <c r="L1068">
        <v>1.180961198306895</v>
      </c>
      <c r="M1068">
        <v>35</v>
      </c>
      <c r="N1068">
        <v>9.029999999999999</v>
      </c>
    </row>
    <row r="1069" spans="1:14">
      <c r="A1069" s="1" t="s">
        <v>1081</v>
      </c>
      <c r="B1069">
        <f>HYPERLINK("https://www.suredividend.com/sure-analysis-research-database/","First Guaranty Bancshares Inc")</f>
        <v>0</v>
      </c>
      <c r="C1069" t="s">
        <v>3184</v>
      </c>
      <c r="D1069">
        <v>10.58</v>
      </c>
      <c r="E1069">
        <v>0.058368916080481</v>
      </c>
      <c r="F1069">
        <v>0</v>
      </c>
      <c r="G1069">
        <v>0</v>
      </c>
      <c r="H1069">
        <v>0.617543132131495</v>
      </c>
      <c r="I1069">
        <v>120.940858</v>
      </c>
      <c r="J1069">
        <v>0</v>
      </c>
      <c r="K1069" t="s">
        <v>3182</v>
      </c>
      <c r="L1069">
        <v>0.664689480159095</v>
      </c>
      <c r="M1069">
        <v>23.46</v>
      </c>
      <c r="N1069">
        <v>10.17</v>
      </c>
    </row>
    <row r="1070" spans="1:14">
      <c r="A1070" s="1" t="s">
        <v>1082</v>
      </c>
      <c r="B1070">
        <f>HYPERLINK("https://www.suredividend.com/sure-analysis-research-database/","FibroGen Inc")</f>
        <v>0</v>
      </c>
      <c r="C1070" t="s">
        <v>3180</v>
      </c>
      <c r="D1070">
        <v>0.5670000000000001</v>
      </c>
      <c r="E1070">
        <v>0</v>
      </c>
      <c r="F1070" t="s">
        <v>3182</v>
      </c>
      <c r="G1070" t="s">
        <v>3182</v>
      </c>
      <c r="H1070">
        <v>0</v>
      </c>
      <c r="I1070">
        <v>55.685165</v>
      </c>
      <c r="J1070" t="s">
        <v>3182</v>
      </c>
      <c r="K1070">
        <v>-0</v>
      </c>
      <c r="L1070">
        <v>1.35161863844555</v>
      </c>
      <c r="M1070">
        <v>25.69</v>
      </c>
      <c r="N1070">
        <v>0.4748</v>
      </c>
    </row>
    <row r="1071" spans="1:14">
      <c r="A1071" s="1" t="s">
        <v>1083</v>
      </c>
      <c r="B1071">
        <f>HYPERLINK("https://www.suredividend.com/sure-analysis-research-database/","First Hawaiian INC")</f>
        <v>0</v>
      </c>
      <c r="C1071" t="s">
        <v>3184</v>
      </c>
      <c r="D1071">
        <v>18.88</v>
      </c>
      <c r="E1071">
        <v>0.053996710813226</v>
      </c>
      <c r="F1071">
        <v>0</v>
      </c>
      <c r="G1071">
        <v>0.01613736474159566</v>
      </c>
      <c r="H1071">
        <v>1.019457900153712</v>
      </c>
      <c r="I1071">
        <v>2409.269456</v>
      </c>
      <c r="J1071">
        <v>8.670616252726134</v>
      </c>
      <c r="K1071">
        <v>0.4697962673519411</v>
      </c>
      <c r="L1071">
        <v>1.126379045798618</v>
      </c>
      <c r="M1071">
        <v>27.22</v>
      </c>
      <c r="N1071">
        <v>14.65</v>
      </c>
    </row>
    <row r="1072" spans="1:14">
      <c r="A1072" s="1" t="s">
        <v>1084</v>
      </c>
      <c r="B1072">
        <f>HYPERLINK("https://www.suredividend.com/sure-analysis-research-database/","First Horizon Corporation")</f>
        <v>0</v>
      </c>
      <c r="C1072" t="s">
        <v>3184</v>
      </c>
      <c r="D1072">
        <v>11.43</v>
      </c>
      <c r="E1072">
        <v>0.051517354239858</v>
      </c>
      <c r="F1072">
        <v>0</v>
      </c>
      <c r="G1072">
        <v>0.04563955259127317</v>
      </c>
      <c r="H1072">
        <v>0.58884335896158</v>
      </c>
      <c r="I1072">
        <v>6385.962523</v>
      </c>
      <c r="J1072">
        <v>5.940430253665117</v>
      </c>
      <c r="K1072">
        <v>0.3115573327839047</v>
      </c>
      <c r="L1072">
        <v>0.9221686036639091</v>
      </c>
      <c r="M1072">
        <v>24.02</v>
      </c>
      <c r="N1072">
        <v>8.76</v>
      </c>
    </row>
    <row r="1073" spans="1:14">
      <c r="A1073" s="1" t="s">
        <v>1085</v>
      </c>
      <c r="B1073">
        <f>HYPERLINK("https://www.suredividend.com/sure-analysis-research-database/","Fiserv, Inc.")</f>
        <v>0</v>
      </c>
      <c r="C1073" t="s">
        <v>3189</v>
      </c>
      <c r="D1073">
        <v>117.81</v>
      </c>
      <c r="E1073">
        <v>0</v>
      </c>
      <c r="F1073" t="s">
        <v>3182</v>
      </c>
      <c r="G1073" t="s">
        <v>3182</v>
      </c>
      <c r="H1073">
        <v>0</v>
      </c>
      <c r="I1073">
        <v>70707.879202</v>
      </c>
      <c r="J1073">
        <v>23.72747624226845</v>
      </c>
      <c r="K1073">
        <v>0</v>
      </c>
      <c r="L1073">
        <v>0.9374471460739711</v>
      </c>
      <c r="M1073">
        <v>130.74</v>
      </c>
      <c r="N1073">
        <v>92.84</v>
      </c>
    </row>
    <row r="1074" spans="1:14">
      <c r="A1074" s="1" t="s">
        <v>1086</v>
      </c>
      <c r="B1074">
        <f>HYPERLINK("https://www.suredividend.com/sure-analysis-research-database/","First Interstate BancSystem Inc.")</f>
        <v>0</v>
      </c>
      <c r="C1074" t="s">
        <v>3184</v>
      </c>
      <c r="D1074">
        <v>24.68</v>
      </c>
      <c r="E1074">
        <v>0.07264308490866801</v>
      </c>
      <c r="F1074">
        <v>0</v>
      </c>
      <c r="G1074">
        <v>0.08679400183142283</v>
      </c>
      <c r="H1074">
        <v>1.792831335545937</v>
      </c>
      <c r="I1074">
        <v>2591.851866</v>
      </c>
      <c r="J1074">
        <v>8.79189913880597</v>
      </c>
      <c r="K1074">
        <v>0.6380182688775576</v>
      </c>
      <c r="L1074">
        <v>1.016668735150232</v>
      </c>
      <c r="M1074">
        <v>42.49</v>
      </c>
      <c r="N1074">
        <v>20.36</v>
      </c>
    </row>
    <row r="1075" spans="1:14">
      <c r="A1075" s="1" t="s">
        <v>1087</v>
      </c>
      <c r="B1075">
        <f>HYPERLINK("https://www.suredividend.com/sure-analysis-research-database/","Fair, Isaac Corp.")</f>
        <v>0</v>
      </c>
      <c r="C1075" t="s">
        <v>3185</v>
      </c>
      <c r="D1075">
        <v>900.6900000000001</v>
      </c>
      <c r="E1075">
        <v>0</v>
      </c>
      <c r="F1075" t="s">
        <v>3182</v>
      </c>
      <c r="G1075" t="s">
        <v>3182</v>
      </c>
      <c r="H1075">
        <v>0</v>
      </c>
      <c r="I1075">
        <v>22427.181</v>
      </c>
      <c r="J1075">
        <v>53.57024005732713</v>
      </c>
      <c r="K1075">
        <v>0</v>
      </c>
      <c r="L1075">
        <v>1.605754638431011</v>
      </c>
      <c r="M1075">
        <v>940.1</v>
      </c>
      <c r="N1075">
        <v>427.09</v>
      </c>
    </row>
    <row r="1076" spans="1:14">
      <c r="A1076" s="1" t="s">
        <v>1088</v>
      </c>
      <c r="B1076">
        <f>HYPERLINK("https://www.suredividend.com/sure-analysis-FIS/","Fidelity National Information Services, Inc.")</f>
        <v>0</v>
      </c>
      <c r="C1076" t="s">
        <v>3185</v>
      </c>
      <c r="D1076">
        <v>51.36</v>
      </c>
      <c r="E1076">
        <v>0.04049844236760125</v>
      </c>
      <c r="F1076">
        <v>0.1063829787234043</v>
      </c>
      <c r="G1076">
        <v>0.08239819622948685</v>
      </c>
      <c r="H1076">
        <v>2.002732895205916</v>
      </c>
      <c r="I1076">
        <v>30429.026796</v>
      </c>
      <c r="J1076" t="s">
        <v>3182</v>
      </c>
      <c r="K1076" t="s">
        <v>3182</v>
      </c>
      <c r="L1076">
        <v>1.17942847245551</v>
      </c>
      <c r="M1076">
        <v>77.19</v>
      </c>
      <c r="N1076">
        <v>46.91</v>
      </c>
    </row>
    <row r="1077" spans="1:14">
      <c r="A1077" s="1" t="s">
        <v>1089</v>
      </c>
      <c r="B1077">
        <f>HYPERLINK("https://www.suredividend.com/sure-analysis-FISI/","Financial Institutions Inc.")</f>
        <v>0</v>
      </c>
      <c r="C1077" t="s">
        <v>3184</v>
      </c>
      <c r="D1077">
        <v>16.61</v>
      </c>
      <c r="E1077">
        <v>0.07224563515954244</v>
      </c>
      <c r="F1077">
        <v>0.03448275862068995</v>
      </c>
      <c r="G1077">
        <v>0.04563955259127317</v>
      </c>
      <c r="H1077">
        <v>1.136467119680715</v>
      </c>
      <c r="I1077">
        <v>255.823898</v>
      </c>
      <c r="J1077">
        <v>5.021471715149373</v>
      </c>
      <c r="K1077">
        <v>0.3433435406890378</v>
      </c>
      <c r="L1077">
        <v>0.886014125276918</v>
      </c>
      <c r="M1077">
        <v>23.78</v>
      </c>
      <c r="N1077">
        <v>12.91</v>
      </c>
    </row>
    <row r="1078" spans="1:14">
      <c r="A1078" s="1" t="s">
        <v>1090</v>
      </c>
      <c r="B1078">
        <f>HYPERLINK("https://www.suredividend.com/sure-analysis-research-database/","Fiserv, Inc.")</f>
        <v>0</v>
      </c>
      <c r="C1078" t="s">
        <v>3185</v>
      </c>
      <c r="D1078">
        <v>114.23</v>
      </c>
      <c r="E1078">
        <v>0</v>
      </c>
      <c r="F1078" t="s">
        <v>3182</v>
      </c>
      <c r="G1078" t="s">
        <v>3182</v>
      </c>
      <c r="H1078">
        <v>0</v>
      </c>
      <c r="I1078">
        <v>75595.007065</v>
      </c>
      <c r="J1078">
        <v>0</v>
      </c>
      <c r="K1078" t="s">
        <v>3182</v>
      </c>
    </row>
    <row r="1079" spans="1:14">
      <c r="A1079" s="1" t="s">
        <v>1091</v>
      </c>
      <c r="B1079">
        <f>HYPERLINK("https://www.suredividend.com/sure-analysis-research-database/","Fitbit Inc")</f>
        <v>0</v>
      </c>
      <c r="C1079" t="s">
        <v>3185</v>
      </c>
      <c r="D1079">
        <v>6.93</v>
      </c>
      <c r="E1079">
        <v>0</v>
      </c>
      <c r="F1079" t="s">
        <v>3182</v>
      </c>
      <c r="G1079" t="s">
        <v>3182</v>
      </c>
      <c r="H1079">
        <v>0</v>
      </c>
      <c r="I1079">
        <v>1696.933514</v>
      </c>
      <c r="J1079">
        <v>0</v>
      </c>
      <c r="K1079">
        <v>-0</v>
      </c>
    </row>
    <row r="1080" spans="1:14">
      <c r="A1080" s="1" t="s">
        <v>1092</v>
      </c>
      <c r="B1080">
        <f>HYPERLINK("https://www.suredividend.com/sure-analysis-FITB/","Fifth Third Bancorp")</f>
        <v>0</v>
      </c>
      <c r="C1080" t="s">
        <v>3184</v>
      </c>
      <c r="D1080">
        <v>25.05</v>
      </c>
      <c r="E1080">
        <v>0.0558882235528942</v>
      </c>
      <c r="F1080">
        <v>0.06060606060606055</v>
      </c>
      <c r="G1080">
        <v>0.09730933214999538</v>
      </c>
      <c r="H1080">
        <v>1.292544178155477</v>
      </c>
      <c r="I1080">
        <v>17056.263363</v>
      </c>
      <c r="J1080">
        <v>7.027714611804698</v>
      </c>
      <c r="K1080">
        <v>0.3682462046027</v>
      </c>
      <c r="L1080">
        <v>1.329743007022961</v>
      </c>
      <c r="M1080">
        <v>35.63</v>
      </c>
      <c r="N1080">
        <v>20.7</v>
      </c>
    </row>
    <row r="1081" spans="1:14">
      <c r="A1081" s="1" t="s">
        <v>1093</v>
      </c>
      <c r="B1081">
        <f>HYPERLINK("https://www.suredividend.com/sure-analysis-research-database/","Five Below Inc")</f>
        <v>0</v>
      </c>
      <c r="C1081" t="s">
        <v>3186</v>
      </c>
      <c r="D1081">
        <v>176.42</v>
      </c>
      <c r="E1081">
        <v>0</v>
      </c>
      <c r="F1081" t="s">
        <v>3182</v>
      </c>
      <c r="G1081" t="s">
        <v>3182</v>
      </c>
      <c r="H1081">
        <v>0</v>
      </c>
      <c r="I1081">
        <v>9824.077015999999</v>
      </c>
      <c r="J1081">
        <v>36.14729988652545</v>
      </c>
      <c r="K1081">
        <v>0</v>
      </c>
      <c r="L1081">
        <v>1.044767535902792</v>
      </c>
      <c r="M1081">
        <v>220.19</v>
      </c>
      <c r="N1081">
        <v>142.13</v>
      </c>
    </row>
    <row r="1082" spans="1:14">
      <c r="A1082" s="1" t="s">
        <v>1094</v>
      </c>
      <c r="B1082">
        <f>HYPERLINK("https://www.suredividend.com/sure-analysis-research-database/","Five9 Inc")</f>
        <v>0</v>
      </c>
      <c r="C1082" t="s">
        <v>3185</v>
      </c>
      <c r="D1082">
        <v>56.47</v>
      </c>
      <c r="E1082">
        <v>0</v>
      </c>
      <c r="F1082" t="s">
        <v>3182</v>
      </c>
      <c r="G1082" t="s">
        <v>3182</v>
      </c>
      <c r="H1082">
        <v>0</v>
      </c>
      <c r="I1082">
        <v>4077.829259</v>
      </c>
      <c r="J1082" t="s">
        <v>3182</v>
      </c>
      <c r="K1082">
        <v>-0</v>
      </c>
      <c r="L1082">
        <v>1.827499234786608</v>
      </c>
      <c r="M1082">
        <v>89.58</v>
      </c>
      <c r="N1082">
        <v>46.61</v>
      </c>
    </row>
    <row r="1083" spans="1:14">
      <c r="A1083" s="1" t="s">
        <v>1095</v>
      </c>
      <c r="B1083">
        <f>HYPERLINK("https://www.suredividend.com/sure-analysis-research-database/","Comfort Systems USA, Inc.")</f>
        <v>0</v>
      </c>
      <c r="C1083" t="s">
        <v>3183</v>
      </c>
      <c r="D1083">
        <v>187.65</v>
      </c>
      <c r="E1083">
        <v>0.003990050713513001</v>
      </c>
      <c r="F1083">
        <v>0.607142857142857</v>
      </c>
      <c r="G1083">
        <v>0.2011244339814313</v>
      </c>
      <c r="H1083">
        <v>0.748733016390781</v>
      </c>
      <c r="I1083">
        <v>6701.885035</v>
      </c>
      <c r="J1083">
        <v>23.33192348846439</v>
      </c>
      <c r="K1083">
        <v>0.09359162704884763</v>
      </c>
      <c r="L1083">
        <v>1.047277585867204</v>
      </c>
      <c r="M1083">
        <v>192.33</v>
      </c>
      <c r="N1083">
        <v>110.86</v>
      </c>
    </row>
    <row r="1084" spans="1:14">
      <c r="A1084" s="1" t="s">
        <v>1096</v>
      </c>
      <c r="B1084">
        <f>HYPERLINK("https://www.suredividend.com/sure-analysis-research-database/","Homology Medicines Inc")</f>
        <v>0</v>
      </c>
      <c r="C1084" t="s">
        <v>3180</v>
      </c>
      <c r="D1084">
        <v>1</v>
      </c>
      <c r="E1084">
        <v>0</v>
      </c>
      <c r="F1084" t="s">
        <v>3182</v>
      </c>
      <c r="G1084" t="s">
        <v>3182</v>
      </c>
      <c r="H1084">
        <v>0</v>
      </c>
      <c r="I1084">
        <v>57.811083</v>
      </c>
      <c r="J1084" t="s">
        <v>3182</v>
      </c>
      <c r="K1084">
        <v>-0</v>
      </c>
      <c r="L1084">
        <v>1.515996383206371</v>
      </c>
      <c r="M1084">
        <v>2.29</v>
      </c>
      <c r="N1084">
        <v>0.8</v>
      </c>
    </row>
    <row r="1085" spans="1:14">
      <c r="A1085" s="1" t="s">
        <v>1097</v>
      </c>
      <c r="B1085">
        <f>HYPERLINK("https://www.suredividend.com/sure-analysis-research-database/","National Beverage Corp.")</f>
        <v>0</v>
      </c>
      <c r="C1085" t="s">
        <v>3188</v>
      </c>
      <c r="D1085">
        <v>47.91</v>
      </c>
      <c r="E1085">
        <v>0</v>
      </c>
      <c r="F1085" t="s">
        <v>3182</v>
      </c>
      <c r="G1085" t="s">
        <v>3182</v>
      </c>
      <c r="H1085">
        <v>0</v>
      </c>
      <c r="I1085">
        <v>4472.597135</v>
      </c>
      <c r="J1085">
        <v>28.60796038697463</v>
      </c>
      <c r="K1085">
        <v>0</v>
      </c>
      <c r="L1085">
        <v>0.668024054895044</v>
      </c>
      <c r="M1085">
        <v>55.12</v>
      </c>
      <c r="N1085">
        <v>42.09</v>
      </c>
    </row>
    <row r="1086" spans="1:14">
      <c r="A1086" s="1" t="s">
        <v>1098</v>
      </c>
      <c r="B1086">
        <f>HYPERLINK("https://www.suredividend.com/sure-analysis-research-database/","Foot Locker Inc")</f>
        <v>0</v>
      </c>
      <c r="C1086" t="s">
        <v>3186</v>
      </c>
      <c r="D1086">
        <v>22.11</v>
      </c>
      <c r="E1086">
        <v>0.070608376290619</v>
      </c>
      <c r="F1086" t="s">
        <v>3182</v>
      </c>
      <c r="G1086" t="s">
        <v>3182</v>
      </c>
      <c r="H1086">
        <v>1.561151199785593</v>
      </c>
      <c r="I1086">
        <v>2081.858807</v>
      </c>
      <c r="J1086">
        <v>14.25930689383562</v>
      </c>
      <c r="K1086">
        <v>1.01373454531532</v>
      </c>
      <c r="L1086">
        <v>1.245262014603138</v>
      </c>
      <c r="M1086">
        <v>45.15</v>
      </c>
      <c r="N1086">
        <v>14.56</v>
      </c>
    </row>
    <row r="1087" spans="1:14">
      <c r="A1087" s="1" t="s">
        <v>1099</v>
      </c>
      <c r="B1087">
        <f>HYPERLINK("https://www.suredividend.com/sure-analysis-FLIC/","First Of Long Island Corp.")</f>
        <v>0</v>
      </c>
      <c r="C1087" t="s">
        <v>3184</v>
      </c>
      <c r="D1087">
        <v>11.16</v>
      </c>
      <c r="E1087">
        <v>0.07526881720430108</v>
      </c>
      <c r="F1087">
        <v>0</v>
      </c>
      <c r="G1087">
        <v>0.04316756381013498</v>
      </c>
      <c r="H1087">
        <v>0.8116529949029231</v>
      </c>
      <c r="I1087">
        <v>252.086879</v>
      </c>
      <c r="J1087">
        <v>7.051775730110776</v>
      </c>
      <c r="K1087">
        <v>0.5137044271537488</v>
      </c>
      <c r="L1087">
        <v>0.9929759023322081</v>
      </c>
      <c r="M1087">
        <v>18.07</v>
      </c>
      <c r="N1087">
        <v>8.34</v>
      </c>
    </row>
    <row r="1088" spans="1:14">
      <c r="A1088" s="1" t="s">
        <v>1100</v>
      </c>
      <c r="B1088">
        <f>HYPERLINK("https://www.suredividend.com/sure-analysis-research-database/","Flir Systems, Inc.")</f>
        <v>0</v>
      </c>
      <c r="C1088" t="s">
        <v>3185</v>
      </c>
      <c r="D1088">
        <v>57.34</v>
      </c>
      <c r="E1088">
        <v>0</v>
      </c>
      <c r="F1088" t="s">
        <v>3182</v>
      </c>
      <c r="G1088" t="s">
        <v>3182</v>
      </c>
      <c r="H1088">
        <v>0.510000005364418</v>
      </c>
      <c r="I1088">
        <v>0</v>
      </c>
      <c r="J1088">
        <v>0</v>
      </c>
      <c r="K1088">
        <v>0.2849162041142</v>
      </c>
    </row>
    <row r="1089" spans="1:14">
      <c r="A1089" s="1" t="s">
        <v>1101</v>
      </c>
      <c r="B1089">
        <f>HYPERLINK("https://www.suredividend.com/sure-analysis-research-database/","Full House Resorts, Inc.")</f>
        <v>0</v>
      </c>
      <c r="C1089" t="s">
        <v>3186</v>
      </c>
      <c r="D1089">
        <v>3.75</v>
      </c>
      <c r="E1089">
        <v>0</v>
      </c>
      <c r="F1089" t="s">
        <v>3182</v>
      </c>
      <c r="G1089" t="s">
        <v>3182</v>
      </c>
      <c r="H1089">
        <v>0</v>
      </c>
      <c r="I1089">
        <v>129.66633</v>
      </c>
      <c r="J1089">
        <v>0</v>
      </c>
      <c r="K1089" t="s">
        <v>3182</v>
      </c>
      <c r="L1089">
        <v>1.548765145101168</v>
      </c>
      <c r="M1089">
        <v>10.13</v>
      </c>
      <c r="N1089">
        <v>3.4</v>
      </c>
    </row>
    <row r="1090" spans="1:14">
      <c r="A1090" s="1" t="s">
        <v>1102</v>
      </c>
      <c r="B1090">
        <f>HYPERLINK("https://www.suredividend.com/sure-analysis-research-database/","Fluent Inc")</f>
        <v>0</v>
      </c>
      <c r="C1090" t="s">
        <v>3191</v>
      </c>
      <c r="D1090">
        <v>0.5191</v>
      </c>
      <c r="E1090">
        <v>0</v>
      </c>
      <c r="F1090" t="s">
        <v>3182</v>
      </c>
      <c r="G1090" t="s">
        <v>3182</v>
      </c>
      <c r="H1090">
        <v>0</v>
      </c>
      <c r="I1090">
        <v>42.123922</v>
      </c>
      <c r="J1090">
        <v>0</v>
      </c>
      <c r="K1090" t="s">
        <v>3182</v>
      </c>
      <c r="L1090">
        <v>0.662878171598556</v>
      </c>
      <c r="M1090">
        <v>1.81</v>
      </c>
      <c r="N1090">
        <v>0.391</v>
      </c>
    </row>
    <row r="1091" spans="1:14">
      <c r="A1091" s="1" t="s">
        <v>1103</v>
      </c>
      <c r="B1091">
        <f>HYPERLINK("https://www.suredividend.com/sure-analysis-FLO/","Flowers Foods, Inc.")</f>
        <v>0</v>
      </c>
      <c r="C1091" t="s">
        <v>3188</v>
      </c>
      <c r="D1091">
        <v>22.29</v>
      </c>
      <c r="E1091">
        <v>0.04127411395244505</v>
      </c>
      <c r="F1091">
        <v>0.04545454545454541</v>
      </c>
      <c r="G1091">
        <v>0.05024607263868264</v>
      </c>
      <c r="H1091">
        <v>0.8877350500458721</v>
      </c>
      <c r="I1091">
        <v>4710.31852</v>
      </c>
      <c r="J1091">
        <v>21.06629629607102</v>
      </c>
      <c r="K1091">
        <v>0.8454619524246401</v>
      </c>
      <c r="L1091">
        <v>0.340428798383364</v>
      </c>
      <c r="M1091">
        <v>29.36</v>
      </c>
      <c r="N1091">
        <v>20.24</v>
      </c>
    </row>
    <row r="1092" spans="1:14">
      <c r="A1092" s="1" t="s">
        <v>1104</v>
      </c>
      <c r="B1092">
        <f>HYPERLINK("https://www.suredividend.com/sure-analysis-research-database/","Global X Funds")</f>
        <v>0</v>
      </c>
      <c r="C1092" t="s">
        <v>3183</v>
      </c>
      <c r="D1092">
        <v>26.0995</v>
      </c>
      <c r="E1092">
        <v>0.001570911363531</v>
      </c>
      <c r="F1092" t="s">
        <v>3182</v>
      </c>
      <c r="G1092" t="s">
        <v>3182</v>
      </c>
      <c r="H1092">
        <v>0.041000001132488</v>
      </c>
      <c r="I1092">
        <v>3.65393</v>
      </c>
      <c r="J1092">
        <v>0</v>
      </c>
      <c r="K1092" t="s">
        <v>3182</v>
      </c>
      <c r="L1092">
        <v>0.511046321209784</v>
      </c>
      <c r="M1092">
        <v>27.45</v>
      </c>
      <c r="N1092">
        <v>25</v>
      </c>
    </row>
    <row r="1093" spans="1:14">
      <c r="A1093" s="1" t="s">
        <v>1105</v>
      </c>
      <c r="B1093">
        <f>HYPERLINK("https://www.suredividend.com/sure-analysis-research-database/","Fluor Corporation")</f>
        <v>0</v>
      </c>
      <c r="C1093" t="s">
        <v>3183</v>
      </c>
      <c r="D1093">
        <v>34.63</v>
      </c>
      <c r="E1093">
        <v>0</v>
      </c>
      <c r="F1093" t="s">
        <v>3182</v>
      </c>
      <c r="G1093" t="s">
        <v>3182</v>
      </c>
      <c r="H1093">
        <v>0</v>
      </c>
      <c r="I1093">
        <v>4964.845753</v>
      </c>
      <c r="J1093" t="s">
        <v>3182</v>
      </c>
      <c r="K1093">
        <v>-0</v>
      </c>
      <c r="L1093">
        <v>1.084855669675156</v>
      </c>
      <c r="M1093">
        <v>38.87</v>
      </c>
      <c r="N1093">
        <v>25.69</v>
      </c>
    </row>
    <row r="1094" spans="1:14">
      <c r="A1094" s="1" t="s">
        <v>1106</v>
      </c>
      <c r="B1094">
        <f>HYPERLINK("https://www.suredividend.com/sure-analysis-research-database/","Flowserve Corp.")</f>
        <v>0</v>
      </c>
      <c r="C1094" t="s">
        <v>3183</v>
      </c>
      <c r="D1094">
        <v>37.18</v>
      </c>
      <c r="E1094">
        <v>0.021341998415353</v>
      </c>
      <c r="F1094">
        <v>0</v>
      </c>
      <c r="G1094">
        <v>0.01031145931793609</v>
      </c>
      <c r="H1094">
        <v>0.7934955010828341</v>
      </c>
      <c r="I1094">
        <v>4878.336901</v>
      </c>
      <c r="J1094">
        <v>19.87450714618039</v>
      </c>
      <c r="K1094">
        <v>0.4266104844531366</v>
      </c>
      <c r="L1094">
        <v>1.068455146886775</v>
      </c>
      <c r="M1094">
        <v>40.97</v>
      </c>
      <c r="N1094">
        <v>28.18</v>
      </c>
    </row>
    <row r="1095" spans="1:14">
      <c r="A1095" s="1" t="s">
        <v>1107</v>
      </c>
      <c r="B1095">
        <f>HYPERLINK("https://www.suredividend.com/sure-analysis-research-database/","Fleetcor Technologies Inc")</f>
        <v>0</v>
      </c>
      <c r="C1095" t="s">
        <v>3185</v>
      </c>
      <c r="D1095">
        <v>236.66</v>
      </c>
      <c r="E1095">
        <v>0</v>
      </c>
      <c r="F1095" t="s">
        <v>3182</v>
      </c>
      <c r="G1095" t="s">
        <v>3182</v>
      </c>
      <c r="H1095">
        <v>0</v>
      </c>
      <c r="I1095">
        <v>17512.84</v>
      </c>
      <c r="J1095">
        <v>18.85653804451402</v>
      </c>
      <c r="K1095">
        <v>0</v>
      </c>
      <c r="L1095">
        <v>1.343195344629328</v>
      </c>
      <c r="M1095">
        <v>278.35</v>
      </c>
      <c r="N1095">
        <v>174.19</v>
      </c>
    </row>
    <row r="1096" spans="1:14">
      <c r="A1096" s="1" t="s">
        <v>1108</v>
      </c>
      <c r="B1096">
        <f>HYPERLINK("https://www.suredividend.com/sure-analysis-research-database/","1-800 Flowers.com Inc.")</f>
        <v>0</v>
      </c>
      <c r="C1096" t="s">
        <v>3186</v>
      </c>
      <c r="D1096">
        <v>8.640000000000001</v>
      </c>
      <c r="E1096">
        <v>0</v>
      </c>
      <c r="F1096" t="s">
        <v>3182</v>
      </c>
      <c r="G1096" t="s">
        <v>3182</v>
      </c>
      <c r="H1096">
        <v>0</v>
      </c>
      <c r="I1096">
        <v>326.014753</v>
      </c>
      <c r="J1096" t="s">
        <v>3182</v>
      </c>
      <c r="K1096">
        <v>-0</v>
      </c>
      <c r="L1096">
        <v>2.045601207257057</v>
      </c>
      <c r="M1096">
        <v>13.29</v>
      </c>
      <c r="N1096">
        <v>5.98</v>
      </c>
    </row>
    <row r="1097" spans="1:14">
      <c r="A1097" s="1" t="s">
        <v>1109</v>
      </c>
      <c r="B1097">
        <f>HYPERLINK("https://www.suredividend.com/sure-analysis-research-database/","Flexion Therapeutics Inc")</f>
        <v>0</v>
      </c>
      <c r="C1097" t="s">
        <v>3180</v>
      </c>
      <c r="D1097">
        <v>9.119999999999999</v>
      </c>
      <c r="E1097">
        <v>0</v>
      </c>
      <c r="F1097" t="s">
        <v>3182</v>
      </c>
      <c r="G1097" t="s">
        <v>3182</v>
      </c>
      <c r="H1097">
        <v>0</v>
      </c>
      <c r="I1097">
        <v>0</v>
      </c>
      <c r="J1097">
        <v>0</v>
      </c>
      <c r="K1097">
        <v>-0</v>
      </c>
    </row>
    <row r="1098" spans="1:14">
      <c r="A1098" s="1" t="s">
        <v>1110</v>
      </c>
      <c r="B1098">
        <f>HYPERLINK("https://www.suredividend.com/sure-analysis-research-database/","Flexsteel Industries, Inc.")</f>
        <v>0</v>
      </c>
      <c r="C1098" t="s">
        <v>3186</v>
      </c>
      <c r="D1098">
        <v>19.84</v>
      </c>
      <c r="E1098">
        <v>0.029742404096099</v>
      </c>
      <c r="F1098">
        <v>0</v>
      </c>
      <c r="G1098">
        <v>-0.07373828108439318</v>
      </c>
      <c r="H1098">
        <v>0.5900892972666081</v>
      </c>
      <c r="I1098">
        <v>103.14074</v>
      </c>
      <c r="J1098">
        <v>6.979343608066044</v>
      </c>
      <c r="K1098">
        <v>0.2153610573965723</v>
      </c>
      <c r="L1098">
        <v>0.224912115078844</v>
      </c>
      <c r="M1098">
        <v>24.6</v>
      </c>
      <c r="N1098">
        <v>13.37</v>
      </c>
    </row>
    <row r="1099" spans="1:14">
      <c r="A1099" s="1" t="s">
        <v>1111</v>
      </c>
      <c r="B1099">
        <f>HYPERLINK("https://www.suredividend.com/sure-analysis-FMAO/","Farmers &amp; Merchants Bancorp Inc.")</f>
        <v>0</v>
      </c>
      <c r="C1099" t="s">
        <v>3184</v>
      </c>
      <c r="D1099">
        <v>17.77</v>
      </c>
      <c r="E1099">
        <v>0.04727068092290377</v>
      </c>
      <c r="F1099">
        <v>0</v>
      </c>
      <c r="G1099">
        <v>0.06961037572506878</v>
      </c>
      <c r="H1099">
        <v>0.816059624395379</v>
      </c>
      <c r="I1099">
        <v>242.286042</v>
      </c>
      <c r="J1099">
        <v>0</v>
      </c>
      <c r="K1099" t="s">
        <v>3182</v>
      </c>
      <c r="L1099">
        <v>1.044369183387571</v>
      </c>
      <c r="M1099">
        <v>29.07</v>
      </c>
      <c r="N1099">
        <v>16.61</v>
      </c>
    </row>
    <row r="1100" spans="1:14">
      <c r="A1100" s="1" t="s">
        <v>1112</v>
      </c>
      <c r="B1100">
        <f>HYPERLINK("https://www.suredividend.com/sure-analysis-FMBH/","First Mid Bancshares Inc.")</f>
        <v>0</v>
      </c>
      <c r="C1100" t="s">
        <v>3184</v>
      </c>
      <c r="D1100">
        <v>29.07</v>
      </c>
      <c r="E1100">
        <v>0.03164774681802546</v>
      </c>
      <c r="F1100" t="s">
        <v>3182</v>
      </c>
      <c r="G1100" t="s">
        <v>3182</v>
      </c>
      <c r="H1100">
        <v>0.8987674085496621</v>
      </c>
      <c r="I1100">
        <v>597.092451</v>
      </c>
      <c r="J1100">
        <v>0</v>
      </c>
      <c r="K1100" t="s">
        <v>3182</v>
      </c>
      <c r="L1100">
        <v>0.9584930587378561</v>
      </c>
      <c r="M1100">
        <v>34.35</v>
      </c>
      <c r="N1100">
        <v>21.01</v>
      </c>
    </row>
    <row r="1101" spans="1:14">
      <c r="A1101" s="1" t="s">
        <v>1113</v>
      </c>
      <c r="B1101">
        <f>HYPERLINK("https://www.suredividend.com/sure-analysis-research-database/","First Midwest Bancorp, Inc.")</f>
        <v>0</v>
      </c>
      <c r="C1101" t="s">
        <v>3184</v>
      </c>
      <c r="D1101">
        <v>21.51</v>
      </c>
      <c r="E1101">
        <v>0</v>
      </c>
      <c r="F1101" t="s">
        <v>3182</v>
      </c>
      <c r="G1101" t="s">
        <v>3182</v>
      </c>
      <c r="H1101">
        <v>0.560000002384185</v>
      </c>
      <c r="I1101">
        <v>0</v>
      </c>
      <c r="J1101">
        <v>0</v>
      </c>
      <c r="K1101">
        <v>0.3660130734537157</v>
      </c>
    </row>
    <row r="1102" spans="1:14">
      <c r="A1102" s="1" t="s">
        <v>1114</v>
      </c>
      <c r="B1102">
        <f>HYPERLINK("https://www.suredividend.com/sure-analysis-FMC/","FMC Corp.")</f>
        <v>0</v>
      </c>
      <c r="C1102" t="s">
        <v>3181</v>
      </c>
      <c r="D1102">
        <v>54.69</v>
      </c>
      <c r="E1102">
        <v>0.04242091790089596</v>
      </c>
      <c r="F1102">
        <v>0.09433962264150941</v>
      </c>
      <c r="G1102">
        <v>0.07714358779274311</v>
      </c>
      <c r="H1102">
        <v>2.295554127676205</v>
      </c>
      <c r="I1102">
        <v>6821.677029</v>
      </c>
      <c r="J1102">
        <v>11.00447980182287</v>
      </c>
      <c r="K1102">
        <v>0.467526298915724</v>
      </c>
      <c r="L1102">
        <v>0.60247830411434</v>
      </c>
      <c r="M1102">
        <v>131.21</v>
      </c>
      <c r="N1102">
        <v>49.7</v>
      </c>
    </row>
    <row r="1103" spans="1:14">
      <c r="A1103" s="1" t="s">
        <v>1115</v>
      </c>
      <c r="B1103">
        <f>HYPERLINK("https://www.suredividend.com/sure-analysis-research-database/","Farmers National Banc Corp.")</f>
        <v>0</v>
      </c>
      <c r="C1103" t="s">
        <v>3184</v>
      </c>
      <c r="D1103">
        <v>11.74</v>
      </c>
      <c r="E1103">
        <v>0.055837284546331</v>
      </c>
      <c r="F1103">
        <v>0.0625</v>
      </c>
      <c r="G1103">
        <v>0.1627110152194982</v>
      </c>
      <c r="H1103">
        <v>0.6555297205739361</v>
      </c>
      <c r="I1103">
        <v>440.105363</v>
      </c>
      <c r="J1103">
        <v>0</v>
      </c>
      <c r="K1103" t="s">
        <v>3182</v>
      </c>
      <c r="L1103">
        <v>0.9467560200091981</v>
      </c>
      <c r="M1103">
        <v>14.31</v>
      </c>
      <c r="N1103">
        <v>10.25</v>
      </c>
    </row>
    <row r="1104" spans="1:14">
      <c r="A1104" s="1" t="s">
        <v>1116</v>
      </c>
      <c r="B1104">
        <f>HYPERLINK("https://www.suredividend.com/sure-analysis-research-database/","Fabrinet")</f>
        <v>0</v>
      </c>
      <c r="C1104" t="s">
        <v>3185</v>
      </c>
      <c r="D1104">
        <v>155.21</v>
      </c>
      <c r="E1104">
        <v>0</v>
      </c>
      <c r="F1104" t="s">
        <v>3182</v>
      </c>
      <c r="G1104" t="s">
        <v>3182</v>
      </c>
      <c r="H1104">
        <v>0</v>
      </c>
      <c r="I1104">
        <v>5638.91247</v>
      </c>
      <c r="J1104">
        <v>22.7455295614994</v>
      </c>
      <c r="K1104">
        <v>0</v>
      </c>
      <c r="L1104">
        <v>1.143874776788081</v>
      </c>
      <c r="M1104">
        <v>183.74</v>
      </c>
      <c r="N1104">
        <v>90.19</v>
      </c>
    </row>
    <row r="1105" spans="1:14">
      <c r="A1105" s="1" t="s">
        <v>1117</v>
      </c>
      <c r="B1105">
        <f>HYPERLINK("https://www.suredividend.com/sure-analysis-research-database/","F.N.B. Corp.")</f>
        <v>0</v>
      </c>
      <c r="C1105" t="s">
        <v>3184</v>
      </c>
      <c r="D1105">
        <v>11.2</v>
      </c>
      <c r="E1105">
        <v>0.042206171437499</v>
      </c>
      <c r="F1105">
        <v>0</v>
      </c>
      <c r="G1105">
        <v>0</v>
      </c>
      <c r="H1105">
        <v>0.4727091200999911</v>
      </c>
      <c r="I1105">
        <v>4018.790362</v>
      </c>
      <c r="J1105">
        <v>7.202133264516128</v>
      </c>
      <c r="K1105">
        <v>0.3049736258709619</v>
      </c>
      <c r="L1105">
        <v>1.031044600057934</v>
      </c>
      <c r="M1105">
        <v>14.25</v>
      </c>
      <c r="N1105">
        <v>9.880000000000001</v>
      </c>
    </row>
    <row r="1106" spans="1:14">
      <c r="A1106" s="1" t="s">
        <v>1118</v>
      </c>
      <c r="B1106">
        <f>HYPERLINK("https://www.suredividend.com/sure-analysis-research-database/","FNCB Bancorp Inc")</f>
        <v>0</v>
      </c>
      <c r="C1106" t="s">
        <v>3184</v>
      </c>
      <c r="D1106">
        <v>5.65</v>
      </c>
      <c r="E1106">
        <v>0.061140867700063</v>
      </c>
      <c r="F1106">
        <v>0</v>
      </c>
      <c r="G1106">
        <v>0.1247461131420948</v>
      </c>
      <c r="H1106">
        <v>0.345445902505356</v>
      </c>
      <c r="I1106">
        <v>111.743519</v>
      </c>
      <c r="J1106">
        <v>0</v>
      </c>
      <c r="K1106" t="s">
        <v>3182</v>
      </c>
      <c r="L1106">
        <v>0.377588596120897</v>
      </c>
      <c r="M1106">
        <v>8.359999999999999</v>
      </c>
      <c r="N1106">
        <v>5.18</v>
      </c>
    </row>
    <row r="1107" spans="1:14">
      <c r="A1107" s="1" t="s">
        <v>1119</v>
      </c>
      <c r="B1107">
        <f>HYPERLINK("https://www.suredividend.com/sure-analysis-research-database/","Floor &amp; Decor Holdings Inc")</f>
        <v>0</v>
      </c>
      <c r="C1107" t="s">
        <v>3186</v>
      </c>
      <c r="D1107">
        <v>84.92</v>
      </c>
      <c r="E1107">
        <v>0</v>
      </c>
      <c r="F1107" t="s">
        <v>3182</v>
      </c>
      <c r="G1107" t="s">
        <v>3182</v>
      </c>
      <c r="H1107">
        <v>0</v>
      </c>
      <c r="I1107">
        <v>9039.103724000001</v>
      </c>
      <c r="J1107">
        <v>31.34355009140464</v>
      </c>
      <c r="K1107">
        <v>0</v>
      </c>
      <c r="L1107">
        <v>1.69402984168343</v>
      </c>
      <c r="M1107">
        <v>116.03</v>
      </c>
      <c r="N1107">
        <v>65.14</v>
      </c>
    </row>
    <row r="1108" spans="1:14">
      <c r="A1108" s="1" t="s">
        <v>1120</v>
      </c>
      <c r="B1108">
        <f>HYPERLINK("https://www.suredividend.com/sure-analysis-FNF/","Fidelity National Financial Inc")</f>
        <v>0</v>
      </c>
      <c r="C1108" t="s">
        <v>3184</v>
      </c>
      <c r="D1108">
        <v>41.58</v>
      </c>
      <c r="E1108">
        <v>0.0432900432900433</v>
      </c>
      <c r="F1108">
        <v>0.02272727272727271</v>
      </c>
      <c r="G1108">
        <v>0.08447177119769855</v>
      </c>
      <c r="H1108">
        <v>1.76828107117556</v>
      </c>
      <c r="I1108">
        <v>11317.00914</v>
      </c>
      <c r="J1108">
        <v>21.88976622893617</v>
      </c>
      <c r="K1108">
        <v>0.9114850882348248</v>
      </c>
      <c r="L1108">
        <v>0.9918757695141951</v>
      </c>
      <c r="M1108">
        <v>43.85</v>
      </c>
      <c r="N1108">
        <v>31.09</v>
      </c>
    </row>
    <row r="1109" spans="1:14">
      <c r="A1109" s="1" t="s">
        <v>1121</v>
      </c>
      <c r="B1109">
        <f>HYPERLINK("https://www.suredividend.com/sure-analysis-research-database/","FedNat Holding Co")</f>
        <v>0</v>
      </c>
      <c r="C1109" t="s">
        <v>3184</v>
      </c>
      <c r="D1109">
        <v>0.2</v>
      </c>
      <c r="E1109">
        <v>0</v>
      </c>
      <c r="F1109" t="s">
        <v>3182</v>
      </c>
      <c r="G1109" t="s">
        <v>3182</v>
      </c>
      <c r="H1109">
        <v>0</v>
      </c>
      <c r="I1109">
        <v>0</v>
      </c>
      <c r="J1109">
        <v>0</v>
      </c>
      <c r="K1109" t="s">
        <v>3182</v>
      </c>
    </row>
    <row r="1110" spans="1:14">
      <c r="A1110" s="1" t="s">
        <v>1122</v>
      </c>
      <c r="B1110">
        <f>HYPERLINK("https://www.suredividend.com/sure-analysis-research-database/","Funko Inc")</f>
        <v>0</v>
      </c>
      <c r="C1110" t="s">
        <v>3186</v>
      </c>
      <c r="D1110">
        <v>7.51</v>
      </c>
      <c r="E1110">
        <v>0</v>
      </c>
      <c r="F1110" t="s">
        <v>3182</v>
      </c>
      <c r="G1110" t="s">
        <v>3182</v>
      </c>
      <c r="H1110">
        <v>0</v>
      </c>
      <c r="I1110">
        <v>364.295027</v>
      </c>
      <c r="J1110" t="s">
        <v>3182</v>
      </c>
      <c r="K1110">
        <v>-0</v>
      </c>
      <c r="L1110">
        <v>1.442703346768701</v>
      </c>
      <c r="M1110">
        <v>13.42</v>
      </c>
      <c r="N1110">
        <v>5.27</v>
      </c>
    </row>
    <row r="1111" spans="1:14">
      <c r="A1111" s="1" t="s">
        <v>1123</v>
      </c>
      <c r="B1111">
        <f>HYPERLINK("https://www.suredividend.com/sure-analysis-research-database/","First Bancorp Inc (ME)")</f>
        <v>0</v>
      </c>
      <c r="C1111" t="s">
        <v>3184</v>
      </c>
      <c r="D1111">
        <v>24.05</v>
      </c>
      <c r="E1111">
        <v>0.06800572289112901</v>
      </c>
      <c r="F1111">
        <v>0.02941176470588247</v>
      </c>
      <c r="G1111">
        <v>0.0383266700886169</v>
      </c>
      <c r="H1111">
        <v>1.635537635531672</v>
      </c>
      <c r="I1111">
        <v>266.618468</v>
      </c>
      <c r="J1111">
        <v>7.693950548293077</v>
      </c>
      <c r="K1111">
        <v>0.5225359857928664</v>
      </c>
      <c r="L1111">
        <v>0.7036844841877541</v>
      </c>
      <c r="M1111">
        <v>29.13</v>
      </c>
      <c r="N1111">
        <v>21.23</v>
      </c>
    </row>
    <row r="1112" spans="1:14">
      <c r="A1112" s="1" t="s">
        <v>1124</v>
      </c>
      <c r="B1112">
        <f>HYPERLINK("https://www.suredividend.com/sure-analysis-research-database/","First Northwest Bancorp")</f>
        <v>0</v>
      </c>
      <c r="C1112" t="s">
        <v>3184</v>
      </c>
      <c r="D1112">
        <v>12.75</v>
      </c>
      <c r="E1112">
        <v>0.021615281549873</v>
      </c>
      <c r="F1112">
        <v>0</v>
      </c>
      <c r="G1112">
        <v>0.1846644525422441</v>
      </c>
      <c r="H1112">
        <v>0.27559483976089</v>
      </c>
      <c r="I1112">
        <v>122.803946</v>
      </c>
      <c r="J1112">
        <v>0</v>
      </c>
      <c r="K1112" t="s">
        <v>3182</v>
      </c>
      <c r="L1112">
        <v>0.5065936452402611</v>
      </c>
      <c r="M1112">
        <v>15.54</v>
      </c>
      <c r="N1112">
        <v>9.699999999999999</v>
      </c>
    </row>
    <row r="1113" spans="1:14">
      <c r="A1113" s="1" t="s">
        <v>1125</v>
      </c>
      <c r="B1113">
        <f>HYPERLINK("https://www.suredividend.com/sure-analysis-research-database/","Focus Financial Partners Inc")</f>
        <v>0</v>
      </c>
      <c r="C1113" t="s">
        <v>3184</v>
      </c>
      <c r="D1113">
        <v>52.99</v>
      </c>
      <c r="E1113">
        <v>0</v>
      </c>
      <c r="F1113" t="s">
        <v>3182</v>
      </c>
      <c r="G1113" t="s">
        <v>3182</v>
      </c>
      <c r="H1113">
        <v>0</v>
      </c>
      <c r="I1113">
        <v>0</v>
      </c>
      <c r="J1113">
        <v>0</v>
      </c>
      <c r="K1113" t="s">
        <v>3182</v>
      </c>
    </row>
    <row r="1114" spans="1:14">
      <c r="A1114" s="1" t="s">
        <v>1126</v>
      </c>
      <c r="B1114">
        <f>HYPERLINK("https://www.suredividend.com/sure-analysis-research-database/","Ferro Corp.")</f>
        <v>0</v>
      </c>
      <c r="C1114" t="s">
        <v>3181</v>
      </c>
      <c r="D1114">
        <v>22.01</v>
      </c>
      <c r="E1114">
        <v>0</v>
      </c>
      <c r="F1114" t="s">
        <v>3182</v>
      </c>
      <c r="G1114" t="s">
        <v>3182</v>
      </c>
      <c r="H1114">
        <v>0</v>
      </c>
      <c r="I1114">
        <v>1843.420852</v>
      </c>
      <c r="J1114">
        <v>12.38600057696313</v>
      </c>
      <c r="K1114">
        <v>0</v>
      </c>
      <c r="L1114">
        <v>0.026447467881769</v>
      </c>
      <c r="M1114">
        <v>22.1</v>
      </c>
      <c r="N1114">
        <v>16.63</v>
      </c>
    </row>
    <row r="1115" spans="1:14">
      <c r="A1115" s="1" t="s">
        <v>1127</v>
      </c>
      <c r="B1115">
        <f>HYPERLINK("https://www.suredividend.com/sure-analysis-research-database/","Amicus Therapeutics Inc")</f>
        <v>0</v>
      </c>
      <c r="C1115" t="s">
        <v>3180</v>
      </c>
      <c r="D1115">
        <v>10.93</v>
      </c>
      <c r="E1115">
        <v>0</v>
      </c>
      <c r="F1115" t="s">
        <v>3182</v>
      </c>
      <c r="G1115" t="s">
        <v>3182</v>
      </c>
      <c r="H1115">
        <v>0</v>
      </c>
      <c r="I1115">
        <v>3138.231841</v>
      </c>
      <c r="J1115" t="s">
        <v>3182</v>
      </c>
      <c r="K1115">
        <v>-0</v>
      </c>
      <c r="L1115">
        <v>0.7377690507175451</v>
      </c>
      <c r="M1115">
        <v>14.1</v>
      </c>
      <c r="N1115">
        <v>9.1</v>
      </c>
    </row>
    <row r="1116" spans="1:14">
      <c r="A1116" s="1" t="s">
        <v>1128</v>
      </c>
      <c r="B1116">
        <f>HYPERLINK("https://www.suredividend.com/sure-analysis-research-database/","Fonar Corp.")</f>
        <v>0</v>
      </c>
      <c r="C1116" t="s">
        <v>3180</v>
      </c>
      <c r="D1116">
        <v>13.91</v>
      </c>
      <c r="E1116">
        <v>0</v>
      </c>
      <c r="F1116" t="s">
        <v>3182</v>
      </c>
      <c r="G1116" t="s">
        <v>3182</v>
      </c>
      <c r="H1116">
        <v>0</v>
      </c>
      <c r="I1116">
        <v>89.731769</v>
      </c>
      <c r="J1116">
        <v>9.72213094118514</v>
      </c>
      <c r="K1116">
        <v>0</v>
      </c>
      <c r="L1116">
        <v>0.446177145500619</v>
      </c>
      <c r="M1116">
        <v>19</v>
      </c>
      <c r="N1116">
        <v>12.13</v>
      </c>
    </row>
    <row r="1117" spans="1:14">
      <c r="A1117" s="1" t="s">
        <v>1129</v>
      </c>
      <c r="B1117">
        <f>HYPERLINK("https://www.suredividend.com/sure-analysis-research-database/","Forestar Group Inc")</f>
        <v>0</v>
      </c>
      <c r="C1117" t="s">
        <v>3187</v>
      </c>
      <c r="D1117">
        <v>25.15</v>
      </c>
      <c r="E1117">
        <v>0</v>
      </c>
      <c r="F1117" t="s">
        <v>3182</v>
      </c>
      <c r="G1117" t="s">
        <v>3182</v>
      </c>
      <c r="H1117">
        <v>0</v>
      </c>
      <c r="I1117">
        <v>1255.078382</v>
      </c>
      <c r="J1117">
        <v>8.637841582587749</v>
      </c>
      <c r="K1117">
        <v>0</v>
      </c>
      <c r="L1117">
        <v>0.880868609612644</v>
      </c>
      <c r="M1117">
        <v>31.43</v>
      </c>
      <c r="N1117">
        <v>11.05</v>
      </c>
    </row>
    <row r="1118" spans="1:14">
      <c r="A1118" s="1" t="s">
        <v>1130</v>
      </c>
      <c r="B1118">
        <f>HYPERLINK("https://www.suredividend.com/sure-analysis-research-database/","Forward Industries, Inc.")</f>
        <v>0</v>
      </c>
      <c r="C1118" t="s">
        <v>3186</v>
      </c>
      <c r="D1118">
        <v>0.6926</v>
      </c>
      <c r="E1118">
        <v>0</v>
      </c>
      <c r="F1118" t="s">
        <v>3182</v>
      </c>
      <c r="G1118" t="s">
        <v>3182</v>
      </c>
      <c r="H1118">
        <v>0</v>
      </c>
      <c r="I1118">
        <v>6.968377</v>
      </c>
      <c r="J1118">
        <v>0</v>
      </c>
      <c r="K1118" t="s">
        <v>3182</v>
      </c>
      <c r="L1118">
        <v>0.284042616615351</v>
      </c>
      <c r="M1118">
        <v>1.36</v>
      </c>
      <c r="N1118">
        <v>0.6850000000000001</v>
      </c>
    </row>
    <row r="1119" spans="1:14">
      <c r="A1119" s="1" t="s">
        <v>1131</v>
      </c>
      <c r="B1119">
        <f>HYPERLINK("https://www.suredividend.com/sure-analysis-research-database/","FormFactor Inc.")</f>
        <v>0</v>
      </c>
      <c r="C1119" t="s">
        <v>3185</v>
      </c>
      <c r="D1119">
        <v>33.13</v>
      </c>
      <c r="E1119">
        <v>0</v>
      </c>
      <c r="F1119" t="s">
        <v>3182</v>
      </c>
      <c r="G1119" t="s">
        <v>3182</v>
      </c>
      <c r="H1119">
        <v>0</v>
      </c>
      <c r="I1119">
        <v>2572.755472</v>
      </c>
      <c r="J1119" t="s">
        <v>3182</v>
      </c>
      <c r="K1119">
        <v>-0</v>
      </c>
      <c r="L1119">
        <v>1.561837718760018</v>
      </c>
      <c r="M1119">
        <v>37.74</v>
      </c>
      <c r="N1119">
        <v>18.46</v>
      </c>
    </row>
    <row r="1120" spans="1:14">
      <c r="A1120" s="1" t="s">
        <v>1132</v>
      </c>
      <c r="B1120">
        <f>HYPERLINK("https://www.suredividend.com/sure-analysis-research-database/","Forrester Research Inc.")</f>
        <v>0</v>
      </c>
      <c r="C1120" t="s">
        <v>3183</v>
      </c>
      <c r="D1120">
        <v>22.98</v>
      </c>
      <c r="E1120">
        <v>0</v>
      </c>
      <c r="F1120" t="s">
        <v>3182</v>
      </c>
      <c r="G1120" t="s">
        <v>3182</v>
      </c>
      <c r="H1120">
        <v>0</v>
      </c>
      <c r="I1120">
        <v>443.428905</v>
      </c>
      <c r="J1120">
        <v>88.45579594254939</v>
      </c>
      <c r="K1120">
        <v>0</v>
      </c>
      <c r="L1120">
        <v>0.8257496355855901</v>
      </c>
      <c r="M1120">
        <v>39.09</v>
      </c>
      <c r="N1120">
        <v>22.27</v>
      </c>
    </row>
    <row r="1121" spans="1:14">
      <c r="A1121" s="1" t="s">
        <v>1133</v>
      </c>
      <c r="B1121">
        <f>HYPERLINK("https://www.suredividend.com/sure-analysis-research-database/","Fossil Group Inc")</f>
        <v>0</v>
      </c>
      <c r="C1121" t="s">
        <v>3186</v>
      </c>
      <c r="D1121">
        <v>1.54</v>
      </c>
      <c r="E1121">
        <v>0</v>
      </c>
      <c r="F1121" t="s">
        <v>3182</v>
      </c>
      <c r="G1121" t="s">
        <v>3182</v>
      </c>
      <c r="H1121">
        <v>0</v>
      </c>
      <c r="I1121">
        <v>80.79539</v>
      </c>
      <c r="J1121" t="s">
        <v>3182</v>
      </c>
      <c r="K1121">
        <v>-0</v>
      </c>
      <c r="L1121">
        <v>2.196686988080619</v>
      </c>
      <c r="M1121">
        <v>6.08</v>
      </c>
      <c r="N1121">
        <v>1.43</v>
      </c>
    </row>
    <row r="1122" spans="1:14">
      <c r="A1122" s="1" t="s">
        <v>1134</v>
      </c>
      <c r="B1122">
        <f>HYPERLINK("https://www.suredividend.com/sure-analysis-research-database/","Fox Corporation")</f>
        <v>0</v>
      </c>
      <c r="C1122" t="s">
        <v>3191</v>
      </c>
      <c r="D1122">
        <v>28.45</v>
      </c>
      <c r="E1122">
        <v>0.017851091611765</v>
      </c>
      <c r="F1122" t="s">
        <v>3182</v>
      </c>
      <c r="G1122" t="s">
        <v>3182</v>
      </c>
      <c r="H1122">
        <v>0.507863556354729</v>
      </c>
      <c r="I1122">
        <v>14553.799002</v>
      </c>
      <c r="J1122">
        <v>11.7464075882163</v>
      </c>
      <c r="K1122">
        <v>0.2179671915685532</v>
      </c>
      <c r="L1122">
        <v>0.812807426267473</v>
      </c>
      <c r="M1122">
        <v>33.87</v>
      </c>
      <c r="N1122">
        <v>25.93</v>
      </c>
    </row>
    <row r="1123" spans="1:14">
      <c r="A1123" s="1" t="s">
        <v>1135</v>
      </c>
      <c r="B1123">
        <f>HYPERLINK("https://www.suredividend.com/sure-analysis-FOXA/","Fox Corporation")</f>
        <v>0</v>
      </c>
      <c r="C1123" t="s">
        <v>3191</v>
      </c>
      <c r="D1123">
        <v>30.95</v>
      </c>
      <c r="E1123">
        <v>0.01712439418416802</v>
      </c>
      <c r="F1123" t="s">
        <v>3182</v>
      </c>
      <c r="G1123" t="s">
        <v>3182</v>
      </c>
      <c r="H1123">
        <v>0.506049390805918</v>
      </c>
      <c r="I1123">
        <v>14553.799002</v>
      </c>
      <c r="J1123">
        <v>11.7464075882163</v>
      </c>
      <c r="K1123">
        <v>0.2171885797450292</v>
      </c>
      <c r="L1123">
        <v>0.790009574473121</v>
      </c>
      <c r="M1123">
        <v>36.41</v>
      </c>
      <c r="N1123">
        <v>27.43</v>
      </c>
    </row>
    <row r="1124" spans="1:14">
      <c r="A1124" s="1" t="s">
        <v>1136</v>
      </c>
      <c r="B1124">
        <f>HYPERLINK("https://www.suredividend.com/sure-analysis-research-database/","Fox Factory Holding Corp")</f>
        <v>0</v>
      </c>
      <c r="C1124" t="s">
        <v>3186</v>
      </c>
      <c r="D1124">
        <v>83.13</v>
      </c>
      <c r="E1124">
        <v>0</v>
      </c>
      <c r="F1124" t="s">
        <v>3182</v>
      </c>
      <c r="G1124" t="s">
        <v>3182</v>
      </c>
      <c r="H1124">
        <v>0</v>
      </c>
      <c r="I1124">
        <v>3522.018255</v>
      </c>
      <c r="J1124">
        <v>19.01409181718061</v>
      </c>
      <c r="K1124">
        <v>0</v>
      </c>
      <c r="L1124">
        <v>1.45473339230987</v>
      </c>
      <c r="M1124">
        <v>127.54</v>
      </c>
      <c r="N1124">
        <v>78.95999999999999</v>
      </c>
    </row>
    <row r="1125" spans="1:14">
      <c r="A1125" s="1" t="s">
        <v>1137</v>
      </c>
      <c r="B1125">
        <f>HYPERLINK("https://www.suredividend.com/sure-analysis-research-database/","Farmland Partners Inc")</f>
        <v>0</v>
      </c>
      <c r="C1125" t="s">
        <v>3187</v>
      </c>
      <c r="D1125">
        <v>11.01</v>
      </c>
      <c r="E1125">
        <v>0.021618102486033</v>
      </c>
      <c r="F1125">
        <v>0</v>
      </c>
      <c r="G1125">
        <v>0.03713728933664817</v>
      </c>
      <c r="H1125">
        <v>0.238015308371234</v>
      </c>
      <c r="I1125">
        <v>530.527298</v>
      </c>
      <c r="J1125">
        <v>0</v>
      </c>
      <c r="K1125" t="s">
        <v>3182</v>
      </c>
      <c r="L1125">
        <v>0.698814928812164</v>
      </c>
      <c r="M1125">
        <v>13.95</v>
      </c>
      <c r="N1125">
        <v>9.279999999999999</v>
      </c>
    </row>
    <row r="1126" spans="1:14">
      <c r="A1126" s="1" t="s">
        <v>1138</v>
      </c>
      <c r="B1126">
        <f>HYPERLINK("https://www.suredividend.com/sure-analysis-research-database/","Five Prime Therapeutics Inc")</f>
        <v>0</v>
      </c>
      <c r="C1126" t="s">
        <v>3180</v>
      </c>
      <c r="D1126">
        <v>38</v>
      </c>
      <c r="E1126">
        <v>0</v>
      </c>
      <c r="F1126" t="s">
        <v>3182</v>
      </c>
      <c r="G1126" t="s">
        <v>3182</v>
      </c>
      <c r="H1126">
        <v>0</v>
      </c>
      <c r="I1126">
        <v>0</v>
      </c>
      <c r="J1126">
        <v>0</v>
      </c>
      <c r="K1126" t="s">
        <v>3182</v>
      </c>
    </row>
    <row r="1127" spans="1:14">
      <c r="A1127" s="1" t="s">
        <v>1139</v>
      </c>
      <c r="B1127">
        <f>HYPERLINK("https://www.suredividend.com/sure-analysis-FR/","First Industrial Realty Trust, Inc.")</f>
        <v>0</v>
      </c>
      <c r="C1127" t="s">
        <v>3187</v>
      </c>
      <c r="D1127">
        <v>43.68</v>
      </c>
      <c r="E1127">
        <v>0.0293040293040293</v>
      </c>
      <c r="F1127">
        <v>0.0847457627118644</v>
      </c>
      <c r="G1127">
        <v>0.08028449641504309</v>
      </c>
      <c r="H1127">
        <v>1.243157479710215</v>
      </c>
      <c r="I1127">
        <v>5777.770821</v>
      </c>
      <c r="J1127">
        <v>21.50260259783179</v>
      </c>
      <c r="K1127">
        <v>0.615424494906047</v>
      </c>
      <c r="L1127">
        <v>1.027830389374884</v>
      </c>
      <c r="M1127">
        <v>54.85</v>
      </c>
      <c r="N1127">
        <v>40.44</v>
      </c>
    </row>
    <row r="1128" spans="1:14">
      <c r="A1128" s="1" t="s">
        <v>1140</v>
      </c>
      <c r="B1128">
        <f>HYPERLINK("https://www.suredividend.com/sure-analysis-research-database/","Franklin Financial Services Corp.")</f>
        <v>0</v>
      </c>
      <c r="C1128" t="s">
        <v>3184</v>
      </c>
      <c r="D1128">
        <v>31.9</v>
      </c>
      <c r="E1128">
        <v>0.038835245202214</v>
      </c>
      <c r="F1128">
        <v>0</v>
      </c>
      <c r="G1128">
        <v>0.03456371594357321</v>
      </c>
      <c r="H1128">
        <v>1.23884432195063</v>
      </c>
      <c r="I1128">
        <v>138.786979</v>
      </c>
      <c r="J1128">
        <v>0</v>
      </c>
      <c r="K1128" t="s">
        <v>3182</v>
      </c>
      <c r="M1128">
        <v>33.86</v>
      </c>
      <c r="N1128">
        <v>22.94</v>
      </c>
    </row>
    <row r="1129" spans="1:14">
      <c r="A1129" s="1" t="s">
        <v>1141</v>
      </c>
      <c r="B1129">
        <f>HYPERLINK("https://www.suredividend.com/sure-analysis-research-database/","Francesca`s Holdings Corp")</f>
        <v>0</v>
      </c>
      <c r="C1129" t="s">
        <v>3186</v>
      </c>
      <c r="D1129">
        <v>2.22</v>
      </c>
      <c r="E1129">
        <v>0</v>
      </c>
      <c r="F1129" t="s">
        <v>3182</v>
      </c>
      <c r="G1129" t="s">
        <v>3182</v>
      </c>
      <c r="H1129">
        <v>0</v>
      </c>
      <c r="I1129">
        <v>0</v>
      </c>
      <c r="J1129">
        <v>0</v>
      </c>
      <c r="K1129" t="s">
        <v>3182</v>
      </c>
    </row>
    <row r="1130" spans="1:14">
      <c r="A1130" s="1" t="s">
        <v>1142</v>
      </c>
      <c r="B1130">
        <f>HYPERLINK("https://www.suredividend.com/sure-analysis-research-database/","First Bank (NJ)")</f>
        <v>0</v>
      </c>
      <c r="C1130" t="s">
        <v>3184</v>
      </c>
      <c r="D1130">
        <v>11.77</v>
      </c>
      <c r="E1130">
        <v>0.020135916485353</v>
      </c>
      <c r="F1130">
        <v>0</v>
      </c>
      <c r="G1130">
        <v>0.1486983549970351</v>
      </c>
      <c r="H1130">
        <v>0.23699973703261</v>
      </c>
      <c r="I1130">
        <v>230.331061</v>
      </c>
      <c r="J1130">
        <v>0</v>
      </c>
      <c r="K1130" t="s">
        <v>3182</v>
      </c>
      <c r="L1130">
        <v>0.802608453698303</v>
      </c>
      <c r="M1130">
        <v>15.83</v>
      </c>
      <c r="N1130">
        <v>8.449999999999999</v>
      </c>
    </row>
    <row r="1131" spans="1:14">
      <c r="A1131" s="1" t="s">
        <v>1143</v>
      </c>
      <c r="B1131">
        <f>HYPERLINK("https://www.suredividend.com/sure-analysis-research-database/","Republic First Bancorp, Inc.")</f>
        <v>0</v>
      </c>
      <c r="C1131" t="s">
        <v>3184</v>
      </c>
      <c r="D1131">
        <v>0.1</v>
      </c>
      <c r="E1131">
        <v>0</v>
      </c>
      <c r="F1131" t="s">
        <v>3182</v>
      </c>
      <c r="G1131" t="s">
        <v>3182</v>
      </c>
      <c r="H1131">
        <v>0</v>
      </c>
      <c r="I1131">
        <v>7.018341</v>
      </c>
      <c r="J1131">
        <v>0.4611564951705101</v>
      </c>
      <c r="K1131">
        <v>0</v>
      </c>
      <c r="M1131">
        <v>0.7000000000000001</v>
      </c>
      <c r="N1131">
        <v>0.002</v>
      </c>
    </row>
    <row r="1132" spans="1:14">
      <c r="A1132" s="1" t="s">
        <v>1144</v>
      </c>
      <c r="B1132">
        <f>HYPERLINK("https://www.suredividend.com/sure-analysis-research-database/","First Republic Bank")</f>
        <v>0</v>
      </c>
      <c r="C1132" t="s">
        <v>3184</v>
      </c>
      <c r="D1132">
        <v>3.51</v>
      </c>
      <c r="E1132">
        <v>0.230287688160288</v>
      </c>
      <c r="F1132" t="s">
        <v>3182</v>
      </c>
      <c r="G1132" t="s">
        <v>3182</v>
      </c>
      <c r="H1132">
        <v>0.8083097854426101</v>
      </c>
      <c r="I1132">
        <v>630.560307</v>
      </c>
      <c r="J1132">
        <v>0.418420906841406</v>
      </c>
      <c r="K1132">
        <v>0.09821504075851885</v>
      </c>
      <c r="M1132">
        <v>170.36</v>
      </c>
      <c r="N1132">
        <v>2.99</v>
      </c>
    </row>
    <row r="1133" spans="1:14">
      <c r="A1133" s="1" t="s">
        <v>1145</v>
      </c>
      <c r="B1133">
        <f>HYPERLINK("https://www.suredividend.com/sure-analysis-research-database/","Friedman Industries, Inc.")</f>
        <v>0</v>
      </c>
      <c r="C1133" t="s">
        <v>3181</v>
      </c>
      <c r="D1133">
        <v>10.32</v>
      </c>
      <c r="E1133">
        <v>0.007715385222406001</v>
      </c>
      <c r="F1133">
        <v>0</v>
      </c>
      <c r="G1133">
        <v>-0.1972584382397693</v>
      </c>
      <c r="H1133">
        <v>0.07962277549523901</v>
      </c>
      <c r="I1133">
        <v>76.11291</v>
      </c>
      <c r="J1133">
        <v>4.318111663425512</v>
      </c>
      <c r="K1133">
        <v>0.03290197334514008</v>
      </c>
      <c r="L1133">
        <v>0.856545888176895</v>
      </c>
      <c r="M1133">
        <v>18.25</v>
      </c>
      <c r="N1133">
        <v>8.109999999999999</v>
      </c>
    </row>
    <row r="1134" spans="1:14">
      <c r="A1134" s="1" t="s">
        <v>1146</v>
      </c>
      <c r="B1134">
        <f>HYPERLINK("https://www.suredividend.com/sure-analysis-research-database/","Fiesta Restaurant Group Inc")</f>
        <v>0</v>
      </c>
      <c r="C1134" t="s">
        <v>3186</v>
      </c>
      <c r="D1134">
        <v>8.49</v>
      </c>
      <c r="E1134">
        <v>0</v>
      </c>
      <c r="F1134" t="s">
        <v>3182</v>
      </c>
      <c r="G1134" t="s">
        <v>3182</v>
      </c>
      <c r="H1134">
        <v>0</v>
      </c>
      <c r="I1134">
        <v>0</v>
      </c>
      <c r="J1134">
        <v>0</v>
      </c>
      <c r="K1134">
        <v>-0</v>
      </c>
    </row>
    <row r="1135" spans="1:14">
      <c r="A1135" s="1" t="s">
        <v>1147</v>
      </c>
      <c r="B1135">
        <f>HYPERLINK("https://www.suredividend.com/sure-analysis-research-database/","First Merchants Corp.")</f>
        <v>0</v>
      </c>
      <c r="C1135" t="s">
        <v>3184</v>
      </c>
      <c r="D1135">
        <v>28.59</v>
      </c>
      <c r="E1135">
        <v>0.044753509316015</v>
      </c>
      <c r="F1135">
        <v>0.0625</v>
      </c>
      <c r="G1135">
        <v>0.09096607850144967</v>
      </c>
      <c r="H1135">
        <v>1.279502831344888</v>
      </c>
      <c r="I1135">
        <v>1707.587039</v>
      </c>
      <c r="J1135">
        <v>6.629397849039902</v>
      </c>
      <c r="K1135">
        <v>0.2954971896870411</v>
      </c>
      <c r="L1135">
        <v>0.9723149169254881</v>
      </c>
      <c r="M1135">
        <v>42.25</v>
      </c>
      <c r="N1135">
        <v>23.35</v>
      </c>
    </row>
    <row r="1136" spans="1:14">
      <c r="A1136" s="1" t="s">
        <v>1148</v>
      </c>
      <c r="B1136">
        <f>HYPERLINK("https://www.suredividend.com/sure-analysis-research-database/","FRP Holdings Inc")</f>
        <v>0</v>
      </c>
      <c r="C1136" t="s">
        <v>3187</v>
      </c>
      <c r="D1136">
        <v>54.61</v>
      </c>
      <c r="E1136">
        <v>0</v>
      </c>
      <c r="F1136" t="s">
        <v>3182</v>
      </c>
      <c r="G1136" t="s">
        <v>3182</v>
      </c>
      <c r="H1136">
        <v>0</v>
      </c>
      <c r="I1136">
        <v>518.558703</v>
      </c>
      <c r="J1136">
        <v>117.8810417208457</v>
      </c>
      <c r="K1136">
        <v>0</v>
      </c>
      <c r="L1136">
        <v>0.681362971256649</v>
      </c>
      <c r="M1136">
        <v>61.55</v>
      </c>
      <c r="N1136">
        <v>52.45</v>
      </c>
    </row>
    <row r="1137" spans="1:14">
      <c r="A1137" s="1" t="s">
        <v>1149</v>
      </c>
      <c r="B1137">
        <f>HYPERLINK("https://www.suredividend.com/sure-analysis-research-database/","Freshpet Inc")</f>
        <v>0</v>
      </c>
      <c r="C1137" t="s">
        <v>3188</v>
      </c>
      <c r="D1137">
        <v>58.06</v>
      </c>
      <c r="E1137">
        <v>0</v>
      </c>
      <c r="F1137" t="s">
        <v>3182</v>
      </c>
      <c r="G1137" t="s">
        <v>3182</v>
      </c>
      <c r="H1137">
        <v>0</v>
      </c>
      <c r="I1137">
        <v>2799.595604</v>
      </c>
      <c r="J1137" t="s">
        <v>3182</v>
      </c>
      <c r="K1137">
        <v>-0</v>
      </c>
      <c r="L1137">
        <v>1.106411999838391</v>
      </c>
      <c r="M1137">
        <v>84.7</v>
      </c>
      <c r="N1137">
        <v>45.13</v>
      </c>
    </row>
    <row r="1138" spans="1:14">
      <c r="A1138" s="1" t="s">
        <v>1150</v>
      </c>
      <c r="B1138">
        <f>HYPERLINK("https://www.suredividend.com/sure-analysis-FRT/","Federal Realty Investment Trust.")</f>
        <v>0</v>
      </c>
      <c r="C1138" t="s">
        <v>3187</v>
      </c>
      <c r="D1138">
        <v>93.45</v>
      </c>
      <c r="E1138">
        <v>0.04665596575708936</v>
      </c>
      <c r="F1138">
        <v>0.0092592592592593</v>
      </c>
      <c r="G1138">
        <v>0.01336351798236013</v>
      </c>
      <c r="H1138">
        <v>4.258200003088882</v>
      </c>
      <c r="I1138">
        <v>7618.348647</v>
      </c>
      <c r="J1138">
        <v>0</v>
      </c>
      <c r="K1138" t="s">
        <v>3182</v>
      </c>
      <c r="L1138">
        <v>0.965270018759192</v>
      </c>
      <c r="M1138">
        <v>111.3</v>
      </c>
      <c r="N1138">
        <v>83.34999999999999</v>
      </c>
    </row>
    <row r="1139" spans="1:14">
      <c r="A1139" s="1" t="s">
        <v>1151</v>
      </c>
      <c r="B1139">
        <f>HYPERLINK("https://www.suredividend.com/sure-analysis-research-database/","Forterra Inc")</f>
        <v>0</v>
      </c>
      <c r="C1139" t="s">
        <v>3183</v>
      </c>
      <c r="D1139">
        <v>24</v>
      </c>
      <c r="E1139">
        <v>0</v>
      </c>
      <c r="F1139" t="s">
        <v>3182</v>
      </c>
      <c r="G1139" t="s">
        <v>3182</v>
      </c>
      <c r="H1139">
        <v>0</v>
      </c>
      <c r="I1139">
        <v>0</v>
      </c>
      <c r="J1139">
        <v>0</v>
      </c>
      <c r="K1139">
        <v>0</v>
      </c>
    </row>
    <row r="1140" spans="1:14">
      <c r="A1140" s="1" t="s">
        <v>1152</v>
      </c>
      <c r="B1140">
        <f>HYPERLINK("https://www.suredividend.com/sure-analysis-research-database/","FS Bancorp Inc")</f>
        <v>0</v>
      </c>
      <c r="C1140" t="s">
        <v>3184</v>
      </c>
      <c r="D1140">
        <v>29.1</v>
      </c>
      <c r="E1140">
        <v>0.031963825946461</v>
      </c>
      <c r="F1140">
        <v>0.25</v>
      </c>
      <c r="G1140">
        <v>0.1075663432482901</v>
      </c>
      <c r="H1140">
        <v>0.9301473350420221</v>
      </c>
      <c r="I1140">
        <v>225.629964</v>
      </c>
      <c r="J1140">
        <v>6.87644653480434</v>
      </c>
      <c r="K1140">
        <v>0.2183444448455451</v>
      </c>
      <c r="L1140">
        <v>0.4454032265068371</v>
      </c>
      <c r="M1140">
        <v>35.93</v>
      </c>
      <c r="N1140">
        <v>25.23</v>
      </c>
    </row>
    <row r="1141" spans="1:14">
      <c r="A1141" s="1" t="s">
        <v>1153</v>
      </c>
      <c r="B1141">
        <f>HYPERLINK("https://www.suredividend.com/sure-analysis-research-database/","ForeScout Technologies Inc")</f>
        <v>0</v>
      </c>
      <c r="C1141" t="s">
        <v>3185</v>
      </c>
      <c r="D1141">
        <v>28.99</v>
      </c>
      <c r="E1141">
        <v>0</v>
      </c>
      <c r="F1141" t="s">
        <v>3182</v>
      </c>
      <c r="G1141" t="s">
        <v>3182</v>
      </c>
      <c r="H1141">
        <v>0</v>
      </c>
      <c r="I1141">
        <v>0</v>
      </c>
      <c r="J1141">
        <v>0</v>
      </c>
      <c r="K1141" t="s">
        <v>3182</v>
      </c>
    </row>
    <row r="1142" spans="1:14">
      <c r="A1142" s="1" t="s">
        <v>1154</v>
      </c>
      <c r="B1142">
        <f>HYPERLINK("https://www.suredividend.com/sure-analysis-research-database/","First Savings Financial Group Inc")</f>
        <v>0</v>
      </c>
      <c r="C1142" t="s">
        <v>3184</v>
      </c>
      <c r="D1142">
        <v>15</v>
      </c>
      <c r="E1142">
        <v>0.035754586608268</v>
      </c>
      <c r="F1142">
        <v>0.07692307692307709</v>
      </c>
      <c r="G1142">
        <v>-0.01370381034097057</v>
      </c>
      <c r="H1142">
        <v>0.536318799124033</v>
      </c>
      <c r="I1142">
        <v>102.988815</v>
      </c>
      <c r="J1142">
        <v>0</v>
      </c>
      <c r="K1142" t="s">
        <v>3182</v>
      </c>
      <c r="M1142">
        <v>21.84</v>
      </c>
      <c r="N1142">
        <v>11.29</v>
      </c>
    </row>
    <row r="1143" spans="1:14">
      <c r="A1143" s="1" t="s">
        <v>1155</v>
      </c>
      <c r="B1143">
        <f>HYPERLINK("https://www.suredividend.com/sure-analysis-research-database/","First Solar Inc")</f>
        <v>0</v>
      </c>
      <c r="C1143" t="s">
        <v>3185</v>
      </c>
      <c r="D1143">
        <v>147.59</v>
      </c>
      <c r="E1143">
        <v>0</v>
      </c>
      <c r="F1143" t="s">
        <v>3182</v>
      </c>
      <c r="G1143" t="s">
        <v>3182</v>
      </c>
      <c r="H1143">
        <v>0</v>
      </c>
      <c r="I1143">
        <v>15769.137249</v>
      </c>
      <c r="J1143">
        <v>33.26892392050465</v>
      </c>
      <c r="K1143">
        <v>0</v>
      </c>
      <c r="L1143">
        <v>1.211379662824024</v>
      </c>
      <c r="M1143">
        <v>232</v>
      </c>
      <c r="N1143">
        <v>132.19</v>
      </c>
    </row>
    <row r="1144" spans="1:14">
      <c r="A1144" s="1" t="s">
        <v>1156</v>
      </c>
      <c r="B1144">
        <f>HYPERLINK("https://www.suredividend.com/sure-analysis-research-database/","Fastly Inc")</f>
        <v>0</v>
      </c>
      <c r="C1144" t="s">
        <v>3185</v>
      </c>
      <c r="D1144">
        <v>16.47</v>
      </c>
      <c r="E1144">
        <v>0</v>
      </c>
      <c r="F1144" t="s">
        <v>3182</v>
      </c>
      <c r="G1144" t="s">
        <v>3182</v>
      </c>
      <c r="H1144">
        <v>0</v>
      </c>
      <c r="I1144">
        <v>2127.924</v>
      </c>
      <c r="J1144" t="s">
        <v>3182</v>
      </c>
      <c r="K1144">
        <v>-0</v>
      </c>
      <c r="L1144">
        <v>2.71688142190265</v>
      </c>
      <c r="M1144">
        <v>24.31</v>
      </c>
      <c r="N1144">
        <v>7.15</v>
      </c>
    </row>
    <row r="1145" spans="1:14">
      <c r="A1145" s="1" t="s">
        <v>1157</v>
      </c>
      <c r="B1145">
        <f>HYPERLINK("https://www.suredividend.com/sure-analysis-research-database/","Franklin Street Properties Corp.")</f>
        <v>0</v>
      </c>
      <c r="C1145" t="s">
        <v>3187</v>
      </c>
      <c r="D1145">
        <v>1.95</v>
      </c>
      <c r="E1145">
        <v>0.020236160874489</v>
      </c>
      <c r="F1145">
        <v>0</v>
      </c>
      <c r="G1145">
        <v>-0.3556059850227458</v>
      </c>
      <c r="H1145">
        <v>0.039460513705253</v>
      </c>
      <c r="I1145">
        <v>201.689188</v>
      </c>
      <c r="J1145">
        <v>24.16018068399616</v>
      </c>
      <c r="K1145">
        <v>0.4883726943719431</v>
      </c>
      <c r="L1145">
        <v>1.292896515140472</v>
      </c>
      <c r="M1145">
        <v>3.11</v>
      </c>
      <c r="N1145">
        <v>1.11</v>
      </c>
    </row>
    <row r="1146" spans="1:14">
      <c r="A1146" s="1" t="s">
        <v>1158</v>
      </c>
      <c r="B1146">
        <f>HYPERLINK("https://www.suredividend.com/sure-analysis-research-database/","Federal Signal Corp.")</f>
        <v>0</v>
      </c>
      <c r="C1146" t="s">
        <v>3183</v>
      </c>
      <c r="D1146">
        <v>63.25</v>
      </c>
      <c r="E1146">
        <v>0.005992780024219001</v>
      </c>
      <c r="F1146">
        <v>0.1111111111111112</v>
      </c>
      <c r="G1146">
        <v>0.04563955259127317</v>
      </c>
      <c r="H1146">
        <v>0.3790433365318771</v>
      </c>
      <c r="I1146">
        <v>3857.787263</v>
      </c>
      <c r="J1146">
        <v>28.76798853840417</v>
      </c>
      <c r="K1146">
        <v>0.1730791491013137</v>
      </c>
      <c r="L1146">
        <v>0.9417981450038431</v>
      </c>
      <c r="M1146">
        <v>65.22</v>
      </c>
      <c r="N1146">
        <v>43.21</v>
      </c>
    </row>
    <row r="1147" spans="1:14">
      <c r="A1147" s="1" t="s">
        <v>1159</v>
      </c>
      <c r="B1147">
        <f>HYPERLINK("https://www.suredividend.com/sure-analysis-research-database/","L.B. Foster Co.")</f>
        <v>0</v>
      </c>
      <c r="C1147" t="s">
        <v>3183</v>
      </c>
      <c r="D1147">
        <v>19.75</v>
      </c>
      <c r="E1147">
        <v>0</v>
      </c>
      <c r="F1147" t="s">
        <v>3182</v>
      </c>
      <c r="G1147" t="s">
        <v>3182</v>
      </c>
      <c r="H1147">
        <v>0</v>
      </c>
      <c r="I1147">
        <v>219.047645</v>
      </c>
      <c r="J1147" t="s">
        <v>3182</v>
      </c>
      <c r="K1147">
        <v>-0</v>
      </c>
      <c r="L1147">
        <v>0.554848432694619</v>
      </c>
      <c r="M1147">
        <v>20.26</v>
      </c>
      <c r="N1147">
        <v>9</v>
      </c>
    </row>
    <row r="1148" spans="1:14">
      <c r="A1148" s="1" t="s">
        <v>1160</v>
      </c>
      <c r="B1148">
        <f>HYPERLINK("https://www.suredividend.com/sure-analysis-research-database/","Frontdoor Inc.")</f>
        <v>0</v>
      </c>
      <c r="C1148" t="s">
        <v>3186</v>
      </c>
      <c r="D1148">
        <v>32.82</v>
      </c>
      <c r="E1148">
        <v>0</v>
      </c>
      <c r="F1148" t="s">
        <v>3182</v>
      </c>
      <c r="G1148" t="s">
        <v>3182</v>
      </c>
      <c r="H1148">
        <v>0</v>
      </c>
      <c r="I1148">
        <v>2636.691158</v>
      </c>
      <c r="J1148">
        <v>20.59914967171875</v>
      </c>
      <c r="K1148">
        <v>0</v>
      </c>
      <c r="L1148">
        <v>1.019126275687547</v>
      </c>
      <c r="M1148">
        <v>38.97</v>
      </c>
      <c r="N1148">
        <v>19.06</v>
      </c>
    </row>
    <row r="1149" spans="1:14">
      <c r="A1149" s="1" t="s">
        <v>1161</v>
      </c>
      <c r="B1149">
        <f>HYPERLINK("https://www.suredividend.com/sure-analysis-research-database/","Fuel Tech Inc")</f>
        <v>0</v>
      </c>
      <c r="C1149" t="s">
        <v>3183</v>
      </c>
      <c r="D1149">
        <v>1</v>
      </c>
      <c r="E1149">
        <v>0</v>
      </c>
      <c r="F1149" t="s">
        <v>3182</v>
      </c>
      <c r="G1149" t="s">
        <v>3182</v>
      </c>
      <c r="H1149">
        <v>0</v>
      </c>
      <c r="I1149">
        <v>30.385297</v>
      </c>
      <c r="J1149" t="s">
        <v>3182</v>
      </c>
      <c r="K1149">
        <v>-0</v>
      </c>
      <c r="L1149">
        <v>0.4605973608157191</v>
      </c>
      <c r="M1149">
        <v>1.83</v>
      </c>
      <c r="N1149">
        <v>0.9569000000000001</v>
      </c>
    </row>
    <row r="1150" spans="1:14">
      <c r="A1150" s="1" t="s">
        <v>1162</v>
      </c>
      <c r="B1150">
        <f>HYPERLINK("https://www.suredividend.com/sure-analysis-research-database/","TechnipFMC plc")</f>
        <v>0</v>
      </c>
      <c r="C1150" t="s">
        <v>3189</v>
      </c>
      <c r="D1150">
        <v>22.44</v>
      </c>
      <c r="E1150">
        <v>0.002228164026072</v>
      </c>
      <c r="F1150" t="s">
        <v>3182</v>
      </c>
      <c r="G1150" t="s">
        <v>3182</v>
      </c>
      <c r="H1150">
        <v>0.050000000745058</v>
      </c>
      <c r="I1150">
        <v>9771.72617</v>
      </c>
      <c r="J1150" t="s">
        <v>3182</v>
      </c>
      <c r="K1150" t="s">
        <v>3182</v>
      </c>
      <c r="L1150">
        <v>0.9327451895342571</v>
      </c>
      <c r="M1150">
        <v>22.57</v>
      </c>
      <c r="N1150">
        <v>11.06</v>
      </c>
    </row>
    <row r="1151" spans="1:14">
      <c r="A1151" s="1" t="s">
        <v>1163</v>
      </c>
      <c r="B1151">
        <f>HYPERLINK("https://www.suredividend.com/sure-analysis-research-database/","Flotek Industries Inc")</f>
        <v>0</v>
      </c>
      <c r="C1151" t="s">
        <v>3189</v>
      </c>
      <c r="D1151">
        <v>4.05</v>
      </c>
      <c r="E1151">
        <v>0</v>
      </c>
      <c r="F1151" t="s">
        <v>3182</v>
      </c>
      <c r="G1151" t="s">
        <v>3182</v>
      </c>
      <c r="H1151">
        <v>0</v>
      </c>
      <c r="I1151">
        <v>617.226006</v>
      </c>
      <c r="J1151" t="s">
        <v>3182</v>
      </c>
      <c r="K1151">
        <v>-0</v>
      </c>
      <c r="L1151">
        <v>0.4696259095028311</v>
      </c>
      <c r="M1151">
        <v>9.24</v>
      </c>
      <c r="N1151">
        <v>3.42</v>
      </c>
    </row>
    <row r="1152" spans="1:14">
      <c r="A1152" s="1" t="s">
        <v>1164</v>
      </c>
      <c r="B1152">
        <f>HYPERLINK("https://www.suredividend.com/sure-analysis-research-database/","Fortinet Inc")</f>
        <v>0</v>
      </c>
      <c r="C1152" t="s">
        <v>3185</v>
      </c>
      <c r="D1152">
        <v>57.59</v>
      </c>
      <c r="E1152">
        <v>0</v>
      </c>
      <c r="F1152" t="s">
        <v>3182</v>
      </c>
      <c r="G1152" t="s">
        <v>3182</v>
      </c>
      <c r="H1152">
        <v>0</v>
      </c>
      <c r="I1152">
        <v>45227.554202</v>
      </c>
      <c r="J1152">
        <v>42.69166905968473</v>
      </c>
      <c r="K1152">
        <v>0</v>
      </c>
      <c r="L1152">
        <v>1.313124380851</v>
      </c>
      <c r="M1152">
        <v>81.23999999999999</v>
      </c>
      <c r="N1152">
        <v>45.15</v>
      </c>
    </row>
    <row r="1153" spans="1:14">
      <c r="A1153" s="1" t="s">
        <v>1165</v>
      </c>
      <c r="B1153">
        <f>HYPERLINK("https://www.suredividend.com/sure-analysis-research-database/","FTS International Inc.")</f>
        <v>0</v>
      </c>
      <c r="C1153" t="s">
        <v>3189</v>
      </c>
      <c r="D1153">
        <v>26.53</v>
      </c>
      <c r="E1153">
        <v>0</v>
      </c>
      <c r="F1153" t="s">
        <v>3182</v>
      </c>
      <c r="G1153" t="s">
        <v>3182</v>
      </c>
      <c r="H1153">
        <v>0</v>
      </c>
      <c r="I1153">
        <v>364.801959</v>
      </c>
      <c r="J1153" t="s">
        <v>3182</v>
      </c>
      <c r="K1153">
        <v>-0</v>
      </c>
      <c r="L1153">
        <v>0.5999331728069091</v>
      </c>
      <c r="M1153">
        <v>30.09</v>
      </c>
      <c r="N1153">
        <v>18.07</v>
      </c>
    </row>
    <row r="1154" spans="1:14">
      <c r="A1154" s="1" t="s">
        <v>1166</v>
      </c>
      <c r="B1154">
        <f>HYPERLINK("https://www.suredividend.com/sure-analysis-research-database/","Fortive Corp")</f>
        <v>0</v>
      </c>
      <c r="C1154" t="s">
        <v>3185</v>
      </c>
      <c r="D1154">
        <v>65.40000000000001</v>
      </c>
      <c r="E1154">
        <v>0.004275028745223001</v>
      </c>
      <c r="F1154">
        <v>0</v>
      </c>
      <c r="G1154">
        <v>0</v>
      </c>
      <c r="H1154">
        <v>0.279586879937606</v>
      </c>
      <c r="I1154">
        <v>22983.755413</v>
      </c>
      <c r="J1154">
        <v>27.76486520004832</v>
      </c>
      <c r="K1154">
        <v>0.1205115861800026</v>
      </c>
      <c r="L1154">
        <v>1.054146417187419</v>
      </c>
      <c r="M1154">
        <v>79.83</v>
      </c>
      <c r="N1154">
        <v>62.42</v>
      </c>
    </row>
    <row r="1155" spans="1:14">
      <c r="A1155" s="1" t="s">
        <v>1167</v>
      </c>
      <c r="B1155">
        <f>HYPERLINK("https://www.suredividend.com/sure-analysis-FUL/","H.B. Fuller Company")</f>
        <v>0</v>
      </c>
      <c r="C1155" t="s">
        <v>3181</v>
      </c>
      <c r="D1155">
        <v>67.72</v>
      </c>
      <c r="E1155">
        <v>0.01210868281157708</v>
      </c>
      <c r="F1155" t="s">
        <v>3182</v>
      </c>
      <c r="G1155" t="s">
        <v>3182</v>
      </c>
      <c r="H1155">
        <v>0.8015763061898421</v>
      </c>
      <c r="I1155">
        <v>3658.335845</v>
      </c>
      <c r="J1155">
        <v>24.6811302121114</v>
      </c>
      <c r="K1155">
        <v>0.3013444760112188</v>
      </c>
      <c r="L1155">
        <v>1.067981083896803</v>
      </c>
      <c r="M1155">
        <v>80.48999999999999</v>
      </c>
      <c r="N1155">
        <v>62.21</v>
      </c>
    </row>
    <row r="1156" spans="1:14">
      <c r="A1156" s="1" t="s">
        <v>1168</v>
      </c>
      <c r="B1156">
        <f>HYPERLINK("https://www.suredividend.com/sure-analysis-FULT/","Fulton Financial Corp.")</f>
        <v>0</v>
      </c>
      <c r="C1156" t="s">
        <v>3184</v>
      </c>
      <c r="D1156">
        <v>13.66</v>
      </c>
      <c r="E1156">
        <v>0.04685212298682284</v>
      </c>
      <c r="F1156">
        <v>1.666666666666667</v>
      </c>
      <c r="G1156">
        <v>0.3195079107728942</v>
      </c>
      <c r="H1156">
        <v>0.5988768809359341</v>
      </c>
      <c r="I1156">
        <v>2240.638981</v>
      </c>
      <c r="J1156">
        <v>7.716310111613523</v>
      </c>
      <c r="K1156">
        <v>0.3481842331022872</v>
      </c>
      <c r="L1156">
        <v>1.119775677299749</v>
      </c>
      <c r="M1156">
        <v>17.53</v>
      </c>
      <c r="N1156">
        <v>9.15</v>
      </c>
    </row>
    <row r="1157" spans="1:14">
      <c r="A1157" s="1" t="s">
        <v>1169</v>
      </c>
      <c r="B1157">
        <f>HYPERLINK("https://www.suredividend.com/sure-analysis-research-database/","First United Corporation")</f>
        <v>0</v>
      </c>
      <c r="C1157" t="s">
        <v>3184</v>
      </c>
      <c r="D1157">
        <v>16.89</v>
      </c>
      <c r="E1157">
        <v>0.044657474413691</v>
      </c>
      <c r="F1157">
        <v>0.3333333333333335</v>
      </c>
      <c r="G1157">
        <v>0.173160676311841</v>
      </c>
      <c r="H1157">
        <v>0.7542647428472531</v>
      </c>
      <c r="I1157">
        <v>113.356255</v>
      </c>
      <c r="J1157">
        <v>6.67626216973909</v>
      </c>
      <c r="K1157">
        <v>0.2969546231682099</v>
      </c>
      <c r="M1157">
        <v>19.48</v>
      </c>
      <c r="N1157">
        <v>11.94</v>
      </c>
    </row>
    <row r="1158" spans="1:14">
      <c r="A1158" s="1" t="s">
        <v>1170</v>
      </c>
      <c r="B1158">
        <f>HYPERLINK("https://www.suredividend.com/sure-analysis-research-database/","First US Bancshares Inc")</f>
        <v>0</v>
      </c>
      <c r="C1158" t="s">
        <v>3184</v>
      </c>
      <c r="D1158">
        <v>8.5</v>
      </c>
      <c r="E1158">
        <v>0.017366780201204</v>
      </c>
      <c r="F1158">
        <v>0.6666666666666667</v>
      </c>
      <c r="G1158">
        <v>0.2011244339814313</v>
      </c>
      <c r="H1158">
        <v>0.147617631710235</v>
      </c>
      <c r="I1158">
        <v>49.935503</v>
      </c>
      <c r="J1158">
        <v>6.102346633264084</v>
      </c>
      <c r="K1158">
        <v>0.1153262747736211</v>
      </c>
      <c r="M1158">
        <v>9.82</v>
      </c>
      <c r="N1158">
        <v>6.27</v>
      </c>
    </row>
    <row r="1159" spans="1:14">
      <c r="A1159" s="1" t="s">
        <v>1171</v>
      </c>
      <c r="B1159">
        <f>HYPERLINK("https://www.suredividend.com/sure-analysis-research-database/","Five Star Senior Living Inc.")</f>
        <v>0</v>
      </c>
      <c r="C1159" t="s">
        <v>3180</v>
      </c>
      <c r="D1159">
        <v>2.87</v>
      </c>
      <c r="E1159">
        <v>0</v>
      </c>
      <c r="F1159" t="s">
        <v>3182</v>
      </c>
      <c r="G1159" t="s">
        <v>3182</v>
      </c>
      <c r="H1159">
        <v>0</v>
      </c>
      <c r="I1159">
        <v>91.123085</v>
      </c>
      <c r="J1159" t="s">
        <v>3182</v>
      </c>
      <c r="K1159">
        <v>-0</v>
      </c>
      <c r="L1159">
        <v>0.566363079320238</v>
      </c>
      <c r="M1159">
        <v>9.25</v>
      </c>
      <c r="N1159">
        <v>2.72</v>
      </c>
    </row>
    <row r="1160" spans="1:14">
      <c r="A1160" s="1" t="s">
        <v>1172</v>
      </c>
      <c r="B1160">
        <f>HYPERLINK("https://www.suredividend.com/sure-analysis-research-database/","Liberty Media Corp.")</f>
        <v>0</v>
      </c>
      <c r="C1160" t="s">
        <v>3191</v>
      </c>
      <c r="D1160">
        <v>58.67</v>
      </c>
      <c r="E1160">
        <v>0</v>
      </c>
      <c r="F1160" t="s">
        <v>3182</v>
      </c>
      <c r="G1160" t="s">
        <v>3182</v>
      </c>
      <c r="H1160">
        <v>0</v>
      </c>
      <c r="I1160">
        <v>26418.152691</v>
      </c>
      <c r="J1160">
        <v>0</v>
      </c>
      <c r="K1160" t="s">
        <v>3182</v>
      </c>
      <c r="L1160">
        <v>1.054624004753853</v>
      </c>
      <c r="M1160">
        <v>69.48</v>
      </c>
      <c r="N1160">
        <v>55.08</v>
      </c>
    </row>
    <row r="1161" spans="1:14">
      <c r="A1161" s="1" t="s">
        <v>1173</v>
      </c>
      <c r="B1161">
        <f>HYPERLINK("https://www.suredividend.com/sure-analysis-research-database/","Liberty Media Corp.")</f>
        <v>0</v>
      </c>
      <c r="C1161" t="s">
        <v>3191</v>
      </c>
      <c r="D1161">
        <v>65.69</v>
      </c>
      <c r="E1161">
        <v>0</v>
      </c>
      <c r="F1161" t="s">
        <v>3182</v>
      </c>
      <c r="G1161" t="s">
        <v>3182</v>
      </c>
      <c r="H1161">
        <v>0</v>
      </c>
      <c r="I1161">
        <v>26418.152691</v>
      </c>
      <c r="J1161">
        <v>0</v>
      </c>
      <c r="K1161" t="s">
        <v>3182</v>
      </c>
      <c r="L1161">
        <v>0.9533727107566281</v>
      </c>
      <c r="M1161">
        <v>78.58</v>
      </c>
      <c r="N1161">
        <v>60.95</v>
      </c>
    </row>
    <row r="1162" spans="1:14">
      <c r="A1162" s="1" t="s">
        <v>1174</v>
      </c>
      <c r="B1162">
        <f>HYPERLINK("https://www.suredividend.com/sure-analysis-research-database/","Forward Air Corp.")</f>
        <v>0</v>
      </c>
      <c r="C1162" t="s">
        <v>3183</v>
      </c>
      <c r="D1162">
        <v>65.38</v>
      </c>
      <c r="E1162">
        <v>0.014599975851048</v>
      </c>
      <c r="F1162">
        <v>0</v>
      </c>
      <c r="G1162">
        <v>0.05922384104881218</v>
      </c>
      <c r="H1162">
        <v>0.9545464211415371</v>
      </c>
      <c r="I1162">
        <v>1679.985454</v>
      </c>
      <c r="J1162">
        <v>11.07570743014992</v>
      </c>
      <c r="K1162">
        <v>0.1668787449548142</v>
      </c>
      <c r="L1162">
        <v>1.026097885667883</v>
      </c>
      <c r="M1162">
        <v>120.95</v>
      </c>
      <c r="N1162">
        <v>60.09</v>
      </c>
    </row>
    <row r="1163" spans="1:14">
      <c r="A1163" s="1" t="s">
        <v>1175</v>
      </c>
      <c r="B1163">
        <f>HYPERLINK("https://www.suredividend.com/sure-analysis-research-database/","Genpact Ltd")</f>
        <v>0</v>
      </c>
      <c r="C1163" t="s">
        <v>3185</v>
      </c>
      <c r="D1163">
        <v>34.03</v>
      </c>
      <c r="E1163">
        <v>0.015712700256115</v>
      </c>
      <c r="F1163">
        <v>0.1000000000000001</v>
      </c>
      <c r="G1163">
        <v>0.1288813207301975</v>
      </c>
      <c r="H1163">
        <v>0.534703189715607</v>
      </c>
      <c r="I1163">
        <v>6260.992535</v>
      </c>
      <c r="J1163">
        <v>15.1265851101719</v>
      </c>
      <c r="K1163">
        <v>0.245276692530095</v>
      </c>
      <c r="L1163">
        <v>0.783366385144257</v>
      </c>
      <c r="M1163">
        <v>48.08</v>
      </c>
      <c r="N1163">
        <v>32.61</v>
      </c>
    </row>
    <row r="1164" spans="1:14">
      <c r="A1164" s="1" t="s">
        <v>1176</v>
      </c>
      <c r="B1164">
        <f>HYPERLINK("https://www.suredividend.com/sure-analysis-research-database/","German American Bancorp Inc")</f>
        <v>0</v>
      </c>
      <c r="C1164" t="s">
        <v>3184</v>
      </c>
      <c r="D1164">
        <v>27.43</v>
      </c>
      <c r="E1164">
        <v>0.03514716747297</v>
      </c>
      <c r="F1164">
        <v>0.08695652173913038</v>
      </c>
      <c r="G1164">
        <v>0.1075663432482901</v>
      </c>
      <c r="H1164">
        <v>0.964086803783574</v>
      </c>
      <c r="I1164">
        <v>811.194055</v>
      </c>
      <c r="J1164">
        <v>8.822984908691444</v>
      </c>
      <c r="K1164">
        <v>0.3090021806998635</v>
      </c>
      <c r="L1164">
        <v>0.7553767441241631</v>
      </c>
      <c r="M1164">
        <v>39.52</v>
      </c>
      <c r="N1164">
        <v>24.85</v>
      </c>
    </row>
    <row r="1165" spans="1:14">
      <c r="A1165" s="1" t="s">
        <v>1177</v>
      </c>
      <c r="B1165">
        <f>HYPERLINK("https://www.suredividend.com/sure-analysis-research-database/","Gaia Inc")</f>
        <v>0</v>
      </c>
      <c r="C1165" t="s">
        <v>3191</v>
      </c>
      <c r="D1165">
        <v>2.67</v>
      </c>
      <c r="E1165">
        <v>0</v>
      </c>
      <c r="F1165" t="s">
        <v>3182</v>
      </c>
      <c r="G1165" t="s">
        <v>3182</v>
      </c>
      <c r="H1165">
        <v>0</v>
      </c>
      <c r="I1165">
        <v>47.017165</v>
      </c>
      <c r="J1165" t="s">
        <v>3182</v>
      </c>
      <c r="K1165">
        <v>-0</v>
      </c>
      <c r="L1165">
        <v>0.463557326683497</v>
      </c>
      <c r="M1165">
        <v>4.03</v>
      </c>
      <c r="N1165">
        <v>2.05</v>
      </c>
    </row>
    <row r="1166" spans="1:14">
      <c r="A1166" s="1" t="s">
        <v>1178</v>
      </c>
      <c r="B1166">
        <f>HYPERLINK("https://www.suredividend.com/sure-analysis-research-database/","Galectin Therapeutics Inc")</f>
        <v>0</v>
      </c>
      <c r="C1166" t="s">
        <v>3180</v>
      </c>
      <c r="D1166">
        <v>2.02</v>
      </c>
      <c r="E1166">
        <v>0</v>
      </c>
      <c r="F1166" t="s">
        <v>3182</v>
      </c>
      <c r="G1166" t="s">
        <v>3182</v>
      </c>
      <c r="H1166">
        <v>0</v>
      </c>
      <c r="I1166">
        <v>124.934287</v>
      </c>
      <c r="J1166">
        <v>0</v>
      </c>
      <c r="K1166" t="s">
        <v>3182</v>
      </c>
      <c r="L1166">
        <v>0.781174556382991</v>
      </c>
      <c r="M1166">
        <v>2.47</v>
      </c>
      <c r="N1166">
        <v>1.02</v>
      </c>
    </row>
    <row r="1167" spans="1:14">
      <c r="A1167" s="1" t="s">
        <v>1179</v>
      </c>
      <c r="B1167">
        <f>HYPERLINK("https://www.suredividend.com/sure-analysis-GATX/","GATX Corp.")</f>
        <v>0</v>
      </c>
      <c r="C1167" t="s">
        <v>3183</v>
      </c>
      <c r="D1167">
        <v>108.97</v>
      </c>
      <c r="E1167">
        <v>0.02018904285583188</v>
      </c>
      <c r="F1167">
        <v>0.05769230769230771</v>
      </c>
      <c r="G1167">
        <v>0.04563955259127317</v>
      </c>
      <c r="H1167">
        <v>2.154949419197436</v>
      </c>
      <c r="I1167">
        <v>3868.435</v>
      </c>
      <c r="J1167">
        <v>16.01173427152318</v>
      </c>
      <c r="K1167">
        <v>0.3192517658070276</v>
      </c>
      <c r="L1167">
        <v>0.8441531062808081</v>
      </c>
      <c r="M1167">
        <v>132.37</v>
      </c>
      <c r="N1167">
        <v>97.20999999999999</v>
      </c>
    </row>
    <row r="1168" spans="1:14">
      <c r="A1168" s="1" t="s">
        <v>1180</v>
      </c>
      <c r="B1168">
        <f>HYPERLINK("https://www.suredividend.com/sure-analysis-research-database/","Glacier Bancorp, Inc.")</f>
        <v>0</v>
      </c>
      <c r="C1168" t="s">
        <v>3184</v>
      </c>
      <c r="D1168">
        <v>31.65</v>
      </c>
      <c r="E1168">
        <v>0.040964310402994</v>
      </c>
      <c r="F1168">
        <v>0</v>
      </c>
      <c r="G1168">
        <v>0.02617915477537269</v>
      </c>
      <c r="H1168">
        <v>1.296520424254778</v>
      </c>
      <c r="I1168">
        <v>3509.202327</v>
      </c>
      <c r="J1168">
        <v>12.75234237520032</v>
      </c>
      <c r="K1168">
        <v>0.5227904936511202</v>
      </c>
      <c r="L1168">
        <v>1.346937377436432</v>
      </c>
      <c r="M1168">
        <v>57.11</v>
      </c>
      <c r="N1168">
        <v>26.18</v>
      </c>
    </row>
    <row r="1169" spans="1:14">
      <c r="A1169" s="1" t="s">
        <v>1181</v>
      </c>
      <c r="B1169">
        <f>HYPERLINK("https://www.suredividend.com/sure-analysis-research-database/","Gamco Investors Inc")</f>
        <v>0</v>
      </c>
      <c r="C1169" t="s">
        <v>3184</v>
      </c>
      <c r="D1169">
        <v>14.78</v>
      </c>
      <c r="E1169">
        <v>0.010793687739407</v>
      </c>
      <c r="F1169" t="s">
        <v>3182</v>
      </c>
      <c r="G1169" t="s">
        <v>3182</v>
      </c>
      <c r="H1169">
        <v>0.159530704788446</v>
      </c>
      <c r="I1169">
        <v>108.528254</v>
      </c>
      <c r="J1169">
        <v>0</v>
      </c>
      <c r="K1169" t="s">
        <v>3182</v>
      </c>
      <c r="L1169">
        <v>0.8035066453292681</v>
      </c>
      <c r="M1169">
        <v>29.58</v>
      </c>
      <c r="N1169">
        <v>14.45</v>
      </c>
    </row>
    <row r="1170" spans="1:14">
      <c r="A1170" s="1" t="s">
        <v>1182</v>
      </c>
      <c r="B1170">
        <f>HYPERLINK("https://www.suredividend.com/sure-analysis-research-database/","Global Indemnity Group LLC")</f>
        <v>0</v>
      </c>
      <c r="C1170" t="s">
        <v>3184</v>
      </c>
      <c r="D1170">
        <v>35</v>
      </c>
      <c r="E1170">
        <v>0.028245247675729</v>
      </c>
      <c r="F1170" t="s">
        <v>3182</v>
      </c>
      <c r="G1170" t="s">
        <v>3182</v>
      </c>
      <c r="H1170">
        <v>0.988583668650542</v>
      </c>
      <c r="I1170">
        <v>340.51661</v>
      </c>
      <c r="J1170">
        <v>9.086258138542</v>
      </c>
      <c r="K1170">
        <v>0.3730504410002046</v>
      </c>
      <c r="M1170">
        <v>37</v>
      </c>
      <c r="N1170">
        <v>21.96</v>
      </c>
    </row>
    <row r="1171" spans="1:14">
      <c r="A1171" s="1" t="s">
        <v>1183</v>
      </c>
      <c r="B1171">
        <f>HYPERLINK("https://www.suredividend.com/sure-analysis-research-database/","Global Blood Therapeutics Inc.")</f>
        <v>0</v>
      </c>
      <c r="C1171" t="s">
        <v>3180</v>
      </c>
      <c r="D1171">
        <v>68.48999999999999</v>
      </c>
      <c r="E1171">
        <v>0</v>
      </c>
      <c r="F1171" t="s">
        <v>3182</v>
      </c>
      <c r="G1171" t="s">
        <v>3182</v>
      </c>
      <c r="H1171">
        <v>0</v>
      </c>
      <c r="I1171">
        <v>0</v>
      </c>
      <c r="J1171">
        <v>0</v>
      </c>
      <c r="K1171" t="s">
        <v>3182</v>
      </c>
    </row>
    <row r="1172" spans="1:14">
      <c r="A1172" s="1" t="s">
        <v>1184</v>
      </c>
      <c r="B1172">
        <f>HYPERLINK("https://www.suredividend.com/sure-analysis-research-database/","Greenbrier Cos., Inc.")</f>
        <v>0</v>
      </c>
      <c r="C1172" t="s">
        <v>3183</v>
      </c>
      <c r="D1172">
        <v>36.74</v>
      </c>
      <c r="E1172">
        <v>0.029855820037716</v>
      </c>
      <c r="F1172">
        <v>0.1111111111111112</v>
      </c>
      <c r="G1172">
        <v>0.03713728933664817</v>
      </c>
      <c r="H1172">
        <v>1.096902828185711</v>
      </c>
      <c r="I1172">
        <v>1142.614</v>
      </c>
      <c r="J1172">
        <v>18.281824</v>
      </c>
      <c r="K1172">
        <v>0.5929204476679518</v>
      </c>
      <c r="L1172">
        <v>1.015316836236418</v>
      </c>
      <c r="M1172">
        <v>48.21</v>
      </c>
      <c r="N1172">
        <v>25.24</v>
      </c>
    </row>
    <row r="1173" spans="1:14">
      <c r="A1173" s="1" t="s">
        <v>1185</v>
      </c>
      <c r="B1173">
        <f>HYPERLINK("https://www.suredividend.com/sure-analysis-research-database/","Greene County Bancorp Inc")</f>
        <v>0</v>
      </c>
      <c r="C1173" t="s">
        <v>3184</v>
      </c>
      <c r="D1173">
        <v>24.81</v>
      </c>
      <c r="E1173">
        <v>0.007429169708753001</v>
      </c>
      <c r="F1173">
        <v>-0.4285714285714286</v>
      </c>
      <c r="G1173">
        <v>-0.043647500209963</v>
      </c>
      <c r="H1173">
        <v>0.184317700474182</v>
      </c>
      <c r="I1173">
        <v>422.435603</v>
      </c>
      <c r="J1173">
        <v>0</v>
      </c>
      <c r="K1173" t="s">
        <v>3182</v>
      </c>
      <c r="L1173">
        <v>0.321430148612477</v>
      </c>
      <c r="M1173">
        <v>36.78</v>
      </c>
      <c r="N1173">
        <v>5.69</v>
      </c>
    </row>
    <row r="1174" spans="1:14">
      <c r="A1174" s="1" t="s">
        <v>1186</v>
      </c>
      <c r="B1174">
        <f>HYPERLINK("https://www.suredividend.com/sure-analysis-research-database/","Gannett Co Inc.")</f>
        <v>0</v>
      </c>
      <c r="C1174" t="s">
        <v>3191</v>
      </c>
      <c r="D1174">
        <v>1.95</v>
      </c>
      <c r="E1174">
        <v>0</v>
      </c>
      <c r="F1174" t="s">
        <v>3182</v>
      </c>
      <c r="G1174" t="s">
        <v>3182</v>
      </c>
      <c r="H1174">
        <v>0</v>
      </c>
      <c r="I1174">
        <v>290.6921</v>
      </c>
      <c r="J1174" t="s">
        <v>3182</v>
      </c>
      <c r="K1174">
        <v>-0</v>
      </c>
      <c r="L1174">
        <v>1.79858814246211</v>
      </c>
      <c r="M1174">
        <v>3.6</v>
      </c>
      <c r="N1174">
        <v>1.62</v>
      </c>
    </row>
    <row r="1175" spans="1:14">
      <c r="A1175" s="1" t="s">
        <v>1187</v>
      </c>
      <c r="B1175">
        <f>HYPERLINK("https://www.suredividend.com/sure-analysis-research-database/","Genesco Inc.")</f>
        <v>0</v>
      </c>
      <c r="C1175" t="s">
        <v>3186</v>
      </c>
      <c r="D1175">
        <v>28.4</v>
      </c>
      <c r="E1175">
        <v>0</v>
      </c>
      <c r="F1175" t="s">
        <v>3182</v>
      </c>
      <c r="G1175" t="s">
        <v>3182</v>
      </c>
      <c r="H1175">
        <v>0</v>
      </c>
      <c r="I1175">
        <v>356.79363</v>
      </c>
      <c r="J1175">
        <v>40.68342421892816</v>
      </c>
      <c r="K1175">
        <v>0</v>
      </c>
      <c r="L1175">
        <v>1.384064378084999</v>
      </c>
      <c r="M1175">
        <v>53.25</v>
      </c>
      <c r="N1175">
        <v>17.31</v>
      </c>
    </row>
    <row r="1176" spans="1:14">
      <c r="A1176" s="1" t="s">
        <v>1188</v>
      </c>
      <c r="B1176">
        <f>HYPERLINK("https://www.suredividend.com/sure-analysis-research-database/","GCP Applied Technologies Inc")</f>
        <v>0</v>
      </c>
      <c r="C1176" t="s">
        <v>3181</v>
      </c>
      <c r="D1176">
        <v>32.01</v>
      </c>
      <c r="E1176">
        <v>0</v>
      </c>
      <c r="F1176" t="s">
        <v>3182</v>
      </c>
      <c r="G1176" t="s">
        <v>3182</v>
      </c>
      <c r="H1176">
        <v>0</v>
      </c>
      <c r="I1176">
        <v>2369.103281</v>
      </c>
      <c r="J1176">
        <v>215.37302559</v>
      </c>
      <c r="K1176">
        <v>0</v>
      </c>
      <c r="L1176">
        <v>0.140050265907739</v>
      </c>
      <c r="M1176">
        <v>32.28</v>
      </c>
      <c r="N1176">
        <v>20.76</v>
      </c>
    </row>
    <row r="1177" spans="1:14">
      <c r="A1177" s="1" t="s">
        <v>1189</v>
      </c>
      <c r="B1177">
        <f>HYPERLINK("https://www.suredividend.com/sure-analysis-GD/","General Dynamics Corp.")</f>
        <v>0</v>
      </c>
      <c r="C1177" t="s">
        <v>3183</v>
      </c>
      <c r="D1177">
        <v>244.01</v>
      </c>
      <c r="E1177">
        <v>0.02163845744026884</v>
      </c>
      <c r="F1177">
        <v>0.04761904761904767</v>
      </c>
      <c r="G1177">
        <v>0.07255160357783463</v>
      </c>
      <c r="H1177">
        <v>5.173630373483371</v>
      </c>
      <c r="I1177">
        <v>66589.562809</v>
      </c>
      <c r="J1177">
        <v>20.16643331574803</v>
      </c>
      <c r="K1177">
        <v>0.432577790425031</v>
      </c>
      <c r="L1177">
        <v>0.4679318001809951</v>
      </c>
      <c r="M1177">
        <v>250.95</v>
      </c>
      <c r="N1177">
        <v>199.9</v>
      </c>
    </row>
    <row r="1178" spans="1:14">
      <c r="A1178" s="1" t="s">
        <v>1190</v>
      </c>
      <c r="B1178">
        <f>HYPERLINK("https://www.suredividend.com/sure-analysis-research-database/","Godaddy Inc")</f>
        <v>0</v>
      </c>
      <c r="C1178" t="s">
        <v>3185</v>
      </c>
      <c r="D1178">
        <v>75.19</v>
      </c>
      <c r="E1178">
        <v>0</v>
      </c>
      <c r="F1178" t="s">
        <v>3182</v>
      </c>
      <c r="G1178" t="s">
        <v>3182</v>
      </c>
      <c r="H1178">
        <v>0</v>
      </c>
      <c r="I1178">
        <v>11061.926032</v>
      </c>
      <c r="J1178">
        <v>34.18394942014832</v>
      </c>
      <c r="K1178">
        <v>0</v>
      </c>
      <c r="L1178">
        <v>0.914769714339396</v>
      </c>
      <c r="M1178">
        <v>85.31999999999999</v>
      </c>
      <c r="N1178">
        <v>64.65000000000001</v>
      </c>
    </row>
    <row r="1179" spans="1:14">
      <c r="A1179" s="1" t="s">
        <v>1191</v>
      </c>
      <c r="B1179">
        <f>HYPERLINK("https://www.suredividend.com/sure-analysis-research-database/","Golden Entertainment Inc")</f>
        <v>0</v>
      </c>
      <c r="C1179" t="s">
        <v>3186</v>
      </c>
      <c r="D1179">
        <v>31.74</v>
      </c>
      <c r="E1179">
        <v>0</v>
      </c>
      <c r="F1179" t="s">
        <v>3182</v>
      </c>
      <c r="G1179" t="s">
        <v>3182</v>
      </c>
      <c r="H1179">
        <v>0</v>
      </c>
      <c r="I1179">
        <v>916.129934</v>
      </c>
      <c r="J1179">
        <v>18.70721910438618</v>
      </c>
      <c r="K1179">
        <v>0</v>
      </c>
      <c r="L1179">
        <v>1.21212420211726</v>
      </c>
      <c r="M1179">
        <v>43</v>
      </c>
      <c r="N1179">
        <v>29.97</v>
      </c>
    </row>
    <row r="1180" spans="1:14">
      <c r="A1180" s="1" t="s">
        <v>1192</v>
      </c>
      <c r="B1180">
        <f>HYPERLINK("https://www.suredividend.com/sure-analysis-research-database/","Green Dot Corp.")</f>
        <v>0</v>
      </c>
      <c r="C1180" t="s">
        <v>3184</v>
      </c>
      <c r="D1180">
        <v>11.74</v>
      </c>
      <c r="E1180">
        <v>0</v>
      </c>
      <c r="F1180" t="s">
        <v>3182</v>
      </c>
      <c r="G1180" t="s">
        <v>3182</v>
      </c>
      <c r="H1180">
        <v>0</v>
      </c>
      <c r="I1180">
        <v>614.547699</v>
      </c>
      <c r="J1180">
        <v>13.01015536201202</v>
      </c>
      <c r="K1180">
        <v>0</v>
      </c>
      <c r="L1180">
        <v>1.517137786355189</v>
      </c>
      <c r="M1180">
        <v>21.37</v>
      </c>
      <c r="N1180">
        <v>10.84</v>
      </c>
    </row>
    <row r="1181" spans="1:14">
      <c r="A1181" s="1" t="s">
        <v>1193</v>
      </c>
      <c r="B1181">
        <f>HYPERLINK("https://www.suredividend.com/sure-analysis-research-database/","Goodrich Petroleum Corp.")</f>
        <v>0</v>
      </c>
      <c r="C1181" t="s">
        <v>3189</v>
      </c>
      <c r="D1181">
        <v>23.02</v>
      </c>
      <c r="E1181">
        <v>0</v>
      </c>
      <c r="F1181" t="s">
        <v>3182</v>
      </c>
      <c r="G1181" t="s">
        <v>3182</v>
      </c>
      <c r="H1181">
        <v>0</v>
      </c>
      <c r="I1181">
        <v>331.239177</v>
      </c>
      <c r="J1181">
        <v>0</v>
      </c>
      <c r="K1181" t="s">
        <v>3182</v>
      </c>
      <c r="M1181">
        <v>26.66</v>
      </c>
      <c r="N1181">
        <v>8.609999999999999</v>
      </c>
    </row>
    <row r="1182" spans="1:14">
      <c r="A1182" s="1" t="s">
        <v>1194</v>
      </c>
      <c r="B1182">
        <f>HYPERLINK("https://www.suredividend.com/sure-analysis-GE/","General Electric Co.")</f>
        <v>0</v>
      </c>
      <c r="C1182" t="s">
        <v>3183</v>
      </c>
      <c r="D1182">
        <v>107.78</v>
      </c>
      <c r="E1182">
        <v>0.002969010948227871</v>
      </c>
      <c r="F1182">
        <v>0</v>
      </c>
      <c r="G1182">
        <v>0.5157165665103982</v>
      </c>
      <c r="H1182">
        <v>0.302636595485628</v>
      </c>
      <c r="I1182">
        <v>117306.247715</v>
      </c>
      <c r="J1182">
        <v>12.0685440035535</v>
      </c>
      <c r="K1182">
        <v>0.03427368012294768</v>
      </c>
      <c r="L1182">
        <v>0.8735010227267501</v>
      </c>
      <c r="M1182">
        <v>117.88</v>
      </c>
      <c r="N1182">
        <v>60.22</v>
      </c>
    </row>
    <row r="1183" spans="1:14">
      <c r="A1183" s="1" t="s">
        <v>1195</v>
      </c>
      <c r="B1183">
        <f>HYPERLINK("https://www.suredividend.com/sure-analysis-research-database/","Great Elm Capital Group Inc")</f>
        <v>0</v>
      </c>
      <c r="C1183" t="s">
        <v>3184</v>
      </c>
      <c r="D1183">
        <v>2.62</v>
      </c>
      <c r="E1183">
        <v>0</v>
      </c>
      <c r="F1183" t="s">
        <v>3182</v>
      </c>
      <c r="G1183" t="s">
        <v>3182</v>
      </c>
      <c r="H1183">
        <v>0</v>
      </c>
      <c r="I1183">
        <v>0</v>
      </c>
      <c r="J1183">
        <v>0</v>
      </c>
      <c r="K1183">
        <v>-0</v>
      </c>
    </row>
    <row r="1184" spans="1:14">
      <c r="A1184" s="1" t="s">
        <v>1196</v>
      </c>
      <c r="B1184">
        <f>HYPERLINK("https://www.suredividend.com/sure-analysis-GEF/","Greif Inc")</f>
        <v>0</v>
      </c>
      <c r="C1184" t="s">
        <v>3186</v>
      </c>
      <c r="D1184">
        <v>64.56</v>
      </c>
      <c r="E1184">
        <v>0.0322180916976456</v>
      </c>
      <c r="F1184">
        <v>0.04000000000000004</v>
      </c>
      <c r="G1184">
        <v>0.03397522653195018</v>
      </c>
      <c r="H1184">
        <v>1.99726034422055</v>
      </c>
      <c r="I1184">
        <v>3032.634272</v>
      </c>
      <c r="J1184">
        <v>7.758082046891788</v>
      </c>
      <c r="K1184">
        <v>0.299439331967099</v>
      </c>
      <c r="L1184">
        <v>0.6460440858936181</v>
      </c>
      <c r="M1184">
        <v>75.42</v>
      </c>
      <c r="N1184">
        <v>56.53</v>
      </c>
    </row>
    <row r="1185" spans="1:14">
      <c r="A1185" s="1" t="s">
        <v>1197</v>
      </c>
      <c r="B1185">
        <f>HYPERLINK("https://www.suredividend.com/sure-analysis-research-database/","Gen Digital Inc")</f>
        <v>0</v>
      </c>
      <c r="C1185" t="s">
        <v>3180</v>
      </c>
      <c r="D1185">
        <v>17.17</v>
      </c>
      <c r="E1185">
        <v>0.028720193591455</v>
      </c>
      <c r="F1185" t="s">
        <v>3182</v>
      </c>
      <c r="G1185" t="s">
        <v>3182</v>
      </c>
      <c r="H1185">
        <v>0.493125723965299</v>
      </c>
      <c r="I1185">
        <v>10979.169399</v>
      </c>
      <c r="J1185">
        <v>8.205657248512706</v>
      </c>
      <c r="K1185">
        <v>0.2337088739172034</v>
      </c>
      <c r="L1185">
        <v>0.8652249571458961</v>
      </c>
      <c r="M1185">
        <v>23.27</v>
      </c>
      <c r="N1185">
        <v>15.12</v>
      </c>
    </row>
    <row r="1186" spans="1:14">
      <c r="A1186" s="1" t="s">
        <v>1198</v>
      </c>
      <c r="B1186">
        <f>HYPERLINK("https://www.suredividend.com/sure-analysis-research-database/","Gencor Industries, Inc.")</f>
        <v>0</v>
      </c>
      <c r="C1186" t="s">
        <v>3183</v>
      </c>
      <c r="D1186">
        <v>13.8</v>
      </c>
      <c r="E1186">
        <v>0</v>
      </c>
      <c r="F1186" t="s">
        <v>3182</v>
      </c>
      <c r="G1186" t="s">
        <v>3182</v>
      </c>
      <c r="H1186">
        <v>0</v>
      </c>
      <c r="I1186">
        <v>170.276061</v>
      </c>
      <c r="J1186">
        <v>0</v>
      </c>
      <c r="K1186" t="s">
        <v>3182</v>
      </c>
      <c r="L1186">
        <v>0.4973633120693021</v>
      </c>
      <c r="M1186">
        <v>15.89</v>
      </c>
      <c r="N1186">
        <v>8.380000000000001</v>
      </c>
    </row>
    <row r="1187" spans="1:14">
      <c r="A1187" s="1" t="s">
        <v>1199</v>
      </c>
      <c r="B1187">
        <f>HYPERLINK("https://www.suredividend.com/sure-analysis-research-database/","Geo Group, Inc.")</f>
        <v>0</v>
      </c>
      <c r="C1187" t="s">
        <v>3187</v>
      </c>
      <c r="D1187">
        <v>9.1</v>
      </c>
      <c r="E1187">
        <v>0</v>
      </c>
      <c r="F1187" t="s">
        <v>3182</v>
      </c>
      <c r="G1187" t="s">
        <v>3182</v>
      </c>
      <c r="H1187">
        <v>0</v>
      </c>
      <c r="I1187">
        <v>1147.247811</v>
      </c>
      <c r="J1187">
        <v>10.06163556857448</v>
      </c>
      <c r="K1187">
        <v>0</v>
      </c>
      <c r="L1187">
        <v>0.678222018045012</v>
      </c>
      <c r="M1187">
        <v>12.44</v>
      </c>
      <c r="N1187">
        <v>6.94</v>
      </c>
    </row>
    <row r="1188" spans="1:14">
      <c r="A1188" s="1" t="s">
        <v>1200</v>
      </c>
      <c r="B1188">
        <f>HYPERLINK("https://www.suredividend.com/sure-analysis-research-database/","Geospace Technologies Corp")</f>
        <v>0</v>
      </c>
      <c r="C1188" t="s">
        <v>3189</v>
      </c>
      <c r="D1188">
        <v>11.94</v>
      </c>
      <c r="E1188">
        <v>0</v>
      </c>
      <c r="F1188" t="s">
        <v>3182</v>
      </c>
      <c r="G1188" t="s">
        <v>3182</v>
      </c>
      <c r="H1188">
        <v>0</v>
      </c>
      <c r="I1188">
        <v>157.470559</v>
      </c>
      <c r="J1188" t="s">
        <v>3182</v>
      </c>
      <c r="K1188">
        <v>-0</v>
      </c>
      <c r="L1188">
        <v>0.180972798092205</v>
      </c>
      <c r="M1188">
        <v>14.59</v>
      </c>
      <c r="N1188">
        <v>3.76</v>
      </c>
    </row>
    <row r="1189" spans="1:14">
      <c r="A1189" s="1" t="s">
        <v>1201</v>
      </c>
      <c r="B1189">
        <f>HYPERLINK("https://www.suredividend.com/sure-analysis-research-database/","Geron Corp.")</f>
        <v>0</v>
      </c>
      <c r="C1189" t="s">
        <v>3180</v>
      </c>
      <c r="D1189">
        <v>1.78</v>
      </c>
      <c r="E1189">
        <v>0</v>
      </c>
      <c r="F1189" t="s">
        <v>3182</v>
      </c>
      <c r="G1189" t="s">
        <v>3182</v>
      </c>
      <c r="H1189">
        <v>0</v>
      </c>
      <c r="I1189">
        <v>931.599802</v>
      </c>
      <c r="J1189" t="s">
        <v>3182</v>
      </c>
      <c r="K1189">
        <v>-0</v>
      </c>
      <c r="L1189">
        <v>1.108767920589739</v>
      </c>
      <c r="M1189">
        <v>3.84</v>
      </c>
      <c r="N1189">
        <v>1.73</v>
      </c>
    </row>
    <row r="1190" spans="1:14">
      <c r="A1190" s="1" t="s">
        <v>1202</v>
      </c>
      <c r="B1190">
        <f>HYPERLINK("https://www.suredividend.com/sure-analysis-research-database/","Guess Inc.")</f>
        <v>0</v>
      </c>
      <c r="C1190" t="s">
        <v>3186</v>
      </c>
      <c r="D1190">
        <v>22.43</v>
      </c>
      <c r="E1190">
        <v>0.045977081382852</v>
      </c>
      <c r="F1190" t="s">
        <v>3182</v>
      </c>
      <c r="G1190" t="s">
        <v>3182</v>
      </c>
      <c r="H1190">
        <v>1.031265935417376</v>
      </c>
      <c r="I1190">
        <v>1201.962735</v>
      </c>
      <c r="J1190">
        <v>8.396233001012888</v>
      </c>
      <c r="K1190">
        <v>0.4687572433715346</v>
      </c>
      <c r="L1190">
        <v>1.109979228185579</v>
      </c>
      <c r="M1190">
        <v>24.54</v>
      </c>
      <c r="N1190">
        <v>15.46</v>
      </c>
    </row>
    <row r="1191" spans="1:14">
      <c r="A1191" s="1" t="s">
        <v>1203</v>
      </c>
      <c r="B1191">
        <f>HYPERLINK("https://www.suredividend.com/sure-analysis-research-database/","Gevo Inc")</f>
        <v>0</v>
      </c>
      <c r="C1191" t="s">
        <v>3181</v>
      </c>
      <c r="D1191">
        <v>1.22</v>
      </c>
      <c r="E1191">
        <v>0</v>
      </c>
      <c r="F1191" t="s">
        <v>3182</v>
      </c>
      <c r="G1191" t="s">
        <v>3182</v>
      </c>
      <c r="H1191">
        <v>0</v>
      </c>
      <c r="I1191">
        <v>289.631811</v>
      </c>
      <c r="J1191">
        <v>0</v>
      </c>
      <c r="K1191" t="s">
        <v>3182</v>
      </c>
      <c r="L1191">
        <v>2.763272187101452</v>
      </c>
      <c r="M1191">
        <v>2.49</v>
      </c>
      <c r="N1191">
        <v>0.97</v>
      </c>
    </row>
    <row r="1192" spans="1:14">
      <c r="A1192" s="1" t="s">
        <v>1204</v>
      </c>
      <c r="B1192">
        <f>HYPERLINK("https://www.suredividend.com/sure-analysis-research-database/","Guaranty Federal Bancshares Inc")</f>
        <v>0</v>
      </c>
      <c r="C1192" t="s">
        <v>3184</v>
      </c>
      <c r="D1192">
        <v>31.43</v>
      </c>
      <c r="E1192">
        <v>0</v>
      </c>
      <c r="F1192" t="s">
        <v>3182</v>
      </c>
      <c r="G1192" t="s">
        <v>3182</v>
      </c>
      <c r="H1192">
        <v>0.450000017881393</v>
      </c>
      <c r="I1192">
        <v>0</v>
      </c>
      <c r="J1192">
        <v>0</v>
      </c>
      <c r="K1192" t="s">
        <v>3182</v>
      </c>
    </row>
    <row r="1193" spans="1:14">
      <c r="A1193" s="1" t="s">
        <v>1205</v>
      </c>
      <c r="B1193">
        <f>HYPERLINK("https://www.suredividend.com/sure-analysis-research-database/","Griffon Corp.")</f>
        <v>0</v>
      </c>
      <c r="C1193" t="s">
        <v>3183</v>
      </c>
      <c r="D1193">
        <v>41.67</v>
      </c>
      <c r="E1193">
        <v>0.010453776003074</v>
      </c>
      <c r="F1193">
        <v>0.25</v>
      </c>
      <c r="G1193">
        <v>0.1151015032663814</v>
      </c>
      <c r="H1193">
        <v>0.4356088460481161</v>
      </c>
      <c r="I1193">
        <v>2275.345388</v>
      </c>
      <c r="J1193" t="s">
        <v>3182</v>
      </c>
      <c r="K1193" t="s">
        <v>3182</v>
      </c>
      <c r="L1193">
        <v>1.24771644075813</v>
      </c>
      <c r="M1193">
        <v>43.77</v>
      </c>
      <c r="N1193">
        <v>24.18</v>
      </c>
    </row>
    <row r="1194" spans="1:14">
      <c r="A1194" s="1" t="s">
        <v>1206</v>
      </c>
      <c r="B1194">
        <f>HYPERLINK("https://www.suredividend.com/sure-analysis-research-database/","General Finance Corporation")</f>
        <v>0</v>
      </c>
      <c r="C1194" t="s">
        <v>3183</v>
      </c>
      <c r="D1194">
        <v>19.01</v>
      </c>
      <c r="E1194">
        <v>0</v>
      </c>
      <c r="F1194" t="s">
        <v>3182</v>
      </c>
      <c r="G1194" t="s">
        <v>3182</v>
      </c>
      <c r="H1194">
        <v>0</v>
      </c>
      <c r="I1194">
        <v>0</v>
      </c>
      <c r="J1194">
        <v>0</v>
      </c>
      <c r="K1194" t="s">
        <v>3182</v>
      </c>
    </row>
    <row r="1195" spans="1:14">
      <c r="A1195" s="1" t="s">
        <v>1207</v>
      </c>
      <c r="B1195">
        <f>HYPERLINK("https://www.suredividend.com/sure-analysis-GGG/","Graco Inc.")</f>
        <v>0</v>
      </c>
      <c r="C1195" t="s">
        <v>3183</v>
      </c>
      <c r="D1195">
        <v>75.86</v>
      </c>
      <c r="E1195">
        <v>0.01239124703401002</v>
      </c>
      <c r="F1195">
        <v>0.1190476190476191</v>
      </c>
      <c r="G1195">
        <v>0.0799150058822331</v>
      </c>
      <c r="H1195">
        <v>0.9357358961631391</v>
      </c>
      <c r="I1195">
        <v>12804.263597</v>
      </c>
      <c r="J1195">
        <v>24.49409486594905</v>
      </c>
      <c r="K1195">
        <v>0.30780786057998</v>
      </c>
      <c r="L1195">
        <v>1.057300909759756</v>
      </c>
      <c r="M1195">
        <v>87.66</v>
      </c>
      <c r="N1195">
        <v>64.42</v>
      </c>
    </row>
    <row r="1196" spans="1:14">
      <c r="A1196" s="1" t="s">
        <v>1208</v>
      </c>
      <c r="B1196">
        <f>HYPERLINK("https://www.suredividend.com/sure-analysis-research-database/","Guardant Health Inc")</f>
        <v>0</v>
      </c>
      <c r="C1196" t="s">
        <v>3180</v>
      </c>
      <c r="D1196">
        <v>26.89</v>
      </c>
      <c r="E1196">
        <v>0</v>
      </c>
      <c r="F1196" t="s">
        <v>3182</v>
      </c>
      <c r="G1196" t="s">
        <v>3182</v>
      </c>
      <c r="H1196">
        <v>0</v>
      </c>
      <c r="I1196">
        <v>3164.741026</v>
      </c>
      <c r="J1196" t="s">
        <v>3182</v>
      </c>
      <c r="K1196">
        <v>-0</v>
      </c>
      <c r="L1196">
        <v>1.942275389326913</v>
      </c>
      <c r="M1196">
        <v>54.47</v>
      </c>
      <c r="N1196">
        <v>20.67</v>
      </c>
    </row>
    <row r="1197" spans="1:14">
      <c r="A1197" s="1" t="s">
        <v>1209</v>
      </c>
      <c r="B1197">
        <f>HYPERLINK("https://www.suredividend.com/sure-analysis-research-database/","Graham Holdings Co.")</f>
        <v>0</v>
      </c>
      <c r="C1197" t="s">
        <v>3188</v>
      </c>
      <c r="D1197">
        <v>598.5700000000001</v>
      </c>
      <c r="E1197">
        <v>0.010979635452122</v>
      </c>
      <c r="F1197">
        <v>0.04430379746835422</v>
      </c>
      <c r="G1197">
        <v>0.03488913822471096</v>
      </c>
      <c r="H1197">
        <v>6.572080392577097</v>
      </c>
      <c r="I1197">
        <v>2143.081121</v>
      </c>
      <c r="J1197">
        <v>10.03216500695156</v>
      </c>
      <c r="K1197">
        <v>0.1469606527857133</v>
      </c>
      <c r="L1197">
        <v>0.7542144774710811</v>
      </c>
      <c r="M1197">
        <v>675.9299999999999</v>
      </c>
      <c r="N1197">
        <v>540.39</v>
      </c>
    </row>
    <row r="1198" spans="1:14">
      <c r="A1198" s="1" t="s">
        <v>1210</v>
      </c>
      <c r="B1198">
        <f>HYPERLINK("https://www.suredividend.com/sure-analysis-research-database/","Greenhill &amp; Co Inc")</f>
        <v>0</v>
      </c>
      <c r="C1198" t="s">
        <v>3184</v>
      </c>
      <c r="D1198">
        <v>14.85</v>
      </c>
      <c r="E1198">
        <v>0.026649030403699</v>
      </c>
      <c r="F1198">
        <v>0</v>
      </c>
      <c r="G1198">
        <v>0.1486983549970351</v>
      </c>
      <c r="H1198">
        <v>0.39573810149494</v>
      </c>
      <c r="I1198">
        <v>279.218521</v>
      </c>
      <c r="J1198">
        <v>18.33225138861532</v>
      </c>
      <c r="K1198">
        <v>0.5890713032077106</v>
      </c>
      <c r="M1198">
        <v>14.91</v>
      </c>
      <c r="N1198">
        <v>6.06</v>
      </c>
    </row>
    <row r="1199" spans="1:14">
      <c r="A1199" s="1" t="s">
        <v>1211</v>
      </c>
      <c r="B1199">
        <f>HYPERLINK("https://www.suredividend.com/sure-analysis-research-database/","Graham Corp.")</f>
        <v>0</v>
      </c>
      <c r="C1199" t="s">
        <v>3183</v>
      </c>
      <c r="D1199">
        <v>16.81</v>
      </c>
      <c r="E1199">
        <v>0</v>
      </c>
      <c r="F1199" t="s">
        <v>3182</v>
      </c>
      <c r="G1199" t="s">
        <v>3182</v>
      </c>
      <c r="H1199">
        <v>0</v>
      </c>
      <c r="I1199">
        <v>179.916085</v>
      </c>
      <c r="J1199">
        <v>77.18407773487773</v>
      </c>
      <c r="K1199">
        <v>0</v>
      </c>
      <c r="L1199">
        <v>0.711359962248256</v>
      </c>
      <c r="M1199">
        <v>17.95</v>
      </c>
      <c r="N1199">
        <v>8.35</v>
      </c>
    </row>
    <row r="1200" spans="1:14">
      <c r="A1200" s="1" t="s">
        <v>1212</v>
      </c>
      <c r="B1200">
        <f>HYPERLINK("https://www.suredividend.com/sure-analysis-research-database/","Gulf Island Fabrication, Inc.")</f>
        <v>0</v>
      </c>
      <c r="C1200" t="s">
        <v>3189</v>
      </c>
      <c r="D1200">
        <v>4.08</v>
      </c>
      <c r="E1200">
        <v>0</v>
      </c>
      <c r="F1200" t="s">
        <v>3182</v>
      </c>
      <c r="G1200" t="s">
        <v>3182</v>
      </c>
      <c r="H1200">
        <v>0</v>
      </c>
      <c r="I1200">
        <v>66.45287399999999</v>
      </c>
      <c r="J1200">
        <v>22.99407388235294</v>
      </c>
      <c r="K1200">
        <v>0</v>
      </c>
      <c r="L1200">
        <v>0.42069316648162</v>
      </c>
      <c r="M1200">
        <v>5.74</v>
      </c>
      <c r="N1200">
        <v>2.95</v>
      </c>
    </row>
    <row r="1201" spans="1:14">
      <c r="A1201" s="1" t="s">
        <v>1213</v>
      </c>
      <c r="B1201">
        <f>HYPERLINK("https://www.suredividend.com/sure-analysis-research-database/","G-III Apparel Group Ltd.")</f>
        <v>0</v>
      </c>
      <c r="C1201" t="s">
        <v>3186</v>
      </c>
      <c r="D1201">
        <v>26.61</v>
      </c>
      <c r="E1201">
        <v>0</v>
      </c>
      <c r="F1201" t="s">
        <v>3182</v>
      </c>
      <c r="G1201" t="s">
        <v>3182</v>
      </c>
      <c r="H1201">
        <v>0</v>
      </c>
      <c r="I1201">
        <v>1216.635863</v>
      </c>
      <c r="J1201" t="s">
        <v>3182</v>
      </c>
      <c r="K1201">
        <v>-0</v>
      </c>
      <c r="L1201">
        <v>1.359429161308362</v>
      </c>
      <c r="M1201">
        <v>26.88</v>
      </c>
      <c r="N1201">
        <v>11.6</v>
      </c>
    </row>
    <row r="1202" spans="1:14">
      <c r="A1202" s="1" t="s">
        <v>1214</v>
      </c>
      <c r="B1202">
        <f>HYPERLINK("https://www.suredividend.com/sure-analysis-GILD/","Gilead Sciences, Inc.")</f>
        <v>0</v>
      </c>
      <c r="C1202" t="s">
        <v>3180</v>
      </c>
      <c r="D1202">
        <v>81.23</v>
      </c>
      <c r="E1202">
        <v>0.0369321679182568</v>
      </c>
      <c r="F1202">
        <v>0.02739726027397271</v>
      </c>
      <c r="G1202">
        <v>0.05642162229904302</v>
      </c>
      <c r="H1202">
        <v>2.902701172589046</v>
      </c>
      <c r="I1202">
        <v>101213.745894</v>
      </c>
      <c r="J1202">
        <v>18.45618998799964</v>
      </c>
      <c r="K1202">
        <v>0.6672876258825394</v>
      </c>
      <c r="L1202">
        <v>0.4448078208867151</v>
      </c>
      <c r="M1202">
        <v>85.09</v>
      </c>
      <c r="N1202">
        <v>71.84</v>
      </c>
    </row>
    <row r="1203" spans="1:14">
      <c r="A1203" s="1" t="s">
        <v>1215</v>
      </c>
      <c r="B1203">
        <f>HYPERLINK("https://www.suredividend.com/sure-analysis-GIS/","General Mills, Inc.")</f>
        <v>0</v>
      </c>
      <c r="C1203" t="s">
        <v>3188</v>
      </c>
      <c r="D1203">
        <v>66.23999999999999</v>
      </c>
      <c r="E1203">
        <v>0.0356280193236715</v>
      </c>
      <c r="F1203">
        <v>0.09259259259259256</v>
      </c>
      <c r="G1203">
        <v>0.03784186694963654</v>
      </c>
      <c r="H1203">
        <v>2.232649391220483</v>
      </c>
      <c r="I1203">
        <v>38503.936129</v>
      </c>
      <c r="J1203">
        <v>15.73258810531993</v>
      </c>
      <c r="K1203">
        <v>0.5445486320049959</v>
      </c>
      <c r="L1203">
        <v>0.081486574377423</v>
      </c>
      <c r="M1203">
        <v>89.34</v>
      </c>
      <c r="N1203">
        <v>60.33</v>
      </c>
    </row>
    <row r="1204" spans="1:14">
      <c r="A1204" s="1" t="s">
        <v>1216</v>
      </c>
      <c r="B1204">
        <f>HYPERLINK("https://www.suredividend.com/sure-analysis-research-database/","Glaukos Corporation")</f>
        <v>0</v>
      </c>
      <c r="C1204" t="s">
        <v>3180</v>
      </c>
      <c r="D1204">
        <v>64.17</v>
      </c>
      <c r="E1204">
        <v>0</v>
      </c>
      <c r="F1204" t="s">
        <v>3182</v>
      </c>
      <c r="G1204" t="s">
        <v>3182</v>
      </c>
      <c r="H1204">
        <v>0</v>
      </c>
      <c r="I1204">
        <v>3131.469113</v>
      </c>
      <c r="J1204" t="s">
        <v>3182</v>
      </c>
      <c r="K1204">
        <v>-0</v>
      </c>
      <c r="L1204">
        <v>0.8553664592026641</v>
      </c>
      <c r="M1204">
        <v>80.28</v>
      </c>
      <c r="N1204">
        <v>40.45</v>
      </c>
    </row>
    <row r="1205" spans="1:14">
      <c r="A1205" s="1" t="s">
        <v>1217</v>
      </c>
      <c r="B1205">
        <f>HYPERLINK("https://www.suredividend.com/sure-analysis-GL/","Globe Life Inc")</f>
        <v>0</v>
      </c>
      <c r="C1205" t="s">
        <v>3184</v>
      </c>
      <c r="D1205">
        <v>115.87</v>
      </c>
      <c r="E1205">
        <v>0.007767325450936394</v>
      </c>
      <c r="F1205">
        <v>0.0843373493975903</v>
      </c>
      <c r="G1205">
        <v>0.05457794330579446</v>
      </c>
      <c r="H1205">
        <v>0.8798368428943271</v>
      </c>
      <c r="I1205">
        <v>10973.658609</v>
      </c>
      <c r="J1205">
        <v>13.10743029343927</v>
      </c>
      <c r="K1205">
        <v>0.1026647424614151</v>
      </c>
      <c r="L1205">
        <v>0.520449733139666</v>
      </c>
      <c r="M1205">
        <v>123.09</v>
      </c>
      <c r="N1205">
        <v>101.81</v>
      </c>
    </row>
    <row r="1206" spans="1:14">
      <c r="A1206" s="1" t="s">
        <v>1218</v>
      </c>
      <c r="B1206">
        <f>HYPERLINK("https://www.suredividend.com/sure-analysis-research-database/","Glen Burnie Bancorp")</f>
        <v>0</v>
      </c>
      <c r="C1206" t="s">
        <v>3184</v>
      </c>
      <c r="D1206">
        <v>5.11</v>
      </c>
      <c r="E1206">
        <v>0.07715532965653001</v>
      </c>
      <c r="F1206">
        <v>0</v>
      </c>
      <c r="G1206">
        <v>0</v>
      </c>
      <c r="H1206">
        <v>0.385776648282653</v>
      </c>
      <c r="I1206">
        <v>14.38542</v>
      </c>
      <c r="J1206">
        <v>0</v>
      </c>
      <c r="K1206" t="s">
        <v>3182</v>
      </c>
      <c r="M1206">
        <v>9.35</v>
      </c>
      <c r="N1206">
        <v>4.9</v>
      </c>
    </row>
    <row r="1207" spans="1:14">
      <c r="A1207" s="1" t="s">
        <v>1219</v>
      </c>
      <c r="B1207">
        <f>HYPERLINK("https://www.suredividend.com/sure-analysis-research-database/","Great Lakes Dredge &amp; Dock Corporation")</f>
        <v>0</v>
      </c>
      <c r="C1207" t="s">
        <v>3183</v>
      </c>
      <c r="D1207">
        <v>7.68</v>
      </c>
      <c r="E1207">
        <v>0</v>
      </c>
      <c r="F1207" t="s">
        <v>3182</v>
      </c>
      <c r="G1207" t="s">
        <v>3182</v>
      </c>
      <c r="H1207">
        <v>0</v>
      </c>
      <c r="I1207">
        <v>510.658337</v>
      </c>
      <c r="J1207" t="s">
        <v>3182</v>
      </c>
      <c r="K1207">
        <v>-0</v>
      </c>
      <c r="L1207">
        <v>1.204478374008164</v>
      </c>
      <c r="M1207">
        <v>9.67</v>
      </c>
      <c r="N1207">
        <v>4.75</v>
      </c>
    </row>
    <row r="1208" spans="1:14">
      <c r="A1208" s="1" t="s">
        <v>1220</v>
      </c>
      <c r="B1208">
        <f>HYPERLINK("https://www.suredividend.com/sure-analysis-research-database/","GCI Liberty Inc")</f>
        <v>0</v>
      </c>
      <c r="C1208" t="s">
        <v>3191</v>
      </c>
      <c r="D1208">
        <v>91.73</v>
      </c>
      <c r="E1208">
        <v>0</v>
      </c>
      <c r="F1208" t="s">
        <v>3182</v>
      </c>
      <c r="G1208" t="s">
        <v>3182</v>
      </c>
      <c r="H1208">
        <v>0</v>
      </c>
      <c r="I1208">
        <v>0</v>
      </c>
      <c r="J1208">
        <v>0</v>
      </c>
      <c r="K1208" t="s">
        <v>3182</v>
      </c>
    </row>
    <row r="1209" spans="1:14">
      <c r="A1209" s="1" t="s">
        <v>1221</v>
      </c>
      <c r="B1209">
        <f>HYPERLINK("https://www.suredividend.com/sure-analysis-GLPI/","Gaming and Leisure Properties Inc")</f>
        <v>0</v>
      </c>
      <c r="C1209" t="s">
        <v>3187</v>
      </c>
      <c r="D1209">
        <v>45.95</v>
      </c>
      <c r="E1209">
        <v>0.06354733405875952</v>
      </c>
      <c r="F1209">
        <v>0.03546099290780136</v>
      </c>
      <c r="G1209">
        <v>0.01429150810765534</v>
      </c>
      <c r="H1209">
        <v>2.762936729631017</v>
      </c>
      <c r="I1209">
        <v>12269.372794</v>
      </c>
      <c r="J1209">
        <v>17.12109825319589</v>
      </c>
      <c r="K1209">
        <v>1.012064736128578</v>
      </c>
      <c r="L1209">
        <v>0.648422819269443</v>
      </c>
      <c r="M1209">
        <v>51.28</v>
      </c>
      <c r="N1209">
        <v>43.54</v>
      </c>
    </row>
    <row r="1210" spans="1:14">
      <c r="A1210" s="1" t="s">
        <v>1222</v>
      </c>
      <c r="B1210">
        <f>HYPERLINK("https://www.suredividend.com/sure-analysis-research-database/","Greenlight Capital Re Ltd")</f>
        <v>0</v>
      </c>
      <c r="C1210" t="s">
        <v>3184</v>
      </c>
      <c r="D1210">
        <v>11.35</v>
      </c>
      <c r="E1210">
        <v>0</v>
      </c>
      <c r="F1210" t="s">
        <v>3182</v>
      </c>
      <c r="G1210" t="s">
        <v>3182</v>
      </c>
      <c r="H1210">
        <v>0</v>
      </c>
      <c r="I1210">
        <v>400.337348</v>
      </c>
      <c r="J1210">
        <v>5.558079462847781</v>
      </c>
      <c r="K1210">
        <v>0</v>
      </c>
      <c r="L1210">
        <v>0.382441138353409</v>
      </c>
      <c r="M1210">
        <v>11.72</v>
      </c>
      <c r="N1210">
        <v>7.48</v>
      </c>
    </row>
    <row r="1211" spans="1:14">
      <c r="A1211" s="1" t="s">
        <v>1223</v>
      </c>
      <c r="B1211">
        <f>HYPERLINK("https://www.suredividend.com/sure-analysis-research-database/","Glatfelter Corporation")</f>
        <v>0</v>
      </c>
      <c r="C1211" t="s">
        <v>3181</v>
      </c>
      <c r="D1211">
        <v>1.57</v>
      </c>
      <c r="E1211">
        <v>0</v>
      </c>
      <c r="F1211" t="s">
        <v>3182</v>
      </c>
      <c r="G1211" t="s">
        <v>3182</v>
      </c>
      <c r="H1211">
        <v>0</v>
      </c>
      <c r="I1211">
        <v>70.72207899999999</v>
      </c>
      <c r="J1211" t="s">
        <v>3182</v>
      </c>
      <c r="K1211">
        <v>-0</v>
      </c>
      <c r="L1211">
        <v>1.38306060900048</v>
      </c>
      <c r="M1211">
        <v>4.87</v>
      </c>
      <c r="N1211">
        <v>1.44</v>
      </c>
    </row>
    <row r="1212" spans="1:14">
      <c r="A1212" s="1" t="s">
        <v>1224</v>
      </c>
      <c r="B1212">
        <f>HYPERLINK("https://www.suredividend.com/sure-analysis-research-database/","Glu Mobile Inc")</f>
        <v>0</v>
      </c>
      <c r="C1212" t="s">
        <v>3191</v>
      </c>
      <c r="D1212">
        <v>12.5</v>
      </c>
      <c r="E1212">
        <v>0</v>
      </c>
      <c r="F1212" t="s">
        <v>3182</v>
      </c>
      <c r="G1212" t="s">
        <v>3182</v>
      </c>
      <c r="H1212">
        <v>0</v>
      </c>
      <c r="I1212">
        <v>0</v>
      </c>
      <c r="J1212">
        <v>0</v>
      </c>
      <c r="K1212">
        <v>0</v>
      </c>
    </row>
    <row r="1213" spans="1:14">
      <c r="A1213" s="1" t="s">
        <v>1225</v>
      </c>
      <c r="B1213">
        <f>HYPERLINK("https://www.suredividend.com/sure-analysis-GLW/","Corning, Inc.")</f>
        <v>0</v>
      </c>
      <c r="C1213" t="s">
        <v>3185</v>
      </c>
      <c r="D1213">
        <v>27.38</v>
      </c>
      <c r="E1213">
        <v>0.04090577063550037</v>
      </c>
      <c r="F1213">
        <v>0.03703703703703698</v>
      </c>
      <c r="G1213">
        <v>0.09238846414037316</v>
      </c>
      <c r="H1213">
        <v>1.095928143845405</v>
      </c>
      <c r="I1213">
        <v>23359.928187</v>
      </c>
      <c r="J1213">
        <v>39.93150117439316</v>
      </c>
      <c r="K1213">
        <v>1.608819941053149</v>
      </c>
      <c r="L1213">
        <v>0.9524168046871661</v>
      </c>
      <c r="M1213">
        <v>36.16</v>
      </c>
      <c r="N1213">
        <v>25.26</v>
      </c>
    </row>
    <row r="1214" spans="1:14">
      <c r="A1214" s="1" t="s">
        <v>1226</v>
      </c>
      <c r="B1214">
        <f>HYPERLINK("https://www.suredividend.com/sure-analysis-research-database/","GlycoMimetics Inc")</f>
        <v>0</v>
      </c>
      <c r="C1214" t="s">
        <v>3180</v>
      </c>
      <c r="D1214">
        <v>1.29</v>
      </c>
      <c r="E1214">
        <v>0</v>
      </c>
      <c r="F1214" t="s">
        <v>3182</v>
      </c>
      <c r="G1214" t="s">
        <v>3182</v>
      </c>
      <c r="H1214">
        <v>0</v>
      </c>
      <c r="I1214">
        <v>82.967986</v>
      </c>
      <c r="J1214">
        <v>0</v>
      </c>
      <c r="K1214" t="s">
        <v>3182</v>
      </c>
      <c r="L1214">
        <v>1.391512842986386</v>
      </c>
      <c r="M1214">
        <v>4.16</v>
      </c>
      <c r="N1214">
        <v>0.66</v>
      </c>
    </row>
    <row r="1215" spans="1:14">
      <c r="A1215" s="1" t="s">
        <v>1227</v>
      </c>
      <c r="B1215">
        <f>HYPERLINK("https://www.suredividend.com/sure-analysis-research-database/","General Motors Company")</f>
        <v>0</v>
      </c>
      <c r="C1215" t="s">
        <v>3186</v>
      </c>
      <c r="D1215">
        <v>28.8</v>
      </c>
      <c r="E1215">
        <v>0.012450200669031</v>
      </c>
      <c r="F1215" t="s">
        <v>3182</v>
      </c>
      <c r="G1215" t="s">
        <v>3182</v>
      </c>
      <c r="H1215">
        <v>0.358565779268118</v>
      </c>
      <c r="I1215">
        <v>39441.058733</v>
      </c>
      <c r="J1215">
        <v>3.972309269090543</v>
      </c>
      <c r="K1215">
        <v>0.0505022224321293</v>
      </c>
      <c r="L1215">
        <v>1.311221781847313</v>
      </c>
      <c r="M1215">
        <v>43.29</v>
      </c>
      <c r="N1215">
        <v>26.79</v>
      </c>
    </row>
    <row r="1216" spans="1:14">
      <c r="A1216" s="1" t="s">
        <v>1228</v>
      </c>
      <c r="B1216">
        <f>HYPERLINK("https://www.suredividend.com/sure-analysis-research-database/","Gamestop Corporation")</f>
        <v>0</v>
      </c>
      <c r="C1216" t="s">
        <v>3186</v>
      </c>
      <c r="D1216">
        <v>13.64</v>
      </c>
      <c r="E1216">
        <v>0</v>
      </c>
      <c r="F1216" t="s">
        <v>3182</v>
      </c>
      <c r="G1216" t="s">
        <v>3182</v>
      </c>
      <c r="H1216">
        <v>0</v>
      </c>
      <c r="I1216">
        <v>4153.6528</v>
      </c>
      <c r="J1216" t="s">
        <v>3182</v>
      </c>
      <c r="K1216">
        <v>-0</v>
      </c>
      <c r="L1216">
        <v>1.534267084167336</v>
      </c>
      <c r="M1216">
        <v>28.7</v>
      </c>
      <c r="N1216">
        <v>12.59</v>
      </c>
    </row>
    <row r="1217" spans="1:14">
      <c r="A1217" s="1" t="s">
        <v>1229</v>
      </c>
      <c r="B1217">
        <f>HYPERLINK("https://www.suredividend.com/sure-analysis-research-database/","Globus Medical Inc")</f>
        <v>0</v>
      </c>
      <c r="C1217" t="s">
        <v>3180</v>
      </c>
      <c r="D1217">
        <v>46.29</v>
      </c>
      <c r="E1217">
        <v>0</v>
      </c>
      <c r="F1217" t="s">
        <v>3182</v>
      </c>
      <c r="G1217" t="s">
        <v>3182</v>
      </c>
      <c r="H1217">
        <v>0</v>
      </c>
      <c r="I1217">
        <v>4650.325664</v>
      </c>
      <c r="J1217">
        <v>22.75822989649401</v>
      </c>
      <c r="K1217">
        <v>0</v>
      </c>
      <c r="L1217">
        <v>1.119327574776808</v>
      </c>
      <c r="M1217">
        <v>80.04000000000001</v>
      </c>
      <c r="N1217">
        <v>44.72</v>
      </c>
    </row>
    <row r="1218" spans="1:14">
      <c r="A1218" s="1" t="s">
        <v>1230</v>
      </c>
      <c r="B1218">
        <f>HYPERLINK("https://www.suredividend.com/sure-analysis-GMRE/","Global Medical REIT Inc")</f>
        <v>0</v>
      </c>
      <c r="C1218" t="s">
        <v>3187</v>
      </c>
      <c r="D1218">
        <v>9.16</v>
      </c>
      <c r="E1218">
        <v>0.09170305676855894</v>
      </c>
      <c r="F1218">
        <v>0</v>
      </c>
      <c r="G1218">
        <v>0.009805797673485328</v>
      </c>
      <c r="H1218">
        <v>0.8119772644230651</v>
      </c>
      <c r="I1218">
        <v>600.574878</v>
      </c>
      <c r="J1218">
        <v>0</v>
      </c>
      <c r="K1218" t="s">
        <v>3182</v>
      </c>
      <c r="L1218">
        <v>1.056127779849572</v>
      </c>
      <c r="M1218">
        <v>10.99</v>
      </c>
      <c r="N1218">
        <v>7.69</v>
      </c>
    </row>
    <row r="1219" spans="1:14">
      <c r="A1219" s="1" t="s">
        <v>1231</v>
      </c>
      <c r="B1219">
        <f>HYPERLINK("https://www.suredividend.com/sure-analysis-research-database/","GMS Inc")</f>
        <v>0</v>
      </c>
      <c r="C1219" t="s">
        <v>3183</v>
      </c>
      <c r="D1219">
        <v>60.58</v>
      </c>
      <c r="E1219">
        <v>0</v>
      </c>
      <c r="F1219" t="s">
        <v>3182</v>
      </c>
      <c r="G1219" t="s">
        <v>3182</v>
      </c>
      <c r="H1219">
        <v>0</v>
      </c>
      <c r="I1219">
        <v>2459.127272</v>
      </c>
      <c r="J1219">
        <v>7.443983132789063</v>
      </c>
      <c r="K1219">
        <v>0</v>
      </c>
      <c r="L1219">
        <v>1.355452577708599</v>
      </c>
      <c r="M1219">
        <v>76.14</v>
      </c>
      <c r="N1219">
        <v>44.49</v>
      </c>
    </row>
    <row r="1220" spans="1:14">
      <c r="A1220" s="1" t="s">
        <v>1232</v>
      </c>
      <c r="B1220">
        <f>HYPERLINK("https://www.suredividend.com/sure-analysis-research-database/","Genocea Biosciences Inc")</f>
        <v>0</v>
      </c>
      <c r="C1220" t="s">
        <v>3180</v>
      </c>
      <c r="D1220">
        <v>0.051</v>
      </c>
      <c r="E1220">
        <v>0</v>
      </c>
      <c r="F1220" t="s">
        <v>3182</v>
      </c>
      <c r="G1220" t="s">
        <v>3182</v>
      </c>
      <c r="H1220">
        <v>0</v>
      </c>
      <c r="I1220">
        <v>0</v>
      </c>
      <c r="J1220">
        <v>0</v>
      </c>
      <c r="K1220" t="s">
        <v>3182</v>
      </c>
    </row>
    <row r="1221" spans="1:14">
      <c r="A1221" s="1" t="s">
        <v>1233</v>
      </c>
      <c r="B1221">
        <f>HYPERLINK("https://www.suredividend.com/sure-analysis-research-database/","Genie Energy Ltd")</f>
        <v>0</v>
      </c>
      <c r="C1221" t="s">
        <v>3190</v>
      </c>
      <c r="D1221">
        <v>20.11</v>
      </c>
      <c r="E1221">
        <v>0.014774153067443</v>
      </c>
      <c r="F1221" t="s">
        <v>3182</v>
      </c>
      <c r="G1221" t="s">
        <v>3182</v>
      </c>
      <c r="H1221">
        <v>0.297108218186284</v>
      </c>
      <c r="I1221">
        <v>520.551774</v>
      </c>
      <c r="J1221">
        <v>0</v>
      </c>
      <c r="K1221" t="s">
        <v>3182</v>
      </c>
      <c r="L1221">
        <v>0.505435738815429</v>
      </c>
      <c r="M1221">
        <v>20.51</v>
      </c>
      <c r="N1221">
        <v>8.029999999999999</v>
      </c>
    </row>
    <row r="1222" spans="1:14">
      <c r="A1222" s="1" t="s">
        <v>1234</v>
      </c>
      <c r="B1222">
        <f>HYPERLINK("https://www.suredividend.com/sure-analysis-research-database/","Genco Shipping &amp; Trading Limited")</f>
        <v>0</v>
      </c>
      <c r="C1222" t="s">
        <v>3183</v>
      </c>
      <c r="D1222">
        <v>13.2</v>
      </c>
      <c r="E1222">
        <v>0.11603746207779</v>
      </c>
      <c r="F1222" t="s">
        <v>3182</v>
      </c>
      <c r="G1222" t="s">
        <v>3182</v>
      </c>
      <c r="H1222">
        <v>1.531694499426838</v>
      </c>
      <c r="I1222">
        <v>561.378695</v>
      </c>
      <c r="J1222">
        <v>0</v>
      </c>
      <c r="K1222" t="s">
        <v>3182</v>
      </c>
      <c r="L1222">
        <v>1.060246054287559</v>
      </c>
      <c r="M1222">
        <v>18.92</v>
      </c>
      <c r="N1222">
        <v>12.26</v>
      </c>
    </row>
    <row r="1223" spans="1:14">
      <c r="A1223" s="1" t="s">
        <v>1235</v>
      </c>
      <c r="B1223">
        <f>HYPERLINK("https://www.suredividend.com/sure-analysis-GNL/","Global Net Lease Inc")</f>
        <v>0</v>
      </c>
      <c r="C1223" t="s">
        <v>3187</v>
      </c>
      <c r="D1223">
        <v>8.449999999999999</v>
      </c>
      <c r="E1223">
        <v>0.1893491124260355</v>
      </c>
      <c r="F1223">
        <v>-0.1150000000000001</v>
      </c>
      <c r="G1223">
        <v>0.1480504705717458</v>
      </c>
      <c r="H1223">
        <v>1.465444493186444</v>
      </c>
      <c r="I1223">
        <v>882.43857</v>
      </c>
      <c r="J1223" t="s">
        <v>3182</v>
      </c>
      <c r="K1223" t="s">
        <v>3182</v>
      </c>
      <c r="L1223">
        <v>1.067677684827298</v>
      </c>
      <c r="M1223">
        <v>13.68</v>
      </c>
      <c r="N1223">
        <v>7.56</v>
      </c>
    </row>
    <row r="1224" spans="1:14">
      <c r="A1224" s="1" t="s">
        <v>1236</v>
      </c>
      <c r="B1224">
        <f>HYPERLINK("https://www.suredividend.com/sure-analysis-research-database/","GenMark Diagnostics Inc")</f>
        <v>0</v>
      </c>
      <c r="C1224" t="s">
        <v>3180</v>
      </c>
      <c r="D1224">
        <v>24.04</v>
      </c>
      <c r="E1224">
        <v>0</v>
      </c>
      <c r="F1224" t="s">
        <v>3182</v>
      </c>
      <c r="G1224" t="s">
        <v>3182</v>
      </c>
      <c r="H1224">
        <v>0</v>
      </c>
      <c r="I1224">
        <v>0</v>
      </c>
      <c r="J1224">
        <v>0</v>
      </c>
      <c r="K1224" t="s">
        <v>3182</v>
      </c>
    </row>
    <row r="1225" spans="1:14">
      <c r="A1225" s="1" t="s">
        <v>1237</v>
      </c>
      <c r="B1225">
        <f>HYPERLINK("https://www.suredividend.com/sure-analysis-research-database/","Generac Holdings Inc")</f>
        <v>0</v>
      </c>
      <c r="C1225" t="s">
        <v>3183</v>
      </c>
      <c r="D1225">
        <v>99.36</v>
      </c>
      <c r="E1225">
        <v>0</v>
      </c>
      <c r="F1225" t="s">
        <v>3182</v>
      </c>
      <c r="G1225" t="s">
        <v>3182</v>
      </c>
      <c r="H1225">
        <v>0</v>
      </c>
      <c r="I1225">
        <v>6184.422451</v>
      </c>
      <c r="J1225">
        <v>40.57141465903052</v>
      </c>
      <c r="K1225">
        <v>0</v>
      </c>
      <c r="L1225">
        <v>2.173261949346288</v>
      </c>
      <c r="M1225">
        <v>156.95</v>
      </c>
      <c r="N1225">
        <v>79.86</v>
      </c>
    </row>
    <row r="1226" spans="1:14">
      <c r="A1226" s="1" t="s">
        <v>1238</v>
      </c>
      <c r="B1226">
        <f>HYPERLINK("https://www.suredividend.com/sure-analysis-GNTX/","Gentex Corp.")</f>
        <v>0</v>
      </c>
      <c r="C1226" t="s">
        <v>3186</v>
      </c>
      <c r="D1226">
        <v>29.54</v>
      </c>
      <c r="E1226">
        <v>0.01624915368991198</v>
      </c>
      <c r="F1226">
        <v>0</v>
      </c>
      <c r="G1226">
        <v>0.01755457717558762</v>
      </c>
      <c r="H1226">
        <v>0.476184042825986</v>
      </c>
      <c r="I1226">
        <v>6895.693798</v>
      </c>
      <c r="J1226">
        <v>19.15130510541865</v>
      </c>
      <c r="K1226">
        <v>0.305246181298709</v>
      </c>
      <c r="L1226">
        <v>0.9384447654661521</v>
      </c>
      <c r="M1226">
        <v>34.2</v>
      </c>
      <c r="N1226">
        <v>25.35</v>
      </c>
    </row>
    <row r="1227" spans="1:14">
      <c r="A1227" s="1" t="s">
        <v>1239</v>
      </c>
      <c r="B1227">
        <f>HYPERLINK("https://www.suredividend.com/sure-analysis-research-database/","Guaranty Bancshares, Inc. (TX)")</f>
        <v>0</v>
      </c>
      <c r="C1227" t="s">
        <v>3184</v>
      </c>
      <c r="D1227">
        <v>29.56</v>
      </c>
      <c r="E1227">
        <v>0.023149156974209</v>
      </c>
      <c r="F1227">
        <v>0.04545454545454541</v>
      </c>
      <c r="G1227">
        <v>0.06232103966616465</v>
      </c>
      <c r="H1227">
        <v>0.684289080157626</v>
      </c>
      <c r="I1227">
        <v>341.929447</v>
      </c>
      <c r="J1227">
        <v>0</v>
      </c>
      <c r="K1227" t="s">
        <v>3182</v>
      </c>
      <c r="L1227">
        <v>0.7634726291244921</v>
      </c>
      <c r="M1227">
        <v>36.04</v>
      </c>
      <c r="N1227">
        <v>21.75</v>
      </c>
    </row>
    <row r="1228" spans="1:14">
      <c r="A1228" s="1" t="s">
        <v>1240</v>
      </c>
      <c r="B1228">
        <f>HYPERLINK("https://www.suredividend.com/sure-analysis-research-database/","Genworth Financial Inc")</f>
        <v>0</v>
      </c>
      <c r="C1228" t="s">
        <v>3184</v>
      </c>
      <c r="D1228">
        <v>6.09</v>
      </c>
      <c r="E1228">
        <v>0</v>
      </c>
      <c r="F1228" t="s">
        <v>3182</v>
      </c>
      <c r="G1228" t="s">
        <v>3182</v>
      </c>
      <c r="H1228">
        <v>0</v>
      </c>
      <c r="I1228">
        <v>2820.201748</v>
      </c>
      <c r="J1228">
        <v>5.900003657635984</v>
      </c>
      <c r="K1228">
        <v>0</v>
      </c>
      <c r="L1228">
        <v>0.942027944407097</v>
      </c>
      <c r="M1228">
        <v>6.4</v>
      </c>
      <c r="N1228">
        <v>4.48</v>
      </c>
    </row>
    <row r="1229" spans="1:14">
      <c r="A1229" s="1" t="s">
        <v>1241</v>
      </c>
      <c r="B1229">
        <f>HYPERLINK("https://www.suredividend.com/sure-analysis-research-database/","Gogo Inc")</f>
        <v>0</v>
      </c>
      <c r="C1229" t="s">
        <v>3191</v>
      </c>
      <c r="D1229">
        <v>10.69</v>
      </c>
      <c r="E1229">
        <v>0</v>
      </c>
      <c r="F1229" t="s">
        <v>3182</v>
      </c>
      <c r="G1229" t="s">
        <v>3182</v>
      </c>
      <c r="H1229">
        <v>0</v>
      </c>
      <c r="I1229">
        <v>1375.771807</v>
      </c>
      <c r="J1229">
        <v>8.699487850187172</v>
      </c>
      <c r="K1229">
        <v>0</v>
      </c>
      <c r="L1229">
        <v>0.977501801562032</v>
      </c>
      <c r="M1229">
        <v>17.94</v>
      </c>
      <c r="N1229">
        <v>10.39</v>
      </c>
    </row>
    <row r="1230" spans="1:14">
      <c r="A1230" s="1" t="s">
        <v>1242</v>
      </c>
      <c r="B1230">
        <f>HYPERLINK("https://www.suredividend.com/sure-analysis-research-database/","Acushnet Holdings Corp")</f>
        <v>0</v>
      </c>
      <c r="C1230" t="s">
        <v>3186</v>
      </c>
      <c r="D1230">
        <v>54.9</v>
      </c>
      <c r="E1230">
        <v>0.013857483628679</v>
      </c>
      <c r="F1230">
        <v>0.08333333333333348</v>
      </c>
      <c r="G1230">
        <v>0.08447177119769855</v>
      </c>
      <c r="H1230">
        <v>0.7607758512145111</v>
      </c>
      <c r="I1230">
        <v>3654.17425</v>
      </c>
      <c r="J1230">
        <v>16.63188239853624</v>
      </c>
      <c r="K1230">
        <v>0.2422853029345577</v>
      </c>
      <c r="L1230">
        <v>0.818887292498464</v>
      </c>
      <c r="M1230">
        <v>61.77</v>
      </c>
      <c r="N1230">
        <v>41.58</v>
      </c>
    </row>
    <row r="1231" spans="1:14">
      <c r="A1231" s="1" t="s">
        <v>1243</v>
      </c>
      <c r="B1231">
        <f>HYPERLINK("https://www.suredividend.com/sure-analysis-GOOD/","Gladstone Commercial Corp")</f>
        <v>0</v>
      </c>
      <c r="C1231" t="s">
        <v>3187</v>
      </c>
      <c r="D1231">
        <v>12.48</v>
      </c>
      <c r="E1231">
        <v>0.09615384615384615</v>
      </c>
      <c r="F1231">
        <v>0</v>
      </c>
      <c r="G1231">
        <v>-0.04425839339455884</v>
      </c>
      <c r="H1231">
        <v>1.166648306309471</v>
      </c>
      <c r="I1231">
        <v>498.176578</v>
      </c>
      <c r="J1231" t="s">
        <v>3182</v>
      </c>
      <c r="K1231" t="s">
        <v>3182</v>
      </c>
      <c r="L1231">
        <v>0.9059402675438861</v>
      </c>
      <c r="M1231">
        <v>17.8</v>
      </c>
      <c r="N1231">
        <v>10.01</v>
      </c>
    </row>
    <row r="1232" spans="1:14">
      <c r="A1232" s="1" t="s">
        <v>1244</v>
      </c>
      <c r="B1232">
        <f>HYPERLINK("https://www.suredividend.com/sure-analysis-research-database/","Alphabet Inc")</f>
        <v>0</v>
      </c>
      <c r="C1232" t="s">
        <v>3191</v>
      </c>
      <c r="D1232">
        <v>128.58</v>
      </c>
      <c r="E1232">
        <v>0</v>
      </c>
      <c r="F1232" t="s">
        <v>3182</v>
      </c>
      <c r="G1232" t="s">
        <v>3182</v>
      </c>
      <c r="H1232">
        <v>0</v>
      </c>
      <c r="I1232">
        <v>1490606.32</v>
      </c>
      <c r="J1232">
        <v>22.33720433974705</v>
      </c>
      <c r="K1232">
        <v>0</v>
      </c>
      <c r="L1232">
        <v>1.453527907279479</v>
      </c>
      <c r="M1232">
        <v>142.38</v>
      </c>
      <c r="N1232">
        <v>83.88</v>
      </c>
    </row>
    <row r="1233" spans="1:14">
      <c r="A1233" s="1" t="s">
        <v>1245</v>
      </c>
      <c r="B1233">
        <f>HYPERLINK("https://www.suredividend.com/sure-analysis-research-database/","Alphabet Inc")</f>
        <v>0</v>
      </c>
      <c r="C1233" t="s">
        <v>3191</v>
      </c>
      <c r="D1233">
        <v>127.49</v>
      </c>
      <c r="E1233">
        <v>0</v>
      </c>
      <c r="F1233" t="s">
        <v>3182</v>
      </c>
      <c r="G1233" t="s">
        <v>3182</v>
      </c>
      <c r="H1233">
        <v>0</v>
      </c>
      <c r="I1233">
        <v>1607521.41</v>
      </c>
      <c r="J1233">
        <v>22.33720433974705</v>
      </c>
      <c r="K1233">
        <v>0</v>
      </c>
      <c r="L1233">
        <v>1.427241230887771</v>
      </c>
      <c r="M1233">
        <v>141.22</v>
      </c>
      <c r="N1233">
        <v>83.70999999999999</v>
      </c>
    </row>
    <row r="1234" spans="1:14">
      <c r="A1234" s="1" t="s">
        <v>1246</v>
      </c>
      <c r="B1234">
        <f>HYPERLINK("https://www.suredividend.com/sure-analysis-research-database/","Gold Resource Corp")</f>
        <v>0</v>
      </c>
      <c r="C1234" t="s">
        <v>3181</v>
      </c>
      <c r="D1234">
        <v>0.4051</v>
      </c>
      <c r="E1234">
        <v>0.024685262346291</v>
      </c>
      <c r="F1234">
        <v>0</v>
      </c>
      <c r="G1234">
        <v>0.2457311887618547</v>
      </c>
      <c r="H1234">
        <v>0.009999999776482001</v>
      </c>
      <c r="I1234">
        <v>35.838606</v>
      </c>
      <c r="J1234" t="s">
        <v>3182</v>
      </c>
      <c r="K1234" t="s">
        <v>3182</v>
      </c>
      <c r="L1234">
        <v>0.874598781716544</v>
      </c>
      <c r="M1234">
        <v>1.8</v>
      </c>
      <c r="N1234">
        <v>0.3762</v>
      </c>
    </row>
    <row r="1235" spans="1:14">
      <c r="A1235" s="1" t="s">
        <v>1247</v>
      </c>
      <c r="B1235">
        <f>HYPERLINK("https://www.suredividend.com/sure-analysis-research-database/","Gossamer Bio Inc")</f>
        <v>0</v>
      </c>
      <c r="C1235" t="s">
        <v>3180</v>
      </c>
      <c r="D1235">
        <v>0.5182</v>
      </c>
      <c r="E1235">
        <v>0</v>
      </c>
      <c r="F1235" t="s">
        <v>3182</v>
      </c>
      <c r="G1235" t="s">
        <v>3182</v>
      </c>
      <c r="H1235">
        <v>0</v>
      </c>
      <c r="I1235">
        <v>116.761934</v>
      </c>
      <c r="J1235">
        <v>0</v>
      </c>
      <c r="K1235" t="s">
        <v>3182</v>
      </c>
      <c r="L1235">
        <v>2.458350156754141</v>
      </c>
      <c r="M1235">
        <v>10.57</v>
      </c>
      <c r="N1235">
        <v>0.4525</v>
      </c>
    </row>
    <row r="1236" spans="1:14">
      <c r="A1236" s="1" t="s">
        <v>1248</v>
      </c>
      <c r="B1236">
        <f>HYPERLINK("https://www.suredividend.com/sure-analysis-GPC/","Genuine Parts Co.")</f>
        <v>0</v>
      </c>
      <c r="C1236" t="s">
        <v>3186</v>
      </c>
      <c r="D1236">
        <v>130.69</v>
      </c>
      <c r="E1236">
        <v>0.02907644043155559</v>
      </c>
      <c r="F1236">
        <v>0.06145251396648055</v>
      </c>
      <c r="G1236">
        <v>0.05700787217295233</v>
      </c>
      <c r="H1236">
        <v>3.710880586366384</v>
      </c>
      <c r="I1236">
        <v>18322.297705</v>
      </c>
      <c r="J1236">
        <v>14.63880771428343</v>
      </c>
      <c r="K1236">
        <v>0.4193085408323598</v>
      </c>
      <c r="L1236">
        <v>0.7442975097735811</v>
      </c>
      <c r="M1236">
        <v>184.33</v>
      </c>
      <c r="N1236">
        <v>126.35</v>
      </c>
    </row>
    <row r="1237" spans="1:14">
      <c r="A1237" s="1" t="s">
        <v>1249</v>
      </c>
      <c r="B1237">
        <f>HYPERLINK("https://www.suredividend.com/sure-analysis-research-database/","Group 1 Automotive, Inc.")</f>
        <v>0</v>
      </c>
      <c r="C1237" t="s">
        <v>3186</v>
      </c>
      <c r="D1237">
        <v>267.41</v>
      </c>
      <c r="E1237">
        <v>0.006489693192593</v>
      </c>
      <c r="F1237" t="s">
        <v>3182</v>
      </c>
      <c r="G1237" t="s">
        <v>3182</v>
      </c>
      <c r="H1237">
        <v>1.735408856631524</v>
      </c>
      <c r="I1237">
        <v>3696.339706</v>
      </c>
      <c r="J1237">
        <v>5.838476868788502</v>
      </c>
      <c r="K1237">
        <v>0.03808226589053158</v>
      </c>
      <c r="L1237">
        <v>1.055530561702795</v>
      </c>
      <c r="M1237">
        <v>277</v>
      </c>
      <c r="N1237">
        <v>158.97</v>
      </c>
    </row>
    <row r="1238" spans="1:14">
      <c r="A1238" s="1" t="s">
        <v>1250</v>
      </c>
      <c r="B1238">
        <f>HYPERLINK("https://www.suredividend.com/sure-analysis-research-database/","Graphic Packaging Holding Co")</f>
        <v>0</v>
      </c>
      <c r="C1238" t="s">
        <v>3186</v>
      </c>
      <c r="D1238">
        <v>21.89</v>
      </c>
      <c r="E1238">
        <v>0.018158010794975</v>
      </c>
      <c r="F1238">
        <v>0.3333333333333335</v>
      </c>
      <c r="G1238">
        <v>0.05922384104881218</v>
      </c>
      <c r="H1238">
        <v>0.397478856302021</v>
      </c>
      <c r="I1238">
        <v>6699.497215</v>
      </c>
      <c r="J1238">
        <v>9.808927108125916</v>
      </c>
      <c r="K1238">
        <v>0.1798546861095118</v>
      </c>
      <c r="L1238">
        <v>0.485012629817674</v>
      </c>
      <c r="M1238">
        <v>27.33</v>
      </c>
      <c r="N1238">
        <v>20.07</v>
      </c>
    </row>
    <row r="1239" spans="1:14">
      <c r="A1239" s="1" t="s">
        <v>1251</v>
      </c>
      <c r="B1239">
        <f>HYPERLINK("https://www.suredividend.com/sure-analysis-research-database/","Granite Point Mortgage Trust Inc")</f>
        <v>0</v>
      </c>
      <c r="C1239" t="s">
        <v>3187</v>
      </c>
      <c r="D1239">
        <v>4.63</v>
      </c>
      <c r="E1239">
        <v>0.163001744094583</v>
      </c>
      <c r="F1239" t="s">
        <v>3182</v>
      </c>
      <c r="G1239" t="s">
        <v>3182</v>
      </c>
      <c r="H1239">
        <v>0.7546980751579221</v>
      </c>
      <c r="I1239">
        <v>238.805404</v>
      </c>
      <c r="J1239" t="s">
        <v>3182</v>
      </c>
      <c r="K1239" t="s">
        <v>3182</v>
      </c>
      <c r="L1239">
        <v>1.430044109837959</v>
      </c>
      <c r="M1239">
        <v>6.54</v>
      </c>
      <c r="N1239">
        <v>3.67</v>
      </c>
    </row>
    <row r="1240" spans="1:14">
      <c r="A1240" s="1" t="s">
        <v>1252</v>
      </c>
      <c r="B1240">
        <f>HYPERLINK("https://www.suredividend.com/sure-analysis-research-database/","Global Payments, Inc.")</f>
        <v>0</v>
      </c>
      <c r="C1240" t="s">
        <v>3183</v>
      </c>
      <c r="D1240">
        <v>112</v>
      </c>
      <c r="E1240">
        <v>0.008898608924828001</v>
      </c>
      <c r="F1240">
        <v>0</v>
      </c>
      <c r="G1240">
        <v>0.9036539387158786</v>
      </c>
      <c r="H1240">
        <v>0.9966441995808141</v>
      </c>
      <c r="I1240">
        <v>29163.517152</v>
      </c>
      <c r="J1240">
        <v>33.35863199434481</v>
      </c>
      <c r="K1240">
        <v>0.2992925524266709</v>
      </c>
      <c r="L1240">
        <v>1.319425407247982</v>
      </c>
      <c r="M1240">
        <v>129.44</v>
      </c>
      <c r="N1240">
        <v>91.63</v>
      </c>
    </row>
    <row r="1241" spans="1:14">
      <c r="A1241" s="1" t="s">
        <v>1253</v>
      </c>
      <c r="B1241">
        <f>HYPERLINK("https://www.suredividend.com/sure-analysis-research-database/","Gulfport Energy Corp.")</f>
        <v>0</v>
      </c>
      <c r="C1241" t="s">
        <v>3189</v>
      </c>
      <c r="D1241">
        <v>133.63</v>
      </c>
      <c r="E1241">
        <v>0</v>
      </c>
      <c r="F1241" t="s">
        <v>3182</v>
      </c>
      <c r="G1241" t="s">
        <v>3182</v>
      </c>
      <c r="H1241">
        <v>0</v>
      </c>
      <c r="I1241">
        <v>2496.026396</v>
      </c>
      <c r="J1241" t="s">
        <v>3182</v>
      </c>
      <c r="K1241">
        <v>-0</v>
      </c>
      <c r="L1241">
        <v>0.8587856246219181</v>
      </c>
      <c r="M1241">
        <v>134.84</v>
      </c>
      <c r="N1241">
        <v>60.15</v>
      </c>
    </row>
    <row r="1242" spans="1:14">
      <c r="A1242" s="1" t="s">
        <v>1254</v>
      </c>
      <c r="B1242">
        <f>HYPERLINK("https://www.suredividend.com/sure-analysis-research-database/","Green Plains Inc")</f>
        <v>0</v>
      </c>
      <c r="C1242" t="s">
        <v>3181</v>
      </c>
      <c r="D1242">
        <v>28.12</v>
      </c>
      <c r="E1242">
        <v>0</v>
      </c>
      <c r="F1242" t="s">
        <v>3182</v>
      </c>
      <c r="G1242" t="s">
        <v>3182</v>
      </c>
      <c r="H1242">
        <v>0</v>
      </c>
      <c r="I1242">
        <v>1673.458853</v>
      </c>
      <c r="J1242" t="s">
        <v>3182</v>
      </c>
      <c r="K1242">
        <v>-0</v>
      </c>
      <c r="L1242">
        <v>1.475106165202484</v>
      </c>
      <c r="M1242">
        <v>37.49</v>
      </c>
      <c r="N1242">
        <v>25.78</v>
      </c>
    </row>
    <row r="1243" spans="1:14">
      <c r="A1243" s="1" t="s">
        <v>1255</v>
      </c>
      <c r="B1243">
        <f>HYPERLINK("https://www.suredividend.com/sure-analysis-research-database/","GoPro Inc.")</f>
        <v>0</v>
      </c>
      <c r="C1243" t="s">
        <v>3185</v>
      </c>
      <c r="D1243">
        <v>2.68</v>
      </c>
      <c r="E1243">
        <v>0</v>
      </c>
      <c r="F1243" t="s">
        <v>3182</v>
      </c>
      <c r="G1243" t="s">
        <v>3182</v>
      </c>
      <c r="H1243">
        <v>0</v>
      </c>
      <c r="I1243">
        <v>338.934071</v>
      </c>
      <c r="J1243" t="s">
        <v>3182</v>
      </c>
      <c r="K1243">
        <v>-0</v>
      </c>
      <c r="L1243">
        <v>1.432237797355775</v>
      </c>
      <c r="M1243">
        <v>6.57</v>
      </c>
      <c r="N1243">
        <v>2.41</v>
      </c>
    </row>
    <row r="1244" spans="1:14">
      <c r="A1244" s="1" t="s">
        <v>1256</v>
      </c>
      <c r="B1244">
        <f>HYPERLINK("https://www.suredividend.com/sure-analysis-GPS/","Gap, Inc.")</f>
        <v>0</v>
      </c>
      <c r="C1244" t="s">
        <v>3186</v>
      </c>
      <c r="D1244">
        <v>13.53</v>
      </c>
      <c r="E1244">
        <v>0.04434589800443459</v>
      </c>
      <c r="F1244" t="s">
        <v>3182</v>
      </c>
      <c r="G1244" t="s">
        <v>3182</v>
      </c>
      <c r="H1244">
        <v>0.5866312838942821</v>
      </c>
      <c r="I1244">
        <v>4980.393</v>
      </c>
      <c r="J1244">
        <v>46.11475</v>
      </c>
      <c r="K1244">
        <v>1.994666045203271</v>
      </c>
      <c r="L1244">
        <v>1.613269027194377</v>
      </c>
      <c r="M1244">
        <v>14.8</v>
      </c>
      <c r="N1244">
        <v>7</v>
      </c>
    </row>
    <row r="1245" spans="1:14">
      <c r="A1245" s="1" t="s">
        <v>1257</v>
      </c>
      <c r="B1245">
        <f>HYPERLINK("https://www.suredividend.com/sure-analysis-research-database/","GP Strategies Corp.")</f>
        <v>0</v>
      </c>
      <c r="C1245" t="s">
        <v>3188</v>
      </c>
      <c r="D1245">
        <v>20.85</v>
      </c>
      <c r="E1245">
        <v>0</v>
      </c>
      <c r="F1245" t="s">
        <v>3182</v>
      </c>
      <c r="G1245" t="s">
        <v>3182</v>
      </c>
      <c r="H1245">
        <v>0</v>
      </c>
      <c r="I1245">
        <v>365.93566</v>
      </c>
      <c r="J1245">
        <v>27.78343788246906</v>
      </c>
      <c r="K1245">
        <v>0</v>
      </c>
      <c r="L1245">
        <v>0.9706602751034221</v>
      </c>
      <c r="M1245">
        <v>20.93</v>
      </c>
      <c r="N1245">
        <v>9.359999999999999</v>
      </c>
    </row>
    <row r="1246" spans="1:14">
      <c r="A1246" s="1" t="s">
        <v>1258</v>
      </c>
      <c r="B1246">
        <f>HYPERLINK("https://www.suredividend.com/sure-analysis-research-database/","W.R. Grace &amp; Co.")</f>
        <v>0</v>
      </c>
      <c r="C1246" t="s">
        <v>3181</v>
      </c>
      <c r="D1246">
        <v>69.98999999999999</v>
      </c>
      <c r="E1246">
        <v>0.008977416385107</v>
      </c>
      <c r="F1246" t="s">
        <v>3182</v>
      </c>
      <c r="G1246" t="s">
        <v>3182</v>
      </c>
      <c r="H1246">
        <v>0.6283293727936521</v>
      </c>
      <c r="I1246">
        <v>4638.240869</v>
      </c>
      <c r="J1246">
        <v>60.00311603479948</v>
      </c>
      <c r="K1246">
        <v>0.5370336519603864</v>
      </c>
      <c r="M1246">
        <v>70</v>
      </c>
      <c r="N1246">
        <v>38.28</v>
      </c>
    </row>
    <row r="1247" spans="1:14">
      <c r="A1247" s="1" t="s">
        <v>1259</v>
      </c>
      <c r="B1247">
        <f>HYPERLINK("https://www.suredividend.com/sure-analysis-research-database/","Green Brick Partners Inc")</f>
        <v>0</v>
      </c>
      <c r="C1247" t="s">
        <v>3186</v>
      </c>
      <c r="D1247">
        <v>42.7</v>
      </c>
      <c r="E1247">
        <v>0</v>
      </c>
      <c r="F1247" t="s">
        <v>3182</v>
      </c>
      <c r="G1247" t="s">
        <v>3182</v>
      </c>
      <c r="H1247">
        <v>0</v>
      </c>
      <c r="I1247">
        <v>1937.656143</v>
      </c>
      <c r="J1247">
        <v>7.331885903480426</v>
      </c>
      <c r="K1247">
        <v>0</v>
      </c>
      <c r="L1247">
        <v>1.504923740424532</v>
      </c>
      <c r="M1247">
        <v>59.3</v>
      </c>
      <c r="N1247">
        <v>19.53</v>
      </c>
    </row>
    <row r="1248" spans="1:14">
      <c r="A1248" s="1" t="s">
        <v>1260</v>
      </c>
      <c r="B1248">
        <f>HYPERLINK("https://www.suredividend.com/sure-analysis-GRC/","Gorman-Rupp Co.")</f>
        <v>0</v>
      </c>
      <c r="C1248" t="s">
        <v>3183</v>
      </c>
      <c r="D1248">
        <v>30.25</v>
      </c>
      <c r="E1248">
        <v>0.02380165289256198</v>
      </c>
      <c r="F1248">
        <v>0.02941176470588247</v>
      </c>
      <c r="G1248">
        <v>-0.3856701604584264</v>
      </c>
      <c r="H1248">
        <v>0.6936198302766451</v>
      </c>
      <c r="I1248">
        <v>792.36844</v>
      </c>
      <c r="J1248">
        <v>27.89833249419055</v>
      </c>
      <c r="K1248">
        <v>0.636348468143711</v>
      </c>
      <c r="L1248">
        <v>1.005447454959205</v>
      </c>
      <c r="M1248">
        <v>33.56</v>
      </c>
      <c r="N1248">
        <v>22.63</v>
      </c>
    </row>
    <row r="1249" spans="1:14">
      <c r="A1249" s="1" t="s">
        <v>1261</v>
      </c>
      <c r="B1249">
        <f>HYPERLINK("https://www.suredividend.com/sure-analysis-GRMN/","Garmin Ltd")</f>
        <v>0</v>
      </c>
      <c r="C1249" t="s">
        <v>3185</v>
      </c>
      <c r="D1249">
        <v>114.45</v>
      </c>
      <c r="E1249">
        <v>0.0255133245958934</v>
      </c>
      <c r="F1249">
        <v>0</v>
      </c>
      <c r="G1249">
        <v>0.06612811933931328</v>
      </c>
      <c r="H1249">
        <v>2.88953552147529</v>
      </c>
      <c r="I1249">
        <v>21897.841763</v>
      </c>
      <c r="J1249">
        <v>22.02147029689678</v>
      </c>
      <c r="K1249">
        <v>0.5589043561847756</v>
      </c>
      <c r="L1249">
        <v>1.004216733590976</v>
      </c>
      <c r="M1249">
        <v>115.32</v>
      </c>
      <c r="N1249">
        <v>81.84999999999999</v>
      </c>
    </row>
    <row r="1250" spans="1:14">
      <c r="A1250" s="1" t="s">
        <v>1262</v>
      </c>
      <c r="B1250">
        <f>HYPERLINK("https://www.suredividend.com/sure-analysis-GROW/","U.S. Global Investors, Inc.")</f>
        <v>0</v>
      </c>
      <c r="C1250" t="s">
        <v>3184</v>
      </c>
      <c r="D1250">
        <v>2.74</v>
      </c>
      <c r="E1250">
        <v>0.03284671532846715</v>
      </c>
      <c r="F1250">
        <v>0</v>
      </c>
      <c r="G1250">
        <v>0</v>
      </c>
      <c r="H1250">
        <v>0.08801225256003301</v>
      </c>
      <c r="I1250">
        <v>37.995577</v>
      </c>
      <c r="J1250">
        <v>29.20490181398924</v>
      </c>
      <c r="K1250">
        <v>1.007005178032414</v>
      </c>
      <c r="L1250">
        <v>0.5439758251551351</v>
      </c>
      <c r="M1250">
        <v>3.25</v>
      </c>
      <c r="N1250">
        <v>2.34</v>
      </c>
    </row>
    <row r="1251" spans="1:14">
      <c r="A1251" s="1" t="s">
        <v>1263</v>
      </c>
      <c r="B1251">
        <f>HYPERLINK("https://www.suredividend.com/sure-analysis-research-database/","Groupon Inc")</f>
        <v>0</v>
      </c>
      <c r="C1251" t="s">
        <v>3191</v>
      </c>
      <c r="D1251">
        <v>13.61</v>
      </c>
      <c r="E1251">
        <v>0</v>
      </c>
      <c r="F1251" t="s">
        <v>3182</v>
      </c>
      <c r="G1251" t="s">
        <v>3182</v>
      </c>
      <c r="H1251">
        <v>0</v>
      </c>
      <c r="I1251">
        <v>425.293691</v>
      </c>
      <c r="J1251" t="s">
        <v>3182</v>
      </c>
      <c r="K1251">
        <v>-0</v>
      </c>
      <c r="L1251">
        <v>2.438872551050885</v>
      </c>
      <c r="M1251">
        <v>16.25</v>
      </c>
      <c r="N1251">
        <v>2.89</v>
      </c>
    </row>
    <row r="1252" spans="1:14">
      <c r="A1252" s="1" t="s">
        <v>1264</v>
      </c>
      <c r="B1252">
        <f>HYPERLINK("https://www.suredividend.com/sure-analysis-research-database/","Gritstone Bio Inc")</f>
        <v>0</v>
      </c>
      <c r="C1252" t="s">
        <v>3180</v>
      </c>
      <c r="D1252">
        <v>1.83</v>
      </c>
      <c r="E1252">
        <v>0</v>
      </c>
      <c r="F1252" t="s">
        <v>3182</v>
      </c>
      <c r="G1252" t="s">
        <v>3182</v>
      </c>
      <c r="H1252">
        <v>0</v>
      </c>
      <c r="I1252">
        <v>170.328031</v>
      </c>
      <c r="J1252" t="s">
        <v>3182</v>
      </c>
      <c r="K1252">
        <v>-0</v>
      </c>
      <c r="L1252">
        <v>2.088577668232538</v>
      </c>
      <c r="M1252">
        <v>4.05</v>
      </c>
      <c r="N1252">
        <v>1.14</v>
      </c>
    </row>
    <row r="1253" spans="1:14">
      <c r="A1253" s="1" t="s">
        <v>1265</v>
      </c>
      <c r="B1253">
        <f>HYPERLINK("https://www.suredividend.com/sure-analysis-research-database/","Just Eat Takeaway.com N.V.")</f>
        <v>0</v>
      </c>
      <c r="C1253" t="s">
        <v>3191</v>
      </c>
      <c r="D1253">
        <v>6.72</v>
      </c>
      <c r="E1253">
        <v>0</v>
      </c>
      <c r="F1253" t="s">
        <v>3182</v>
      </c>
      <c r="G1253" t="s">
        <v>3182</v>
      </c>
      <c r="H1253">
        <v>0</v>
      </c>
      <c r="I1253">
        <v>0</v>
      </c>
      <c r="J1253">
        <v>0</v>
      </c>
      <c r="K1253" t="s">
        <v>3182</v>
      </c>
    </row>
    <row r="1254" spans="1:14">
      <c r="A1254" s="1" t="s">
        <v>1266</v>
      </c>
      <c r="B1254">
        <f>HYPERLINK("https://www.suredividend.com/sure-analysis-GS/","Goldman Sachs Group, Inc.")</f>
        <v>0</v>
      </c>
      <c r="C1254" t="s">
        <v>3184</v>
      </c>
      <c r="D1254">
        <v>313.76</v>
      </c>
      <c r="E1254">
        <v>0.03505864354920959</v>
      </c>
      <c r="F1254">
        <v>0.1000000000000001</v>
      </c>
      <c r="G1254">
        <v>0.2801136878222739</v>
      </c>
      <c r="H1254">
        <v>10.13301457376383</v>
      </c>
      <c r="I1254">
        <v>103437.599002</v>
      </c>
      <c r="J1254">
        <v>12.45485839880554</v>
      </c>
      <c r="K1254">
        <v>0.4313756736383069</v>
      </c>
      <c r="L1254">
        <v>0.9413138358737151</v>
      </c>
      <c r="M1254">
        <v>378.23</v>
      </c>
      <c r="N1254">
        <v>289.36</v>
      </c>
    </row>
    <row r="1255" spans="1:14">
      <c r="A1255" s="1" t="s">
        <v>1267</v>
      </c>
      <c r="B1255">
        <f>HYPERLINK("https://www.suredividend.com/sure-analysis-research-database/","Globalstar Inc.")</f>
        <v>0</v>
      </c>
      <c r="C1255" t="s">
        <v>3191</v>
      </c>
      <c r="D1255">
        <v>1.38</v>
      </c>
      <c r="E1255">
        <v>0</v>
      </c>
      <c r="F1255" t="s">
        <v>3182</v>
      </c>
      <c r="G1255" t="s">
        <v>3182</v>
      </c>
      <c r="H1255">
        <v>0</v>
      </c>
      <c r="I1255">
        <v>2484</v>
      </c>
      <c r="J1255" t="s">
        <v>3182</v>
      </c>
      <c r="K1255">
        <v>-0</v>
      </c>
      <c r="L1255">
        <v>1.29070668351019</v>
      </c>
      <c r="M1255">
        <v>2.1</v>
      </c>
      <c r="N1255">
        <v>0.8538</v>
      </c>
    </row>
    <row r="1256" spans="1:14">
      <c r="A1256" s="1" t="s">
        <v>1268</v>
      </c>
      <c r="B1256">
        <f>HYPERLINK("https://www.suredividend.com/sure-analysis-research-database/","Great Southern Bancorp, Inc.")</f>
        <v>0</v>
      </c>
      <c r="C1256" t="s">
        <v>3184</v>
      </c>
      <c r="D1256">
        <v>51.06</v>
      </c>
      <c r="E1256">
        <v>0.030657344962767</v>
      </c>
      <c r="F1256">
        <v>0</v>
      </c>
      <c r="G1256">
        <v>0.04563955259127317</v>
      </c>
      <c r="H1256">
        <v>1.565364033798918</v>
      </c>
      <c r="I1256">
        <v>610.333609</v>
      </c>
      <c r="J1256">
        <v>7.675897133550489</v>
      </c>
      <c r="K1256">
        <v>0.2411963072109273</v>
      </c>
      <c r="L1256">
        <v>0.7724467037515491</v>
      </c>
      <c r="M1256">
        <v>60.4</v>
      </c>
      <c r="N1256">
        <v>43.96</v>
      </c>
    </row>
    <row r="1257" spans="1:14">
      <c r="A1257" s="1" t="s">
        <v>1269</v>
      </c>
      <c r="B1257">
        <f>HYPERLINK("https://www.suredividend.com/sure-analysis-research-database/","Goosehead Insurance Inc")</f>
        <v>0</v>
      </c>
      <c r="C1257" t="s">
        <v>3184</v>
      </c>
      <c r="D1257">
        <v>70.68000000000001</v>
      </c>
      <c r="E1257">
        <v>0</v>
      </c>
      <c r="F1257" t="s">
        <v>3182</v>
      </c>
      <c r="G1257" t="s">
        <v>3182</v>
      </c>
      <c r="H1257">
        <v>0</v>
      </c>
      <c r="I1257">
        <v>1689.164145</v>
      </c>
      <c r="J1257">
        <v>278.5101640164881</v>
      </c>
      <c r="K1257">
        <v>0</v>
      </c>
      <c r="L1257">
        <v>1.816073561199633</v>
      </c>
      <c r="M1257">
        <v>79.40000000000001</v>
      </c>
      <c r="N1257">
        <v>31.21</v>
      </c>
    </row>
    <row r="1258" spans="1:14">
      <c r="A1258" s="1" t="s">
        <v>1270</v>
      </c>
      <c r="B1258">
        <f>HYPERLINK("https://www.suredividend.com/sure-analysis-research-database/","GSI Technology Inc")</f>
        <v>0</v>
      </c>
      <c r="C1258" t="s">
        <v>3185</v>
      </c>
      <c r="D1258">
        <v>2.33</v>
      </c>
      <c r="E1258">
        <v>0</v>
      </c>
      <c r="F1258" t="s">
        <v>3182</v>
      </c>
      <c r="G1258" t="s">
        <v>3182</v>
      </c>
      <c r="H1258">
        <v>0</v>
      </c>
      <c r="I1258">
        <v>58.443723</v>
      </c>
      <c r="J1258" t="s">
        <v>3182</v>
      </c>
      <c r="K1258">
        <v>-0</v>
      </c>
      <c r="L1258">
        <v>1.336055053113112</v>
      </c>
      <c r="M1258">
        <v>9.800000000000001</v>
      </c>
      <c r="N1258">
        <v>1.45</v>
      </c>
    </row>
    <row r="1259" spans="1:14">
      <c r="A1259" s="1" t="s">
        <v>1271</v>
      </c>
      <c r="B1259">
        <f>HYPERLINK("https://www.suredividend.com/sure-analysis-research-database/","GreenSky Inc")</f>
        <v>0</v>
      </c>
      <c r="C1259" t="s">
        <v>3185</v>
      </c>
      <c r="D1259">
        <v>10.2</v>
      </c>
      <c r="E1259">
        <v>0</v>
      </c>
      <c r="F1259" t="s">
        <v>3182</v>
      </c>
      <c r="G1259" t="s">
        <v>3182</v>
      </c>
      <c r="H1259">
        <v>0</v>
      </c>
      <c r="I1259">
        <v>0</v>
      </c>
      <c r="J1259">
        <v>0</v>
      </c>
      <c r="K1259">
        <v>0</v>
      </c>
    </row>
    <row r="1260" spans="1:14">
      <c r="A1260" s="1" t="s">
        <v>1272</v>
      </c>
      <c r="B1260">
        <f>HYPERLINK("https://www.suredividend.com/sure-analysis-research-database/","Goodyear Tire &amp; Rubber Co.")</f>
        <v>0</v>
      </c>
      <c r="C1260" t="s">
        <v>3186</v>
      </c>
      <c r="D1260">
        <v>11.97</v>
      </c>
      <c r="E1260">
        <v>0</v>
      </c>
      <c r="F1260" t="s">
        <v>3182</v>
      </c>
      <c r="G1260" t="s">
        <v>3182</v>
      </c>
      <c r="H1260">
        <v>0</v>
      </c>
      <c r="I1260">
        <v>3393.223484</v>
      </c>
      <c r="J1260" t="s">
        <v>3182</v>
      </c>
      <c r="K1260">
        <v>-0</v>
      </c>
      <c r="L1260">
        <v>1.506990350697287</v>
      </c>
      <c r="M1260">
        <v>16.51</v>
      </c>
      <c r="N1260">
        <v>9.66</v>
      </c>
    </row>
    <row r="1261" spans="1:14">
      <c r="A1261" s="1" t="s">
        <v>1273</v>
      </c>
      <c r="B1261">
        <f>HYPERLINK("https://www.suredividend.com/sure-analysis-research-database/","Gates Industrial Corporation plc")</f>
        <v>0</v>
      </c>
      <c r="C1261" t="s">
        <v>3183</v>
      </c>
      <c r="D1261">
        <v>11.13</v>
      </c>
      <c r="E1261">
        <v>0</v>
      </c>
      <c r="F1261" t="s">
        <v>3182</v>
      </c>
      <c r="G1261" t="s">
        <v>3182</v>
      </c>
      <c r="H1261">
        <v>0</v>
      </c>
      <c r="I1261">
        <v>2939.279729</v>
      </c>
      <c r="J1261">
        <v>12.88592603581763</v>
      </c>
      <c r="K1261">
        <v>0</v>
      </c>
      <c r="L1261">
        <v>1.048187068330258</v>
      </c>
      <c r="M1261">
        <v>14.93</v>
      </c>
      <c r="N1261">
        <v>10.3</v>
      </c>
    </row>
    <row r="1262" spans="1:14">
      <c r="A1262" s="1" t="s">
        <v>1274</v>
      </c>
      <c r="B1262">
        <f>HYPERLINK("https://www.suredividend.com/sure-analysis-research-database/","G1 Therapeutics Inc")</f>
        <v>0</v>
      </c>
      <c r="C1262" t="s">
        <v>3180</v>
      </c>
      <c r="D1262">
        <v>1.63</v>
      </c>
      <c r="E1262">
        <v>0</v>
      </c>
      <c r="F1262" t="s">
        <v>3182</v>
      </c>
      <c r="G1262" t="s">
        <v>3182</v>
      </c>
      <c r="H1262">
        <v>0</v>
      </c>
      <c r="I1262">
        <v>84.345292</v>
      </c>
      <c r="J1262">
        <v>0</v>
      </c>
      <c r="K1262" t="s">
        <v>3182</v>
      </c>
      <c r="L1262">
        <v>1.331874431154851</v>
      </c>
      <c r="M1262">
        <v>9.220000000000001</v>
      </c>
      <c r="N1262">
        <v>1.08</v>
      </c>
    </row>
    <row r="1263" spans="1:14">
      <c r="A1263" s="1" t="s">
        <v>1275</v>
      </c>
      <c r="B1263">
        <f>HYPERLINK("https://www.suredividend.com/sure-analysis-research-database/","Good Times Restaurants Inc.")</f>
        <v>0</v>
      </c>
      <c r="C1263" t="s">
        <v>3186</v>
      </c>
      <c r="D1263">
        <v>2.71</v>
      </c>
      <c r="E1263">
        <v>0</v>
      </c>
      <c r="F1263" t="s">
        <v>3182</v>
      </c>
      <c r="G1263" t="s">
        <v>3182</v>
      </c>
      <c r="H1263">
        <v>0</v>
      </c>
      <c r="I1263">
        <v>31.328134</v>
      </c>
      <c r="J1263">
        <v>0</v>
      </c>
      <c r="K1263" t="s">
        <v>3182</v>
      </c>
      <c r="L1263">
        <v>0.734246196782888</v>
      </c>
      <c r="M1263">
        <v>3.57</v>
      </c>
      <c r="N1263">
        <v>2.15</v>
      </c>
    </row>
    <row r="1264" spans="1:14">
      <c r="A1264" s="1" t="s">
        <v>1276</v>
      </c>
      <c r="B1264">
        <f>HYPERLINK("https://www.suredividend.com/sure-analysis-research-database/","Chart Industries Inc")</f>
        <v>0</v>
      </c>
      <c r="C1264" t="s">
        <v>3183</v>
      </c>
      <c r="D1264">
        <v>122.33</v>
      </c>
      <c r="E1264">
        <v>0</v>
      </c>
      <c r="F1264" t="s">
        <v>3182</v>
      </c>
      <c r="G1264" t="s">
        <v>3182</v>
      </c>
      <c r="H1264">
        <v>0</v>
      </c>
      <c r="I1264">
        <v>5229.683712</v>
      </c>
      <c r="J1264" t="s">
        <v>3182</v>
      </c>
      <c r="K1264">
        <v>-0</v>
      </c>
      <c r="L1264">
        <v>1.842895666595988</v>
      </c>
      <c r="M1264">
        <v>242.59</v>
      </c>
      <c r="N1264">
        <v>101.44</v>
      </c>
    </row>
    <row r="1265" spans="1:14">
      <c r="A1265" s="1" t="s">
        <v>1277</v>
      </c>
      <c r="B1265">
        <f>HYPERLINK("https://www.suredividend.com/sure-analysis-research-database/","Gray Television, Inc.")</f>
        <v>0</v>
      </c>
      <c r="C1265" t="s">
        <v>3191</v>
      </c>
      <c r="D1265">
        <v>7.1</v>
      </c>
      <c r="E1265">
        <v>0.044379989589629</v>
      </c>
      <c r="F1265" t="s">
        <v>3182</v>
      </c>
      <c r="G1265" t="s">
        <v>3182</v>
      </c>
      <c r="H1265">
        <v>0.315097926086371</v>
      </c>
      <c r="I1265">
        <v>694.766711</v>
      </c>
      <c r="J1265">
        <v>3.231473072744185</v>
      </c>
      <c r="K1265">
        <v>0.1352351614104597</v>
      </c>
      <c r="L1265">
        <v>1.763912040701287</v>
      </c>
      <c r="M1265">
        <v>13.98</v>
      </c>
      <c r="N1265">
        <v>5.97</v>
      </c>
    </row>
    <row r="1266" spans="1:14">
      <c r="A1266" s="1" t="s">
        <v>1278</v>
      </c>
      <c r="B1266">
        <f>HYPERLINK("https://www.suredividend.com/sure-analysis-research-database/","Triple-S Management Corp")</f>
        <v>0</v>
      </c>
      <c r="C1266" t="s">
        <v>3180</v>
      </c>
      <c r="D1266">
        <v>35.99</v>
      </c>
      <c r="E1266">
        <v>0</v>
      </c>
      <c r="F1266" t="s">
        <v>3182</v>
      </c>
      <c r="G1266" t="s">
        <v>3182</v>
      </c>
      <c r="H1266">
        <v>0</v>
      </c>
      <c r="I1266">
        <v>856.3680859999999</v>
      </c>
      <c r="J1266">
        <v>10.54757406461307</v>
      </c>
      <c r="K1266">
        <v>0</v>
      </c>
      <c r="L1266">
        <v>0.465929988422036</v>
      </c>
      <c r="M1266">
        <v>36.33</v>
      </c>
      <c r="N1266">
        <v>22.01</v>
      </c>
    </row>
    <row r="1267" spans="1:14">
      <c r="A1267" s="1" t="s">
        <v>1279</v>
      </c>
      <c r="B1267">
        <f>HYPERLINK("https://www.suredividend.com/sure-analysis-research-database/","GTT Communications Inc")</f>
        <v>0</v>
      </c>
      <c r="C1267" t="s">
        <v>3191</v>
      </c>
      <c r="D1267">
        <v>2.36</v>
      </c>
      <c r="E1267">
        <v>0</v>
      </c>
      <c r="F1267" t="s">
        <v>3182</v>
      </c>
      <c r="G1267" t="s">
        <v>3182</v>
      </c>
      <c r="H1267">
        <v>0</v>
      </c>
      <c r="I1267">
        <v>138.81411</v>
      </c>
      <c r="J1267">
        <v>0</v>
      </c>
      <c r="K1267" t="s">
        <v>3182</v>
      </c>
      <c r="M1267">
        <v>8.359999999999999</v>
      </c>
      <c r="N1267">
        <v>1.37</v>
      </c>
    </row>
    <row r="1268" spans="1:14">
      <c r="A1268" s="1" t="s">
        <v>1280</v>
      </c>
      <c r="B1268">
        <f>HYPERLINK("https://www.suredividend.com/sure-analysis-research-database/","Garrett Motion Inc")</f>
        <v>0</v>
      </c>
      <c r="C1268" t="s">
        <v>3186</v>
      </c>
      <c r="D1268">
        <v>7.38</v>
      </c>
      <c r="E1268">
        <v>0</v>
      </c>
      <c r="F1268" t="s">
        <v>3182</v>
      </c>
      <c r="G1268" t="s">
        <v>3182</v>
      </c>
      <c r="H1268">
        <v>0</v>
      </c>
      <c r="I1268">
        <v>1789.057858</v>
      </c>
      <c r="J1268" t="s">
        <v>3182</v>
      </c>
      <c r="K1268">
        <v>-0</v>
      </c>
      <c r="L1268">
        <v>0.425732314788856</v>
      </c>
      <c r="M1268">
        <v>8.68</v>
      </c>
      <c r="N1268">
        <v>6.43</v>
      </c>
    </row>
    <row r="1269" spans="1:14">
      <c r="A1269" s="1" t="s">
        <v>1281</v>
      </c>
      <c r="B1269">
        <f>HYPERLINK("https://www.suredividend.com/sure-analysis-research-database/","Getty Realty Corp.")</f>
        <v>0</v>
      </c>
      <c r="C1269" t="s">
        <v>3187</v>
      </c>
      <c r="D1269">
        <v>27.98</v>
      </c>
      <c r="E1269">
        <v>0.060204019681269</v>
      </c>
      <c r="F1269">
        <v>0.04878048780487787</v>
      </c>
      <c r="G1269">
        <v>0.04202966356728188</v>
      </c>
      <c r="H1269">
        <v>1.684508470681932</v>
      </c>
      <c r="I1269">
        <v>1474.595385</v>
      </c>
      <c r="J1269">
        <v>21.4206186040093</v>
      </c>
      <c r="K1269">
        <v>1.194686858639668</v>
      </c>
      <c r="L1269">
        <v>0.6029501139167871</v>
      </c>
      <c r="M1269">
        <v>35.11</v>
      </c>
      <c r="N1269">
        <v>25.95</v>
      </c>
    </row>
    <row r="1270" spans="1:14">
      <c r="A1270" s="1" t="s">
        <v>1282</v>
      </c>
      <c r="B1270">
        <f>HYPERLINK("https://www.suredividend.com/sure-analysis-research-database/","GTY Technology Holdings Inc")</f>
        <v>0</v>
      </c>
      <c r="C1270" t="s">
        <v>3185</v>
      </c>
      <c r="D1270">
        <v>6.3</v>
      </c>
      <c r="E1270">
        <v>0</v>
      </c>
      <c r="F1270" t="s">
        <v>3182</v>
      </c>
      <c r="G1270" t="s">
        <v>3182</v>
      </c>
      <c r="H1270">
        <v>0</v>
      </c>
      <c r="I1270">
        <v>0</v>
      </c>
      <c r="J1270">
        <v>0</v>
      </c>
      <c r="K1270" t="s">
        <v>3182</v>
      </c>
    </row>
    <row r="1271" spans="1:14">
      <c r="A1271" s="1" t="s">
        <v>1283</v>
      </c>
      <c r="B1271">
        <f>HYPERLINK("https://www.suredividend.com/sure-analysis-research-database/","Visionary Education Technology Holdings Group Inc")</f>
        <v>0</v>
      </c>
      <c r="C1271" t="s">
        <v>3183</v>
      </c>
      <c r="D1271">
        <v>0.1637</v>
      </c>
      <c r="E1271">
        <v>0</v>
      </c>
      <c r="F1271" t="s">
        <v>3182</v>
      </c>
      <c r="G1271" t="s">
        <v>3182</v>
      </c>
      <c r="H1271">
        <v>0</v>
      </c>
      <c r="I1271">
        <v>6.425225</v>
      </c>
      <c r="J1271">
        <v>0</v>
      </c>
      <c r="K1271" t="s">
        <v>3182</v>
      </c>
      <c r="L1271">
        <v>1.30469264779738</v>
      </c>
      <c r="M1271">
        <v>1.17</v>
      </c>
      <c r="N1271">
        <v>0.106</v>
      </c>
    </row>
    <row r="1272" spans="1:14">
      <c r="A1272" s="1" t="s">
        <v>1284</v>
      </c>
      <c r="B1272">
        <f>HYPERLINK("https://www.suredividend.com/sure-analysis-research-database/","Granite Construction Inc.")</f>
        <v>0</v>
      </c>
      <c r="C1272" t="s">
        <v>3183</v>
      </c>
      <c r="D1272">
        <v>44.92</v>
      </c>
      <c r="E1272">
        <v>0.011518031079653</v>
      </c>
      <c r="F1272">
        <v>0</v>
      </c>
      <c r="G1272">
        <v>0</v>
      </c>
      <c r="H1272">
        <v>0.5173899560980191</v>
      </c>
      <c r="I1272">
        <v>1972.894351</v>
      </c>
      <c r="J1272">
        <v>84.68084603141901</v>
      </c>
      <c r="K1272">
        <v>1.157213053227509</v>
      </c>
      <c r="L1272">
        <v>0.8807341654796501</v>
      </c>
      <c r="M1272">
        <v>44.93</v>
      </c>
      <c r="N1272">
        <v>32.66</v>
      </c>
    </row>
    <row r="1273" spans="1:14">
      <c r="A1273" s="1" t="s">
        <v>1285</v>
      </c>
      <c r="B1273">
        <f>HYPERLINK("https://www.suredividend.com/sure-analysis-research-database/","GSE Systems, Inc.")</f>
        <v>0</v>
      </c>
      <c r="C1273" t="s">
        <v>3185</v>
      </c>
      <c r="D1273">
        <v>3.13</v>
      </c>
      <c r="E1273">
        <v>0</v>
      </c>
      <c r="F1273" t="s">
        <v>3182</v>
      </c>
      <c r="G1273" t="s">
        <v>3182</v>
      </c>
      <c r="H1273">
        <v>0</v>
      </c>
      <c r="I1273">
        <v>77.631186</v>
      </c>
      <c r="J1273">
        <v>0</v>
      </c>
      <c r="K1273" t="s">
        <v>3182</v>
      </c>
      <c r="L1273">
        <v>0.7538376066086381</v>
      </c>
      <c r="M1273">
        <v>11.3</v>
      </c>
      <c r="N1273">
        <v>1.31</v>
      </c>
    </row>
    <row r="1274" spans="1:14">
      <c r="A1274" s="1" t="s">
        <v>1286</v>
      </c>
      <c r="B1274">
        <f>HYPERLINK("https://www.suredividend.com/sure-analysis-research-database/","Great Western Bancorp Inc")</f>
        <v>0</v>
      </c>
      <c r="C1274" t="s">
        <v>3184</v>
      </c>
      <c r="D1274">
        <v>30.88</v>
      </c>
      <c r="E1274">
        <v>0.003881755025846</v>
      </c>
      <c r="F1274" t="s">
        <v>3182</v>
      </c>
      <c r="G1274" t="s">
        <v>3182</v>
      </c>
      <c r="H1274">
        <v>0.119868595198139</v>
      </c>
      <c r="I1274">
        <v>1704.55108</v>
      </c>
      <c r="J1274">
        <v>4.193072547796397</v>
      </c>
      <c r="K1274">
        <v>0.01635315077737231</v>
      </c>
      <c r="L1274">
        <v>0.997626022818289</v>
      </c>
      <c r="M1274">
        <v>37.9</v>
      </c>
      <c r="N1274">
        <v>23.81</v>
      </c>
    </row>
    <row r="1275" spans="1:14">
      <c r="A1275" s="1" t="s">
        <v>1287</v>
      </c>
      <c r="B1275">
        <f>HYPERLINK("https://www.suredividend.com/sure-analysis-research-database/","GWG Holdings Inc")</f>
        <v>0</v>
      </c>
      <c r="C1275" t="s">
        <v>3184</v>
      </c>
      <c r="D1275">
        <v>2.89</v>
      </c>
      <c r="E1275">
        <v>0</v>
      </c>
      <c r="F1275" t="s">
        <v>3182</v>
      </c>
      <c r="G1275" t="s">
        <v>3182</v>
      </c>
      <c r="H1275">
        <v>0</v>
      </c>
      <c r="I1275">
        <v>0</v>
      </c>
      <c r="J1275">
        <v>0</v>
      </c>
      <c r="K1275" t="s">
        <v>3182</v>
      </c>
    </row>
    <row r="1276" spans="1:14">
      <c r="A1276" s="1" t="s">
        <v>1288</v>
      </c>
      <c r="B1276">
        <f>HYPERLINK("https://www.suredividend.com/sure-analysis-research-database/","Guidewire Software Inc")</f>
        <v>0</v>
      </c>
      <c r="C1276" t="s">
        <v>3185</v>
      </c>
      <c r="D1276">
        <v>89.92</v>
      </c>
      <c r="E1276">
        <v>0</v>
      </c>
      <c r="F1276" t="s">
        <v>3182</v>
      </c>
      <c r="G1276" t="s">
        <v>3182</v>
      </c>
      <c r="H1276">
        <v>0</v>
      </c>
      <c r="I1276">
        <v>7323.149542</v>
      </c>
      <c r="J1276" t="s">
        <v>3182</v>
      </c>
      <c r="K1276">
        <v>-0</v>
      </c>
      <c r="L1276">
        <v>1.319225173599469</v>
      </c>
      <c r="M1276">
        <v>95.88</v>
      </c>
      <c r="N1276">
        <v>52.08</v>
      </c>
    </row>
    <row r="1277" spans="1:14">
      <c r="A1277" s="1" t="s">
        <v>1289</v>
      </c>
      <c r="B1277">
        <f>HYPERLINK("https://www.suredividend.com/sure-analysis-GWRS/","Global Water Resources Inc")</f>
        <v>0</v>
      </c>
      <c r="C1277" t="s">
        <v>3190</v>
      </c>
      <c r="D1277">
        <v>10.8</v>
      </c>
      <c r="E1277">
        <v>0.02777777777777778</v>
      </c>
      <c r="F1277">
        <v>0</v>
      </c>
      <c r="G1277">
        <v>0.002025948542577316</v>
      </c>
      <c r="H1277">
        <v>0.291762501010578</v>
      </c>
      <c r="I1277">
        <v>261.041584</v>
      </c>
      <c r="J1277">
        <v>0</v>
      </c>
      <c r="K1277" t="s">
        <v>3182</v>
      </c>
      <c r="L1277">
        <v>0.6546306967787801</v>
      </c>
      <c r="M1277">
        <v>14.48</v>
      </c>
      <c r="N1277">
        <v>9.300000000000001</v>
      </c>
    </row>
    <row r="1278" spans="1:14">
      <c r="A1278" s="1" t="s">
        <v>1290</v>
      </c>
      <c r="B1278">
        <f>HYPERLINK("https://www.suredividend.com/sure-analysis-GWW/","W.W. Grainger Inc.")</f>
        <v>0</v>
      </c>
      <c r="C1278" t="s">
        <v>3183</v>
      </c>
      <c r="D1278">
        <v>756.29</v>
      </c>
      <c r="E1278">
        <v>0.009837496198548177</v>
      </c>
      <c r="F1278">
        <v>0.08139534883720922</v>
      </c>
      <c r="G1278">
        <v>0.06462045737865574</v>
      </c>
      <c r="H1278">
        <v>7.127324471631392</v>
      </c>
      <c r="I1278">
        <v>37537.811304</v>
      </c>
      <c r="J1278">
        <v>20.6478610030253</v>
      </c>
      <c r="K1278">
        <v>0.1974875165317648</v>
      </c>
      <c r="L1278">
        <v>0.9045336028189941</v>
      </c>
      <c r="M1278">
        <v>809.48</v>
      </c>
      <c r="N1278">
        <v>529.75</v>
      </c>
    </row>
    <row r="1279" spans="1:14">
      <c r="A1279" s="1" t="s">
        <v>1291</v>
      </c>
      <c r="B1279">
        <f>HYPERLINK("https://www.suredividend.com/sure-analysis-research-database/","Hyatt Hotels Corporation")</f>
        <v>0</v>
      </c>
      <c r="C1279" t="s">
        <v>3186</v>
      </c>
      <c r="D1279">
        <v>102.13</v>
      </c>
      <c r="E1279">
        <v>0.002935467316352</v>
      </c>
      <c r="F1279" t="s">
        <v>3182</v>
      </c>
      <c r="G1279" t="s">
        <v>3182</v>
      </c>
      <c r="H1279">
        <v>0.299799277019103</v>
      </c>
      <c r="I1279">
        <v>4589.678284</v>
      </c>
      <c r="J1279">
        <v>10.2448175984375</v>
      </c>
      <c r="K1279">
        <v>0.07366075602434963</v>
      </c>
      <c r="L1279">
        <v>1.047672654315539</v>
      </c>
      <c r="M1279">
        <v>127.63</v>
      </c>
      <c r="N1279">
        <v>87.34999999999999</v>
      </c>
    </row>
    <row r="1280" spans="1:14">
      <c r="A1280" s="1" t="s">
        <v>1292</v>
      </c>
      <c r="B1280">
        <f>HYPERLINK("https://www.suredividend.com/sure-analysis-research-database/","Hawaiian Holdings, Inc.")</f>
        <v>0</v>
      </c>
      <c r="C1280" t="s">
        <v>3183</v>
      </c>
      <c r="D1280">
        <v>4.35</v>
      </c>
      <c r="E1280">
        <v>0</v>
      </c>
      <c r="F1280" t="s">
        <v>3182</v>
      </c>
      <c r="G1280" t="s">
        <v>3182</v>
      </c>
      <c r="H1280">
        <v>0</v>
      </c>
      <c r="I1280">
        <v>224.605695</v>
      </c>
      <c r="J1280" t="s">
        <v>3182</v>
      </c>
      <c r="K1280">
        <v>-0</v>
      </c>
      <c r="L1280">
        <v>1.821894204120178</v>
      </c>
      <c r="M1280">
        <v>15.74</v>
      </c>
      <c r="N1280">
        <v>3.7</v>
      </c>
    </row>
    <row r="1281" spans="1:14">
      <c r="A1281" s="1" t="s">
        <v>1293</v>
      </c>
      <c r="B1281">
        <f>HYPERLINK("https://www.suredividend.com/sure-analysis-research-database/","Haemonetics Corp.")</f>
        <v>0</v>
      </c>
      <c r="C1281" t="s">
        <v>3180</v>
      </c>
      <c r="D1281">
        <v>85.45999999999999</v>
      </c>
      <c r="E1281">
        <v>0</v>
      </c>
      <c r="F1281" t="s">
        <v>3182</v>
      </c>
      <c r="G1281" t="s">
        <v>3182</v>
      </c>
      <c r="H1281">
        <v>0</v>
      </c>
      <c r="I1281">
        <v>4333.848375</v>
      </c>
      <c r="J1281">
        <v>31.73446080722874</v>
      </c>
      <c r="K1281">
        <v>0</v>
      </c>
      <c r="L1281">
        <v>0.6723097205046471</v>
      </c>
      <c r="M1281">
        <v>95.26000000000001</v>
      </c>
      <c r="N1281">
        <v>72.26000000000001</v>
      </c>
    </row>
    <row r="1282" spans="1:14">
      <c r="A1282" s="1" t="s">
        <v>1294</v>
      </c>
      <c r="B1282">
        <f>HYPERLINK("https://www.suredividend.com/sure-analysis-research-database/","Hanmi Financial Corp.")</f>
        <v>0</v>
      </c>
      <c r="C1282" t="s">
        <v>3184</v>
      </c>
      <c r="D1282">
        <v>15.82</v>
      </c>
      <c r="E1282">
        <v>0.06073806459409301</v>
      </c>
      <c r="F1282">
        <v>0</v>
      </c>
      <c r="G1282">
        <v>0.008197818497166498</v>
      </c>
      <c r="H1282">
        <v>0.960876181878565</v>
      </c>
      <c r="I1282">
        <v>482.150902</v>
      </c>
      <c r="J1282">
        <v>4.93344897545303</v>
      </c>
      <c r="K1282">
        <v>0.2993383744169985</v>
      </c>
      <c r="L1282">
        <v>1.231187079625464</v>
      </c>
      <c r="M1282">
        <v>25.21</v>
      </c>
      <c r="N1282">
        <v>12.54</v>
      </c>
    </row>
    <row r="1283" spans="1:14">
      <c r="A1283" s="1" t="s">
        <v>1295</v>
      </c>
      <c r="B1283">
        <f>HYPERLINK("https://www.suredividend.com/sure-analysis-research-database/","Hain Celestial Group Inc")</f>
        <v>0</v>
      </c>
      <c r="C1283" t="s">
        <v>3188</v>
      </c>
      <c r="D1283">
        <v>11.65</v>
      </c>
      <c r="E1283">
        <v>0</v>
      </c>
      <c r="F1283" t="s">
        <v>3182</v>
      </c>
      <c r="G1283" t="s">
        <v>3182</v>
      </c>
      <c r="H1283">
        <v>0</v>
      </c>
      <c r="I1283">
        <v>1042.47229</v>
      </c>
      <c r="J1283" t="s">
        <v>3182</v>
      </c>
      <c r="K1283">
        <v>-0</v>
      </c>
      <c r="L1283">
        <v>1.17779741243277</v>
      </c>
      <c r="M1283">
        <v>22.14</v>
      </c>
      <c r="N1283">
        <v>9.359999999999999</v>
      </c>
    </row>
    <row r="1284" spans="1:14">
      <c r="A1284" s="1" t="s">
        <v>1296</v>
      </c>
      <c r="B1284">
        <f>HYPERLINK("https://www.suredividend.com/sure-analysis-HAL/","Halliburton Co.")</f>
        <v>0</v>
      </c>
      <c r="C1284" t="s">
        <v>3189</v>
      </c>
      <c r="D1284">
        <v>40.59</v>
      </c>
      <c r="E1284">
        <v>0.01576743040157674</v>
      </c>
      <c r="F1284">
        <v>0.3333333333333335</v>
      </c>
      <c r="G1284">
        <v>-0.02328131613882611</v>
      </c>
      <c r="H1284">
        <v>0.596287924438616</v>
      </c>
      <c r="I1284">
        <v>36330.150208</v>
      </c>
      <c r="J1284">
        <v>13.79800615563236</v>
      </c>
      <c r="K1284">
        <v>0.2049099396696275</v>
      </c>
      <c r="L1284">
        <v>1.088953348069413</v>
      </c>
      <c r="M1284">
        <v>43.85</v>
      </c>
      <c r="N1284">
        <v>27.59</v>
      </c>
    </row>
    <row r="1285" spans="1:14">
      <c r="A1285" s="1" t="s">
        <v>1297</v>
      </c>
      <c r="B1285">
        <f>HYPERLINK("https://www.suredividend.com/sure-analysis-research-database/","Hallmark Financial Services, Inc")</f>
        <v>0</v>
      </c>
      <c r="C1285" t="s">
        <v>3184</v>
      </c>
      <c r="D1285">
        <v>1.95</v>
      </c>
      <c r="E1285">
        <v>0</v>
      </c>
      <c r="F1285" t="s">
        <v>3182</v>
      </c>
      <c r="G1285" t="s">
        <v>3182</v>
      </c>
      <c r="H1285">
        <v>0</v>
      </c>
      <c r="I1285">
        <v>3.54604</v>
      </c>
      <c r="J1285" t="s">
        <v>3182</v>
      </c>
      <c r="K1285">
        <v>-0</v>
      </c>
      <c r="M1285">
        <v>11.66</v>
      </c>
      <c r="N1285">
        <v>0.4212</v>
      </c>
    </row>
    <row r="1286" spans="1:14">
      <c r="A1286" s="1" t="s">
        <v>1298</v>
      </c>
      <c r="B1286">
        <f>HYPERLINK("https://www.suredividend.com/sure-analysis-research-database/","Halozyme Therapeutics Inc.")</f>
        <v>0</v>
      </c>
      <c r="C1286" t="s">
        <v>3180</v>
      </c>
      <c r="D1286">
        <v>34.25</v>
      </c>
      <c r="E1286">
        <v>0</v>
      </c>
      <c r="F1286" t="s">
        <v>3182</v>
      </c>
      <c r="G1286" t="s">
        <v>3182</v>
      </c>
      <c r="H1286">
        <v>0</v>
      </c>
      <c r="I1286">
        <v>4518.29014</v>
      </c>
      <c r="J1286">
        <v>19.33330540638839</v>
      </c>
      <c r="K1286">
        <v>0</v>
      </c>
      <c r="L1286">
        <v>0.598280267152503</v>
      </c>
      <c r="M1286">
        <v>59.46</v>
      </c>
      <c r="N1286">
        <v>29.85</v>
      </c>
    </row>
    <row r="1287" spans="1:14">
      <c r="A1287" s="1" t="s">
        <v>1299</v>
      </c>
      <c r="B1287">
        <f>HYPERLINK("https://www.suredividend.com/sure-analysis-HAS/","Hasbro, Inc.")</f>
        <v>0</v>
      </c>
      <c r="C1287" t="s">
        <v>3186</v>
      </c>
      <c r="D1287">
        <v>46.51</v>
      </c>
      <c r="E1287">
        <v>0.06020210707374758</v>
      </c>
      <c r="F1287">
        <v>0</v>
      </c>
      <c r="G1287">
        <v>0.02129568760013512</v>
      </c>
      <c r="H1287">
        <v>2.697225747992252</v>
      </c>
      <c r="I1287">
        <v>6452.83805</v>
      </c>
      <c r="J1287" t="s">
        <v>3182</v>
      </c>
      <c r="K1287" t="s">
        <v>3182</v>
      </c>
      <c r="L1287">
        <v>1.222308685396293</v>
      </c>
      <c r="M1287">
        <v>71.31</v>
      </c>
      <c r="N1287">
        <v>42.84</v>
      </c>
    </row>
    <row r="1288" spans="1:14">
      <c r="A1288" s="1" t="s">
        <v>1300</v>
      </c>
      <c r="B1288">
        <f>HYPERLINK("https://www.suredividend.com/sure-analysis-HASI/","Hannon Armstrong Sustainable Infrastructure capital Inc")</f>
        <v>0</v>
      </c>
      <c r="C1288" t="s">
        <v>3187</v>
      </c>
      <c r="D1288">
        <v>18.8</v>
      </c>
      <c r="E1288">
        <v>0.08404255319148936</v>
      </c>
      <c r="F1288">
        <v>0.05333333333333345</v>
      </c>
      <c r="G1288">
        <v>0.03661295272409038</v>
      </c>
      <c r="H1288">
        <v>1.519639873484727</v>
      </c>
      <c r="I1288">
        <v>2016.599409</v>
      </c>
      <c r="J1288">
        <v>38.60776537438019</v>
      </c>
      <c r="K1288">
        <v>2.767006324626232</v>
      </c>
      <c r="L1288">
        <v>1.875515627748603</v>
      </c>
      <c r="M1288">
        <v>37.72</v>
      </c>
      <c r="N1288">
        <v>13.22</v>
      </c>
    </row>
    <row r="1289" spans="1:14">
      <c r="A1289" s="1" t="s">
        <v>1301</v>
      </c>
      <c r="B1289">
        <f>HYPERLINK("https://www.suredividend.com/sure-analysis-research-database/","Haynes International Inc.")</f>
        <v>0</v>
      </c>
      <c r="C1289" t="s">
        <v>3183</v>
      </c>
      <c r="D1289">
        <v>45.02</v>
      </c>
      <c r="E1289">
        <v>0.019299749929615</v>
      </c>
      <c r="F1289">
        <v>0</v>
      </c>
      <c r="G1289">
        <v>0</v>
      </c>
      <c r="H1289">
        <v>0.8688747418312741</v>
      </c>
      <c r="I1289">
        <v>573.187347</v>
      </c>
      <c r="J1289">
        <v>12.68590723856318</v>
      </c>
      <c r="K1289">
        <v>0.24406593871665</v>
      </c>
      <c r="L1289">
        <v>1.302736825920988</v>
      </c>
      <c r="M1289">
        <v>59.71</v>
      </c>
      <c r="N1289">
        <v>41.15</v>
      </c>
    </row>
    <row r="1290" spans="1:14">
      <c r="A1290" s="1" t="s">
        <v>1302</v>
      </c>
      <c r="B1290">
        <f>HYPERLINK("https://www.suredividend.com/sure-analysis-HBAN/","Huntington Bancshares, Inc.")</f>
        <v>0</v>
      </c>
      <c r="C1290" t="s">
        <v>3184</v>
      </c>
      <c r="D1290">
        <v>10.34</v>
      </c>
      <c r="E1290">
        <v>0.05996131528046422</v>
      </c>
      <c r="F1290">
        <v>0</v>
      </c>
      <c r="G1290">
        <v>0.02056514630321193</v>
      </c>
      <c r="H1290">
        <v>0.596218698911777</v>
      </c>
      <c r="I1290">
        <v>14973.096462</v>
      </c>
      <c r="J1290">
        <v>6.747677540162234</v>
      </c>
      <c r="K1290">
        <v>0.3948468204713755</v>
      </c>
      <c r="L1290">
        <v>1.131892462461321</v>
      </c>
      <c r="M1290">
        <v>14.54</v>
      </c>
      <c r="N1290">
        <v>8.619999999999999</v>
      </c>
    </row>
    <row r="1291" spans="1:14">
      <c r="A1291" s="1" t="s">
        <v>1303</v>
      </c>
      <c r="B1291">
        <f>HYPERLINK("https://www.suredividend.com/sure-analysis-research-database/","Hamilton Beach Brands Holding Co")</f>
        <v>0</v>
      </c>
      <c r="C1291" t="s">
        <v>3185</v>
      </c>
      <c r="D1291">
        <v>12.68</v>
      </c>
      <c r="E1291">
        <v>0.03341914126845801</v>
      </c>
      <c r="F1291">
        <v>0.04761904761904767</v>
      </c>
      <c r="G1291">
        <v>0.05291848906511043</v>
      </c>
      <c r="H1291">
        <v>0.423754711284053</v>
      </c>
      <c r="I1291">
        <v>132.015905</v>
      </c>
      <c r="J1291">
        <v>15.83304213480451</v>
      </c>
      <c r="K1291">
        <v>0.711236507693946</v>
      </c>
      <c r="L1291">
        <v>0.278137230160804</v>
      </c>
      <c r="M1291">
        <v>14.5</v>
      </c>
      <c r="N1291">
        <v>9.039999999999999</v>
      </c>
    </row>
    <row r="1292" spans="1:14">
      <c r="A1292" s="1" t="s">
        <v>1304</v>
      </c>
      <c r="B1292">
        <f>HYPERLINK("https://www.suredividend.com/sure-analysis-research-database/","Home Bancorp Inc")</f>
        <v>0</v>
      </c>
      <c r="C1292" t="s">
        <v>3184</v>
      </c>
      <c r="D1292">
        <v>35.4</v>
      </c>
      <c r="E1292">
        <v>0.027630242848758</v>
      </c>
      <c r="F1292">
        <v>0.04166666666666674</v>
      </c>
      <c r="G1292">
        <v>0.04563955259127317</v>
      </c>
      <c r="H1292">
        <v>0.9781105968460641</v>
      </c>
      <c r="I1292">
        <v>290.122859</v>
      </c>
      <c r="J1292">
        <v>6.85691331804968</v>
      </c>
      <c r="K1292">
        <v>0.1877371587036591</v>
      </c>
      <c r="L1292">
        <v>0.9182423767300181</v>
      </c>
      <c r="M1292">
        <v>41.29</v>
      </c>
      <c r="N1292">
        <v>26.95</v>
      </c>
    </row>
    <row r="1293" spans="1:14">
      <c r="A1293" s="1" t="s">
        <v>1305</v>
      </c>
      <c r="B1293">
        <f>HYPERLINK("https://www.suredividend.com/sure-analysis-HBI/","Hanesbrands Inc")</f>
        <v>0</v>
      </c>
      <c r="C1293" t="s">
        <v>3186</v>
      </c>
      <c r="D1293">
        <v>4.38</v>
      </c>
      <c r="E1293">
        <v>0</v>
      </c>
      <c r="F1293" t="s">
        <v>3182</v>
      </c>
      <c r="G1293" t="s">
        <v>3182</v>
      </c>
      <c r="H1293">
        <v>0.150000005960464</v>
      </c>
      <c r="I1293">
        <v>1532.503422</v>
      </c>
      <c r="J1293" t="s">
        <v>3182</v>
      </c>
      <c r="K1293" t="s">
        <v>3182</v>
      </c>
      <c r="L1293">
        <v>1.28237592411274</v>
      </c>
      <c r="M1293">
        <v>8.800000000000001</v>
      </c>
      <c r="N1293">
        <v>3.54</v>
      </c>
    </row>
    <row r="1294" spans="1:14">
      <c r="A1294" s="1" t="s">
        <v>1306</v>
      </c>
      <c r="B1294">
        <f>HYPERLINK("https://www.suredividend.com/sure-analysis-research-database/","Harvard Bioscience Inc.")</f>
        <v>0</v>
      </c>
      <c r="C1294" t="s">
        <v>3180</v>
      </c>
      <c r="D1294">
        <v>4.3</v>
      </c>
      <c r="E1294">
        <v>0</v>
      </c>
      <c r="F1294" t="s">
        <v>3182</v>
      </c>
      <c r="G1294" t="s">
        <v>3182</v>
      </c>
      <c r="H1294">
        <v>0</v>
      </c>
      <c r="I1294">
        <v>183.559458</v>
      </c>
      <c r="J1294">
        <v>0</v>
      </c>
      <c r="K1294" t="s">
        <v>3182</v>
      </c>
      <c r="L1294">
        <v>0.442703217579095</v>
      </c>
      <c r="M1294">
        <v>6.29</v>
      </c>
      <c r="N1294">
        <v>1.98</v>
      </c>
    </row>
    <row r="1295" spans="1:14">
      <c r="A1295" s="1" t="s">
        <v>1307</v>
      </c>
      <c r="B1295">
        <f>HYPERLINK("https://www.suredividend.com/sure-analysis-research-database/","Howard Bancorp Inc")</f>
        <v>0</v>
      </c>
      <c r="C1295" t="s">
        <v>3184</v>
      </c>
      <c r="D1295">
        <v>23.3</v>
      </c>
      <c r="E1295">
        <v>0</v>
      </c>
      <c r="F1295" t="s">
        <v>3182</v>
      </c>
      <c r="G1295" t="s">
        <v>3182</v>
      </c>
      <c r="H1295">
        <v>0</v>
      </c>
      <c r="I1295">
        <v>0</v>
      </c>
      <c r="J1295">
        <v>0</v>
      </c>
      <c r="K1295" t="s">
        <v>3182</v>
      </c>
    </row>
    <row r="1296" spans="1:14">
      <c r="A1296" s="1" t="s">
        <v>1308</v>
      </c>
      <c r="B1296">
        <f>HYPERLINK("https://www.suredividend.com/sure-analysis-HBNC/","Horizon Bancorp Inc (IN)")</f>
        <v>0</v>
      </c>
      <c r="C1296" t="s">
        <v>3184</v>
      </c>
      <c r="D1296">
        <v>10.09</v>
      </c>
      <c r="E1296">
        <v>0.06342913776015857</v>
      </c>
      <c r="F1296">
        <v>0</v>
      </c>
      <c r="G1296">
        <v>0.09856054330611763</v>
      </c>
      <c r="H1296">
        <v>0.6112740935956531</v>
      </c>
      <c r="I1296">
        <v>445.066913</v>
      </c>
      <c r="J1296">
        <v>5.429168100320822</v>
      </c>
      <c r="K1296">
        <v>0.325145794465773</v>
      </c>
      <c r="L1296">
        <v>1.175522129102826</v>
      </c>
      <c r="M1296">
        <v>14.99</v>
      </c>
      <c r="N1296">
        <v>7.23</v>
      </c>
    </row>
    <row r="1297" spans="1:14">
      <c r="A1297" s="1" t="s">
        <v>1309</v>
      </c>
      <c r="B1297">
        <f>HYPERLINK("https://www.suredividend.com/sure-analysis-research-database/","Huttig Building Products, Inc.")</f>
        <v>0</v>
      </c>
      <c r="C1297" t="s">
        <v>3183</v>
      </c>
      <c r="D1297">
        <v>10.7</v>
      </c>
      <c r="E1297">
        <v>0</v>
      </c>
      <c r="F1297" t="s">
        <v>3182</v>
      </c>
      <c r="G1297" t="s">
        <v>3182</v>
      </c>
      <c r="H1297">
        <v>0</v>
      </c>
      <c r="I1297">
        <v>0</v>
      </c>
      <c r="J1297">
        <v>0</v>
      </c>
      <c r="K1297" t="s">
        <v>3182</v>
      </c>
    </row>
    <row r="1298" spans="1:14">
      <c r="A1298" s="1" t="s">
        <v>1310</v>
      </c>
      <c r="B1298">
        <f>HYPERLINK("https://www.suredividend.com/sure-analysis-research-database/","HCA Healthcare Inc")</f>
        <v>0</v>
      </c>
      <c r="C1298" t="s">
        <v>3180</v>
      </c>
      <c r="D1298">
        <v>227.92</v>
      </c>
      <c r="E1298">
        <v>0.010320207603896</v>
      </c>
      <c r="F1298" t="s">
        <v>3182</v>
      </c>
      <c r="G1298" t="s">
        <v>3182</v>
      </c>
      <c r="H1298">
        <v>2.352181717080154</v>
      </c>
      <c r="I1298">
        <v>61005.249536</v>
      </c>
      <c r="J1298">
        <v>10.67271685374388</v>
      </c>
      <c r="K1298">
        <v>0.1151900938824757</v>
      </c>
      <c r="L1298">
        <v>0.8379784594680491</v>
      </c>
      <c r="M1298">
        <v>304.16</v>
      </c>
      <c r="N1298">
        <v>205.35</v>
      </c>
    </row>
    <row r="1299" spans="1:14">
      <c r="A1299" s="1" t="s">
        <v>1311</v>
      </c>
      <c r="B1299">
        <f>HYPERLINK("https://www.suredividend.com/sure-analysis-research-database/","Warrior Met Coal Inc")</f>
        <v>0</v>
      </c>
      <c r="C1299" t="s">
        <v>3181</v>
      </c>
      <c r="D1299">
        <v>48.66</v>
      </c>
      <c r="E1299">
        <v>0.005705759774025001</v>
      </c>
      <c r="F1299">
        <v>0</v>
      </c>
      <c r="G1299">
        <v>0.06961037572506878</v>
      </c>
      <c r="H1299">
        <v>0.277642270604097</v>
      </c>
      <c r="I1299">
        <v>2531.201427</v>
      </c>
      <c r="J1299">
        <v>5.473731912799209</v>
      </c>
      <c r="K1299">
        <v>0.03116074866488182</v>
      </c>
      <c r="L1299">
        <v>0.68114712785579</v>
      </c>
      <c r="M1299">
        <v>52.92</v>
      </c>
      <c r="N1299">
        <v>30.09</v>
      </c>
    </row>
    <row r="1300" spans="1:14">
      <c r="A1300" s="1" t="s">
        <v>1312</v>
      </c>
      <c r="B1300">
        <f>HYPERLINK("https://www.suredividend.com/sure-analysis-research-database/","Heritage-Crystal Clean Inc")</f>
        <v>0</v>
      </c>
      <c r="C1300" t="s">
        <v>3183</v>
      </c>
      <c r="D1300">
        <v>45.51</v>
      </c>
      <c r="E1300">
        <v>0</v>
      </c>
      <c r="F1300" t="s">
        <v>3182</v>
      </c>
      <c r="G1300" t="s">
        <v>3182</v>
      </c>
      <c r="H1300">
        <v>0</v>
      </c>
      <c r="I1300">
        <v>0</v>
      </c>
      <c r="J1300">
        <v>0</v>
      </c>
      <c r="K1300" t="s">
        <v>3182</v>
      </c>
    </row>
    <row r="1301" spans="1:14">
      <c r="A1301" s="1" t="s">
        <v>1313</v>
      </c>
      <c r="B1301">
        <f>HYPERLINK("https://www.suredividend.com/sure-analysis-research-database/","HC2 Holdings Inc")</f>
        <v>0</v>
      </c>
      <c r="C1301" t="s">
        <v>3191</v>
      </c>
      <c r="D1301">
        <v>3.68</v>
      </c>
      <c r="E1301">
        <v>0</v>
      </c>
      <c r="F1301" t="s">
        <v>3182</v>
      </c>
      <c r="G1301" t="s">
        <v>3182</v>
      </c>
      <c r="H1301">
        <v>0</v>
      </c>
      <c r="I1301">
        <v>286.376798</v>
      </c>
      <c r="J1301">
        <v>0</v>
      </c>
      <c r="K1301" t="s">
        <v>3182</v>
      </c>
      <c r="L1301">
        <v>1.077262531562803</v>
      </c>
      <c r="M1301">
        <v>4.75</v>
      </c>
      <c r="N1301">
        <v>2.06</v>
      </c>
    </row>
    <row r="1302" spans="1:14">
      <c r="A1302" s="1" t="s">
        <v>1314</v>
      </c>
      <c r="B1302">
        <f>HYPERLINK("https://www.suredividend.com/sure-analysis-research-database/","HCI Group Inc")</f>
        <v>0</v>
      </c>
      <c r="C1302" t="s">
        <v>3184</v>
      </c>
      <c r="D1302">
        <v>62.2</v>
      </c>
      <c r="E1302">
        <v>0.02545150543178</v>
      </c>
      <c r="F1302">
        <v>0</v>
      </c>
      <c r="G1302">
        <v>0.01299136822423641</v>
      </c>
      <c r="H1302">
        <v>1.583083637856764</v>
      </c>
      <c r="I1302">
        <v>534.384396</v>
      </c>
      <c r="J1302" t="s">
        <v>3182</v>
      </c>
      <c r="K1302" t="s">
        <v>3182</v>
      </c>
      <c r="L1302">
        <v>1.003444903615959</v>
      </c>
      <c r="M1302">
        <v>69.52</v>
      </c>
      <c r="N1302">
        <v>31.72</v>
      </c>
    </row>
    <row r="1303" spans="1:14">
      <c r="A1303" s="1" t="s">
        <v>1315</v>
      </c>
      <c r="B1303">
        <f>HYPERLINK("https://www.suredividend.com/sure-analysis-research-database/","Hackett Group Inc (The)")</f>
        <v>0</v>
      </c>
      <c r="C1303" t="s">
        <v>3185</v>
      </c>
      <c r="D1303">
        <v>22.97</v>
      </c>
      <c r="E1303">
        <v>0.019011020536264</v>
      </c>
      <c r="F1303" t="s">
        <v>3182</v>
      </c>
      <c r="G1303" t="s">
        <v>3182</v>
      </c>
      <c r="H1303">
        <v>0.436683141717994</v>
      </c>
      <c r="I1303">
        <v>625.166657</v>
      </c>
      <c r="J1303">
        <v>16.91330945080215</v>
      </c>
      <c r="K1303">
        <v>0.3493465133743953</v>
      </c>
      <c r="L1303">
        <v>0.6489209004989891</v>
      </c>
      <c r="M1303">
        <v>24.7</v>
      </c>
      <c r="N1303">
        <v>16.94</v>
      </c>
    </row>
    <row r="1304" spans="1:14">
      <c r="A1304" s="1" t="s">
        <v>1316</v>
      </c>
      <c r="B1304">
        <f>HYPERLINK("https://www.suredividend.com/sure-analysis-research-database/","HashiCorp Inc")</f>
        <v>0</v>
      </c>
      <c r="C1304" t="s">
        <v>3182</v>
      </c>
      <c r="D1304">
        <v>19.2</v>
      </c>
      <c r="E1304">
        <v>0</v>
      </c>
      <c r="F1304" t="s">
        <v>3182</v>
      </c>
      <c r="G1304" t="s">
        <v>3182</v>
      </c>
      <c r="H1304">
        <v>0</v>
      </c>
      <c r="I1304">
        <v>3540.17065</v>
      </c>
      <c r="J1304" t="s">
        <v>3182</v>
      </c>
      <c r="K1304">
        <v>-0</v>
      </c>
      <c r="L1304">
        <v>2.237805597610856</v>
      </c>
      <c r="M1304">
        <v>37.31</v>
      </c>
      <c r="N1304">
        <v>18.91</v>
      </c>
    </row>
    <row r="1305" spans="1:14">
      <c r="A1305" s="1" t="s">
        <v>1317</v>
      </c>
      <c r="B1305">
        <f>HYPERLINK("https://www.suredividend.com/sure-analysis-research-database/","Healthcare Services Group, Inc.")</f>
        <v>0</v>
      </c>
      <c r="C1305" t="s">
        <v>3180</v>
      </c>
      <c r="D1305">
        <v>9.85</v>
      </c>
      <c r="E1305">
        <v>0.021827411530586</v>
      </c>
      <c r="F1305" t="s">
        <v>3182</v>
      </c>
      <c r="G1305" t="s">
        <v>3182</v>
      </c>
      <c r="H1305">
        <v>0.215000003576278</v>
      </c>
      <c r="I1305">
        <v>727.41265</v>
      </c>
      <c r="J1305">
        <v>22.76935706013084</v>
      </c>
      <c r="K1305">
        <v>0.5010487149295688</v>
      </c>
      <c r="L1305">
        <v>1.073557391843008</v>
      </c>
      <c r="M1305">
        <v>15.97</v>
      </c>
      <c r="N1305">
        <v>8.75</v>
      </c>
    </row>
    <row r="1306" spans="1:14">
      <c r="A1306" s="1" t="s">
        <v>1318</v>
      </c>
      <c r="B1306">
        <f>HYPERLINK("https://www.suredividend.com/sure-analysis-HD/","Home Depot, Inc.")</f>
        <v>0</v>
      </c>
      <c r="C1306" t="s">
        <v>3186</v>
      </c>
      <c r="D1306">
        <v>294.53</v>
      </c>
      <c r="E1306">
        <v>0.02838420534410756</v>
      </c>
      <c r="F1306">
        <v>0.09999999999999987</v>
      </c>
      <c r="G1306">
        <v>0.1520247572913045</v>
      </c>
      <c r="H1306">
        <v>8.089605101361286</v>
      </c>
      <c r="I1306">
        <v>294549.433678</v>
      </c>
      <c r="J1306">
        <v>18.14510156338693</v>
      </c>
      <c r="K1306">
        <v>0.5056003188350804</v>
      </c>
      <c r="L1306">
        <v>1.07506389897681</v>
      </c>
      <c r="M1306">
        <v>340.12</v>
      </c>
      <c r="N1306">
        <v>270.17</v>
      </c>
    </row>
    <row r="1307" spans="1:14">
      <c r="A1307" s="1" t="s">
        <v>1319</v>
      </c>
      <c r="B1307">
        <f>HYPERLINK("https://www.suredividend.com/sure-analysis-research-database/","HD Supply Holdings Inc")</f>
        <v>0</v>
      </c>
      <c r="C1307" t="s">
        <v>3183</v>
      </c>
      <c r="D1307">
        <v>55.99</v>
      </c>
      <c r="E1307">
        <v>0</v>
      </c>
      <c r="F1307" t="s">
        <v>3182</v>
      </c>
      <c r="G1307" t="s">
        <v>3182</v>
      </c>
      <c r="H1307">
        <v>0</v>
      </c>
      <c r="I1307">
        <v>0</v>
      </c>
      <c r="J1307">
        <v>0</v>
      </c>
      <c r="K1307">
        <v>0</v>
      </c>
    </row>
    <row r="1308" spans="1:14">
      <c r="A1308" s="1" t="s">
        <v>1320</v>
      </c>
      <c r="B1308">
        <f>HYPERLINK("https://www.suredividend.com/sure-analysis-research-database/","Hudson Technologies, Inc.")</f>
        <v>0</v>
      </c>
      <c r="C1308" t="s">
        <v>3181</v>
      </c>
      <c r="D1308">
        <v>12.31</v>
      </c>
      <c r="E1308">
        <v>0</v>
      </c>
      <c r="F1308" t="s">
        <v>3182</v>
      </c>
      <c r="G1308" t="s">
        <v>3182</v>
      </c>
      <c r="H1308">
        <v>0</v>
      </c>
      <c r="I1308">
        <v>558.813496</v>
      </c>
      <c r="J1308">
        <v>0</v>
      </c>
      <c r="K1308" t="s">
        <v>3182</v>
      </c>
      <c r="L1308">
        <v>1.261951494810683</v>
      </c>
      <c r="M1308">
        <v>14.14</v>
      </c>
      <c r="N1308">
        <v>7.21</v>
      </c>
    </row>
    <row r="1309" spans="1:14">
      <c r="A1309" s="1" t="s">
        <v>1321</v>
      </c>
      <c r="B1309">
        <f>HYPERLINK("https://www.suredividend.com/sure-analysis-research-database/","Hawaiian Electric Industries, Inc.")</f>
        <v>0</v>
      </c>
      <c r="C1309" t="s">
        <v>3190</v>
      </c>
      <c r="D1309">
        <v>13.49</v>
      </c>
      <c r="E1309">
        <v>0.103324900180997</v>
      </c>
      <c r="F1309">
        <v>0.02857142857142847</v>
      </c>
      <c r="G1309">
        <v>0.03035803310185115</v>
      </c>
      <c r="H1309">
        <v>1.393852903441657</v>
      </c>
      <c r="I1309">
        <v>1478.660471</v>
      </c>
      <c r="J1309">
        <v>6.463778662053409</v>
      </c>
      <c r="K1309">
        <v>0.6701215881931043</v>
      </c>
      <c r="L1309">
        <v>0.8571723651895211</v>
      </c>
      <c r="M1309">
        <v>41.85</v>
      </c>
      <c r="N1309">
        <v>9.06</v>
      </c>
    </row>
    <row r="1310" spans="1:14">
      <c r="A1310" s="1" t="s">
        <v>1322</v>
      </c>
      <c r="B1310">
        <f>HYPERLINK("https://www.suredividend.com/sure-analysis-research-database/","Turtle Beach Corp")</f>
        <v>0</v>
      </c>
      <c r="C1310" t="s">
        <v>3185</v>
      </c>
      <c r="D1310">
        <v>8.43</v>
      </c>
      <c r="E1310">
        <v>0</v>
      </c>
      <c r="F1310" t="s">
        <v>3182</v>
      </c>
      <c r="G1310" t="s">
        <v>3182</v>
      </c>
      <c r="H1310">
        <v>0</v>
      </c>
      <c r="I1310">
        <v>145.917146</v>
      </c>
      <c r="J1310" t="s">
        <v>3182</v>
      </c>
      <c r="K1310">
        <v>-0</v>
      </c>
      <c r="L1310">
        <v>1.591579346098752</v>
      </c>
      <c r="M1310">
        <v>13.26</v>
      </c>
      <c r="N1310">
        <v>6.17</v>
      </c>
    </row>
    <row r="1311" spans="1:14">
      <c r="A1311" s="1" t="s">
        <v>1323</v>
      </c>
      <c r="B1311">
        <f>HYPERLINK("https://www.suredividend.com/sure-analysis-research-database/","H&amp;E Equipment Services Inc")</f>
        <v>0</v>
      </c>
      <c r="C1311" t="s">
        <v>3183</v>
      </c>
      <c r="D1311">
        <v>42.12</v>
      </c>
      <c r="E1311">
        <v>0.025656866606804</v>
      </c>
      <c r="F1311">
        <v>0</v>
      </c>
      <c r="G1311">
        <v>0</v>
      </c>
      <c r="H1311">
        <v>1.08066722147862</v>
      </c>
      <c r="I1311">
        <v>1535.270883</v>
      </c>
      <c r="J1311">
        <v>9.197589776720722</v>
      </c>
      <c r="K1311">
        <v>0.2324015530061548</v>
      </c>
      <c r="L1311">
        <v>1.241655755778479</v>
      </c>
      <c r="M1311">
        <v>54.98</v>
      </c>
      <c r="N1311">
        <v>31.48</v>
      </c>
    </row>
    <row r="1312" spans="1:14">
      <c r="A1312" s="1" t="s">
        <v>1324</v>
      </c>
      <c r="B1312">
        <f>HYPERLINK("https://www.suredividend.com/sure-analysis-HEI/","Heico Corp.")</f>
        <v>0</v>
      </c>
      <c r="C1312" t="s">
        <v>3183</v>
      </c>
      <c r="D1312">
        <v>161.15</v>
      </c>
      <c r="E1312">
        <v>0.001241079739373255</v>
      </c>
      <c r="F1312" t="s">
        <v>3182</v>
      </c>
      <c r="G1312" t="s">
        <v>3182</v>
      </c>
      <c r="H1312">
        <v>0.199943178797759</v>
      </c>
      <c r="I1312">
        <v>19628.604043</v>
      </c>
      <c r="J1312">
        <v>49.39579349129536</v>
      </c>
      <c r="K1312">
        <v>0.06966661282151883</v>
      </c>
      <c r="L1312">
        <v>0.869116931516087</v>
      </c>
      <c r="M1312">
        <v>182.18</v>
      </c>
      <c r="N1312">
        <v>147.51</v>
      </c>
    </row>
    <row r="1313" spans="1:14">
      <c r="A1313" s="1" t="s">
        <v>1325</v>
      </c>
      <c r="B1313">
        <f>HYPERLINK("https://www.suredividend.com/sure-analysis-research-database/","Helen of Troy Ltd")</f>
        <v>0</v>
      </c>
      <c r="C1313" t="s">
        <v>3188</v>
      </c>
      <c r="D1313">
        <v>100.78</v>
      </c>
      <c r="E1313">
        <v>0</v>
      </c>
      <c r="F1313" t="s">
        <v>3182</v>
      </c>
      <c r="G1313" t="s">
        <v>3182</v>
      </c>
      <c r="H1313">
        <v>0</v>
      </c>
      <c r="I1313">
        <v>2392.794043</v>
      </c>
      <c r="J1313">
        <v>17.34310885611156</v>
      </c>
      <c r="K1313">
        <v>0</v>
      </c>
      <c r="L1313">
        <v>1.480821741602189</v>
      </c>
      <c r="M1313">
        <v>143.68</v>
      </c>
      <c r="N1313">
        <v>81.14</v>
      </c>
    </row>
    <row r="1314" spans="1:14">
      <c r="A1314" s="1" t="s">
        <v>1326</v>
      </c>
      <c r="B1314">
        <f>HYPERLINK("https://www.suredividend.com/sure-analysis-research-database/","Hepion Pharmaceuticals Inc")</f>
        <v>0</v>
      </c>
      <c r="C1314" t="s">
        <v>3180</v>
      </c>
      <c r="D1314">
        <v>4.16</v>
      </c>
      <c r="E1314">
        <v>0</v>
      </c>
      <c r="F1314" t="s">
        <v>3182</v>
      </c>
      <c r="G1314" t="s">
        <v>3182</v>
      </c>
      <c r="H1314">
        <v>0</v>
      </c>
      <c r="I1314">
        <v>15.967282</v>
      </c>
      <c r="J1314">
        <v>0</v>
      </c>
      <c r="K1314" t="s">
        <v>3182</v>
      </c>
      <c r="M1314">
        <v>23.85</v>
      </c>
      <c r="N1314">
        <v>4.16</v>
      </c>
    </row>
    <row r="1315" spans="1:14">
      <c r="A1315" s="1" t="s">
        <v>1327</v>
      </c>
      <c r="B1315">
        <f>HYPERLINK("https://www.suredividend.com/sure-analysis-research-database/","Hess Corporation")</f>
        <v>0</v>
      </c>
      <c r="C1315" t="s">
        <v>3189</v>
      </c>
      <c r="D1315">
        <v>147.76</v>
      </c>
      <c r="E1315">
        <v>0.011372285713847</v>
      </c>
      <c r="F1315">
        <v>0.1666666666666667</v>
      </c>
      <c r="G1315">
        <v>0.1184269147201447</v>
      </c>
      <c r="H1315">
        <v>1.680368937078096</v>
      </c>
      <c r="I1315">
        <v>45371.337941</v>
      </c>
      <c r="J1315">
        <v>30.71857680471225</v>
      </c>
      <c r="K1315">
        <v>0.35007686189127</v>
      </c>
      <c r="L1315">
        <v>0.9069606147852691</v>
      </c>
      <c r="M1315">
        <v>167.75</v>
      </c>
      <c r="N1315">
        <v>113.15</v>
      </c>
    </row>
    <row r="1316" spans="1:14">
      <c r="A1316" s="1" t="s">
        <v>1328</v>
      </c>
      <c r="B1316">
        <f>HYPERLINK("https://www.suredividend.com/sure-analysis-research-database/","Home Federal Bancorp Inc (Louisiana)")</f>
        <v>0</v>
      </c>
      <c r="C1316" t="s">
        <v>3184</v>
      </c>
      <c r="D1316">
        <v>12.07</v>
      </c>
      <c r="E1316">
        <v>0.039968105837067</v>
      </c>
      <c r="F1316">
        <v>0.04166666666666674</v>
      </c>
      <c r="G1316">
        <v>-0.02241079899542509</v>
      </c>
      <c r="H1316">
        <v>0.482415037453405</v>
      </c>
      <c r="I1316">
        <v>37.819547</v>
      </c>
      <c r="J1316">
        <v>0</v>
      </c>
      <c r="K1316" t="s">
        <v>3182</v>
      </c>
      <c r="M1316">
        <v>21.44</v>
      </c>
      <c r="N1316">
        <v>11.84</v>
      </c>
    </row>
    <row r="1317" spans="1:14">
      <c r="A1317" s="1" t="s">
        <v>1329</v>
      </c>
      <c r="B1317">
        <f>HYPERLINK("https://www.suredividend.com/sure-analysis-research-database/","Heritage Financial Corp.")</f>
        <v>0</v>
      </c>
      <c r="C1317" t="s">
        <v>3184</v>
      </c>
      <c r="D1317">
        <v>17.17</v>
      </c>
      <c r="E1317">
        <v>0.049326690951413</v>
      </c>
      <c r="F1317">
        <v>0.04761904761904767</v>
      </c>
      <c r="G1317">
        <v>0.04095039696925684</v>
      </c>
      <c r="H1317">
        <v>0.8469392836357731</v>
      </c>
      <c r="I1317">
        <v>601.770726</v>
      </c>
      <c r="J1317">
        <v>7.444248623773768</v>
      </c>
      <c r="K1317">
        <v>0.3714645980858653</v>
      </c>
      <c r="L1317">
        <v>0.9578005944156891</v>
      </c>
      <c r="M1317">
        <v>31.55</v>
      </c>
      <c r="N1317">
        <v>14.12</v>
      </c>
    </row>
    <row r="1318" spans="1:14">
      <c r="A1318" s="1" t="s">
        <v>1330</v>
      </c>
      <c r="B1318">
        <f>HYPERLINK("https://www.suredividend.com/sure-analysis-research-database/","Hilton Grand Vacations Inc")</f>
        <v>0</v>
      </c>
      <c r="C1318" t="s">
        <v>3186</v>
      </c>
      <c r="D1318">
        <v>35.71</v>
      </c>
      <c r="E1318">
        <v>0</v>
      </c>
      <c r="F1318" t="s">
        <v>3182</v>
      </c>
      <c r="G1318" t="s">
        <v>3182</v>
      </c>
      <c r="H1318">
        <v>0</v>
      </c>
      <c r="I1318">
        <v>3929.770442</v>
      </c>
      <c r="J1318">
        <v>10.31435811648294</v>
      </c>
      <c r="K1318">
        <v>0</v>
      </c>
      <c r="L1318">
        <v>1.190728449961516</v>
      </c>
      <c r="M1318">
        <v>51.81</v>
      </c>
      <c r="N1318">
        <v>34.41</v>
      </c>
    </row>
    <row r="1319" spans="1:14">
      <c r="A1319" s="1" t="s">
        <v>1331</v>
      </c>
      <c r="B1319">
        <f>HYPERLINK("https://www.suredividend.com/sure-analysis-research-database/","Howard Hughes Corporation")</f>
        <v>0</v>
      </c>
      <c r="C1319" t="s">
        <v>3187</v>
      </c>
      <c r="D1319">
        <v>78.76000000000001</v>
      </c>
      <c r="E1319">
        <v>0</v>
      </c>
      <c r="F1319" t="s">
        <v>3182</v>
      </c>
      <c r="G1319" t="s">
        <v>3182</v>
      </c>
      <c r="H1319">
        <v>0</v>
      </c>
      <c r="I1319">
        <v>3940.09009</v>
      </c>
      <c r="J1319">
        <v>33.12141233534243</v>
      </c>
      <c r="K1319">
        <v>0</v>
      </c>
      <c r="L1319">
        <v>1.301058975410211</v>
      </c>
      <c r="M1319">
        <v>89.58</v>
      </c>
      <c r="N1319">
        <v>50.9</v>
      </c>
    </row>
    <row r="1320" spans="1:14">
      <c r="A1320" s="1" t="s">
        <v>1332</v>
      </c>
      <c r="B1320">
        <f>HYPERLINK("https://www.suredividend.com/sure-analysis-research-database/","Harte-Hanks, Inc.")</f>
        <v>0</v>
      </c>
      <c r="C1320" t="s">
        <v>3191</v>
      </c>
      <c r="D1320">
        <v>6.74</v>
      </c>
      <c r="E1320">
        <v>0</v>
      </c>
      <c r="F1320" t="s">
        <v>3182</v>
      </c>
      <c r="G1320" t="s">
        <v>3182</v>
      </c>
      <c r="H1320">
        <v>0</v>
      </c>
      <c r="I1320">
        <v>48.601298</v>
      </c>
      <c r="J1320">
        <v>1.701070928563928</v>
      </c>
      <c r="K1320">
        <v>0</v>
      </c>
      <c r="L1320">
        <v>0.9687955913135851</v>
      </c>
      <c r="M1320">
        <v>14.24</v>
      </c>
      <c r="N1320">
        <v>5</v>
      </c>
    </row>
    <row r="1321" spans="1:14">
      <c r="A1321" s="1" t="s">
        <v>1333</v>
      </c>
      <c r="B1321">
        <f>HYPERLINK("https://www.suredividend.com/sure-analysis-HI/","Hillenbrand Inc")</f>
        <v>0</v>
      </c>
      <c r="C1321" t="s">
        <v>3183</v>
      </c>
      <c r="D1321">
        <v>39.37</v>
      </c>
      <c r="E1321">
        <v>0.02235204470408941</v>
      </c>
      <c r="F1321">
        <v>0.01149425287356332</v>
      </c>
      <c r="G1321">
        <v>0.009347419909568888</v>
      </c>
      <c r="H1321">
        <v>0.87370850192472</v>
      </c>
      <c r="I1321">
        <v>2752.564928</v>
      </c>
      <c r="J1321">
        <v>4.525012210964984</v>
      </c>
      <c r="K1321">
        <v>0.1004262645890483</v>
      </c>
      <c r="L1321">
        <v>1.16997197616065</v>
      </c>
      <c r="M1321">
        <v>53.4</v>
      </c>
      <c r="N1321">
        <v>37.19</v>
      </c>
    </row>
    <row r="1322" spans="1:14">
      <c r="A1322" s="1" t="s">
        <v>1334</v>
      </c>
      <c r="B1322">
        <f>HYPERLINK("https://www.suredividend.com/sure-analysis-research-database/","Hibbett Inc")</f>
        <v>0</v>
      </c>
      <c r="C1322" t="s">
        <v>3186</v>
      </c>
      <c r="D1322">
        <v>48.38</v>
      </c>
      <c r="E1322">
        <v>0.020494358264966</v>
      </c>
      <c r="F1322" t="s">
        <v>3182</v>
      </c>
      <c r="G1322" t="s">
        <v>3182</v>
      </c>
      <c r="H1322">
        <v>0.9915170528590611</v>
      </c>
      <c r="I1322">
        <v>599.642572</v>
      </c>
      <c r="J1322">
        <v>5.413206815498222</v>
      </c>
      <c r="K1322">
        <v>0.1170622258393224</v>
      </c>
      <c r="L1322">
        <v>1.231414367359214</v>
      </c>
      <c r="M1322">
        <v>74.16</v>
      </c>
      <c r="N1322">
        <v>34.43</v>
      </c>
    </row>
    <row r="1323" spans="1:14">
      <c r="A1323" s="1" t="s">
        <v>1335</v>
      </c>
      <c r="B1323">
        <f>HYPERLINK("https://www.suredividend.com/sure-analysis-HIFS/","Hingham Institution For Savings")</f>
        <v>0</v>
      </c>
      <c r="C1323" t="s">
        <v>3184</v>
      </c>
      <c r="D1323">
        <v>157.62</v>
      </c>
      <c r="E1323">
        <v>0.01598781880472021</v>
      </c>
      <c r="F1323">
        <v>0</v>
      </c>
      <c r="G1323">
        <v>0.009805797673485328</v>
      </c>
      <c r="H1323">
        <v>2.493343775947672</v>
      </c>
      <c r="I1323">
        <v>331.94772</v>
      </c>
      <c r="J1323">
        <v>0</v>
      </c>
      <c r="K1323" t="s">
        <v>3182</v>
      </c>
      <c r="L1323">
        <v>1.195232141208206</v>
      </c>
      <c r="M1323">
        <v>304.86</v>
      </c>
      <c r="N1323">
        <v>147.01</v>
      </c>
    </row>
    <row r="1324" spans="1:14">
      <c r="A1324" s="1" t="s">
        <v>1336</v>
      </c>
      <c r="B1324">
        <f>HYPERLINK("https://www.suredividend.com/sure-analysis-HIG/","Hartford Financial Services Group Inc.")</f>
        <v>0</v>
      </c>
      <c r="C1324" t="s">
        <v>3184</v>
      </c>
      <c r="D1324">
        <v>73.62</v>
      </c>
      <c r="E1324">
        <v>0.02553653898397175</v>
      </c>
      <c r="F1324">
        <v>0.1038961038961039</v>
      </c>
      <c r="G1324">
        <v>0.07214502590085092</v>
      </c>
      <c r="H1324">
        <v>1.684962704745613</v>
      </c>
      <c r="I1324">
        <v>22142.674737</v>
      </c>
      <c r="J1324">
        <v>9.623065944093874</v>
      </c>
      <c r="K1324">
        <v>0.2314509209815402</v>
      </c>
      <c r="L1324">
        <v>0.6943315436894021</v>
      </c>
      <c r="M1324">
        <v>78.05</v>
      </c>
      <c r="N1324">
        <v>63.48</v>
      </c>
    </row>
    <row r="1325" spans="1:14">
      <c r="A1325" s="1" t="s">
        <v>1337</v>
      </c>
      <c r="B1325">
        <f>HYPERLINK("https://www.suredividend.com/sure-analysis-HII/","Huntington Ingalls Industries Inc")</f>
        <v>0</v>
      </c>
      <c r="C1325" t="s">
        <v>3183</v>
      </c>
      <c r="D1325">
        <v>233.85</v>
      </c>
      <c r="E1325">
        <v>0.02223647637374385</v>
      </c>
      <c r="F1325">
        <v>0.05084745762711873</v>
      </c>
      <c r="G1325">
        <v>0.07593156010932822</v>
      </c>
      <c r="H1325">
        <v>4.917035553971358</v>
      </c>
      <c r="I1325">
        <v>9323.039663</v>
      </c>
      <c r="J1325">
        <v>17.92892242903846</v>
      </c>
      <c r="K1325">
        <v>0.3782335041516429</v>
      </c>
      <c r="L1325">
        <v>0.5763443356693601</v>
      </c>
      <c r="M1325">
        <v>242.35</v>
      </c>
      <c r="N1325">
        <v>186.3</v>
      </c>
    </row>
    <row r="1326" spans="1:14">
      <c r="A1326" s="1" t="s">
        <v>1338</v>
      </c>
      <c r="B1326">
        <f>HYPERLINK("https://www.suredividend.com/sure-analysis-research-database/","Hill International Inc")</f>
        <v>0</v>
      </c>
      <c r="C1326" t="s">
        <v>3183</v>
      </c>
      <c r="D1326">
        <v>3.39</v>
      </c>
      <c r="E1326">
        <v>0</v>
      </c>
      <c r="F1326" t="s">
        <v>3182</v>
      </c>
      <c r="G1326" t="s">
        <v>3182</v>
      </c>
      <c r="H1326">
        <v>0</v>
      </c>
      <c r="I1326">
        <v>194.3533</v>
      </c>
      <c r="J1326" t="s">
        <v>3182</v>
      </c>
      <c r="K1326">
        <v>-0</v>
      </c>
      <c r="L1326">
        <v>0.187264605026225</v>
      </c>
      <c r="M1326">
        <v>3.4</v>
      </c>
      <c r="N1326">
        <v>1.18</v>
      </c>
    </row>
    <row r="1327" spans="1:14">
      <c r="A1327" s="1" t="s">
        <v>1339</v>
      </c>
      <c r="B1327">
        <f>HYPERLINK("https://www.suredividend.com/sure-analysis-HIW/","Highwoods Properties, Inc.")</f>
        <v>0</v>
      </c>
      <c r="C1327" t="s">
        <v>3187</v>
      </c>
      <c r="D1327">
        <v>19.37</v>
      </c>
      <c r="E1327">
        <v>0.1032524522457408</v>
      </c>
      <c r="F1327">
        <v>0</v>
      </c>
      <c r="G1327">
        <v>0.01031145931793609</v>
      </c>
      <c r="H1327">
        <v>1.935302946477115</v>
      </c>
      <c r="I1327">
        <v>2047.278466</v>
      </c>
      <c r="J1327">
        <v>15.07757573164534</v>
      </c>
      <c r="K1327">
        <v>1.535954719426282</v>
      </c>
      <c r="L1327">
        <v>1.332681462067215</v>
      </c>
      <c r="M1327">
        <v>29.91</v>
      </c>
      <c r="N1327">
        <v>17.06</v>
      </c>
    </row>
    <row r="1328" spans="1:14">
      <c r="A1328" s="1" t="s">
        <v>1340</v>
      </c>
      <c r="B1328">
        <f>HYPERLINK("https://www.suredividend.com/sure-analysis-research-database/","Hecla Mining Co.")</f>
        <v>0</v>
      </c>
      <c r="C1328" t="s">
        <v>3181</v>
      </c>
      <c r="D1328">
        <v>4.1</v>
      </c>
      <c r="E1328">
        <v>0.005477748002852</v>
      </c>
      <c r="F1328">
        <v>0.6666666666666665</v>
      </c>
      <c r="G1328">
        <v>0.2011244339814313</v>
      </c>
      <c r="H1328">
        <v>0.022458766811695</v>
      </c>
      <c r="I1328">
        <v>2531.092143</v>
      </c>
      <c r="J1328" t="s">
        <v>3182</v>
      </c>
      <c r="K1328" t="s">
        <v>3182</v>
      </c>
      <c r="L1328">
        <v>1.170970289788653</v>
      </c>
      <c r="M1328">
        <v>6.98</v>
      </c>
      <c r="N1328">
        <v>3.55</v>
      </c>
    </row>
    <row r="1329" spans="1:14">
      <c r="A1329" s="1" t="s">
        <v>1341</v>
      </c>
      <c r="B1329">
        <f>HYPERLINK("https://www.suredividend.com/sure-analysis-research-database/","Herbalife Ltd")</f>
        <v>0</v>
      </c>
      <c r="C1329" t="s">
        <v>3188</v>
      </c>
      <c r="D1329">
        <v>13.89</v>
      </c>
      <c r="E1329">
        <v>0</v>
      </c>
      <c r="F1329" t="s">
        <v>3182</v>
      </c>
      <c r="G1329" t="s">
        <v>3182</v>
      </c>
      <c r="H1329">
        <v>0</v>
      </c>
      <c r="I1329">
        <v>1375.095374</v>
      </c>
      <c r="J1329">
        <v>6.089882080735165</v>
      </c>
      <c r="K1329">
        <v>0</v>
      </c>
      <c r="L1329">
        <v>1.399733271276364</v>
      </c>
      <c r="M1329">
        <v>21.33</v>
      </c>
      <c r="N1329">
        <v>11.14</v>
      </c>
    </row>
    <row r="1330" spans="1:14">
      <c r="A1330" s="1" t="s">
        <v>1342</v>
      </c>
      <c r="B1330">
        <f>HYPERLINK("https://www.suredividend.com/sure-analysis-HLI/","Houlihan Lokey Inc")</f>
        <v>0</v>
      </c>
      <c r="C1330" t="s">
        <v>3184</v>
      </c>
      <c r="D1330">
        <v>103.92</v>
      </c>
      <c r="E1330">
        <v>0.02117013086989993</v>
      </c>
      <c r="F1330">
        <v>0.03773584905660377</v>
      </c>
      <c r="G1330">
        <v>0.1529216246740956</v>
      </c>
      <c r="H1330">
        <v>2.142121522754721</v>
      </c>
      <c r="I1330">
        <v>5344.746931</v>
      </c>
      <c r="J1330">
        <v>21.8303520844991</v>
      </c>
      <c r="K1330">
        <v>0.5901161219709975</v>
      </c>
      <c r="L1330">
        <v>0.827781706168193</v>
      </c>
      <c r="M1330">
        <v>110.94</v>
      </c>
      <c r="N1330">
        <v>82.95999999999999</v>
      </c>
    </row>
    <row r="1331" spans="1:14">
      <c r="A1331" s="1" t="s">
        <v>1343</v>
      </c>
      <c r="B1331">
        <f>HYPERLINK("https://www.suredividend.com/sure-analysis-research-database/","Helios Technologies Inc")</f>
        <v>0</v>
      </c>
      <c r="C1331" t="s">
        <v>3183</v>
      </c>
      <c r="D1331">
        <v>52.82</v>
      </c>
      <c r="E1331">
        <v>0.006800073563398</v>
      </c>
      <c r="F1331">
        <v>0</v>
      </c>
      <c r="G1331">
        <v>0</v>
      </c>
      <c r="H1331">
        <v>0.359179885618685</v>
      </c>
      <c r="I1331">
        <v>1744.902837</v>
      </c>
      <c r="J1331">
        <v>25.4410934735952</v>
      </c>
      <c r="K1331">
        <v>0.1710380407708024</v>
      </c>
      <c r="L1331">
        <v>1.061402329359873</v>
      </c>
      <c r="M1331">
        <v>72.29000000000001</v>
      </c>
      <c r="N1331">
        <v>47.95</v>
      </c>
    </row>
    <row r="1332" spans="1:14">
      <c r="A1332" s="1" t="s">
        <v>1344</v>
      </c>
      <c r="B1332">
        <f>HYPERLINK("https://www.suredividend.com/sure-analysis-research-database/","Harmonic, Inc.")</f>
        <v>0</v>
      </c>
      <c r="C1332" t="s">
        <v>3185</v>
      </c>
      <c r="D1332">
        <v>10.4</v>
      </c>
      <c r="E1332">
        <v>0</v>
      </c>
      <c r="F1332" t="s">
        <v>3182</v>
      </c>
      <c r="G1332" t="s">
        <v>3182</v>
      </c>
      <c r="H1332">
        <v>0</v>
      </c>
      <c r="I1332">
        <v>1163.915782</v>
      </c>
      <c r="J1332">
        <v>54.08781921092988</v>
      </c>
      <c r="K1332">
        <v>0</v>
      </c>
      <c r="L1332">
        <v>0.8966848039029831</v>
      </c>
      <c r="M1332">
        <v>18.43</v>
      </c>
      <c r="N1332">
        <v>8.800000000000001</v>
      </c>
    </row>
    <row r="1333" spans="1:14">
      <c r="A1333" s="1" t="s">
        <v>1345</v>
      </c>
      <c r="B1333">
        <f>HYPERLINK("https://www.suredividend.com/sure-analysis-research-database/","Hamilton Lane Inc")</f>
        <v>0</v>
      </c>
      <c r="C1333" t="s">
        <v>3184</v>
      </c>
      <c r="D1333">
        <v>88.09999999999999</v>
      </c>
      <c r="E1333">
        <v>0.018914106110066</v>
      </c>
      <c r="F1333">
        <v>0.1125</v>
      </c>
      <c r="G1333">
        <v>0.1593116905168142</v>
      </c>
      <c r="H1333">
        <v>1.666332748296862</v>
      </c>
      <c r="I1333">
        <v>3399.651872</v>
      </c>
      <c r="J1333">
        <v>30.88851621540586</v>
      </c>
      <c r="K1333">
        <v>0.8128452430716401</v>
      </c>
      <c r="L1333">
        <v>1.297632753191538</v>
      </c>
      <c r="M1333">
        <v>93.42</v>
      </c>
      <c r="N1333">
        <v>60.77</v>
      </c>
    </row>
    <row r="1334" spans="1:14">
      <c r="A1334" s="1" t="s">
        <v>1346</v>
      </c>
      <c r="B1334">
        <f>HYPERLINK("https://www.suredividend.com/sure-analysis-research-database/","Hilton Worldwide Holdings Inc")</f>
        <v>0</v>
      </c>
      <c r="C1334" t="s">
        <v>3186</v>
      </c>
      <c r="D1334">
        <v>152.62</v>
      </c>
      <c r="E1334">
        <v>0.003925322579319</v>
      </c>
      <c r="F1334" t="s">
        <v>3182</v>
      </c>
      <c r="G1334" t="s">
        <v>3182</v>
      </c>
      <c r="H1334">
        <v>0.599082732055765</v>
      </c>
      <c r="I1334">
        <v>39137.919349</v>
      </c>
      <c r="J1334">
        <v>29.60508271490166</v>
      </c>
      <c r="K1334">
        <v>0.1210268145567202</v>
      </c>
      <c r="L1334">
        <v>0.9147502908745421</v>
      </c>
      <c r="M1334">
        <v>156.98</v>
      </c>
      <c r="N1334">
        <v>123.36</v>
      </c>
    </row>
    <row r="1335" spans="1:14">
      <c r="A1335" s="1" t="s">
        <v>1347</v>
      </c>
      <c r="B1335">
        <f>HYPERLINK("https://www.suredividend.com/sure-analysis-research-database/","Helix Energy Solutions Group Inc")</f>
        <v>0</v>
      </c>
      <c r="C1335" t="s">
        <v>3189</v>
      </c>
      <c r="D1335">
        <v>10.24</v>
      </c>
      <c r="E1335">
        <v>0</v>
      </c>
      <c r="F1335" t="s">
        <v>3182</v>
      </c>
      <c r="G1335" t="s">
        <v>3182</v>
      </c>
      <c r="H1335">
        <v>0</v>
      </c>
      <c r="I1335">
        <v>1543.282985</v>
      </c>
      <c r="J1335">
        <v>76.53275402727499</v>
      </c>
      <c r="K1335">
        <v>0</v>
      </c>
      <c r="L1335">
        <v>0.8198866749822721</v>
      </c>
      <c r="M1335">
        <v>11.88</v>
      </c>
      <c r="N1335">
        <v>5.76</v>
      </c>
    </row>
    <row r="1336" spans="1:14">
      <c r="A1336" s="1" t="s">
        <v>1348</v>
      </c>
      <c r="B1336">
        <f>HYPERLINK("https://www.suredividend.com/sure-analysis-research-database/","Houghton Mifflin Harcourt Co")</f>
        <v>0</v>
      </c>
      <c r="C1336" t="s">
        <v>3188</v>
      </c>
      <c r="D1336">
        <v>21.03</v>
      </c>
      <c r="E1336">
        <v>0</v>
      </c>
      <c r="F1336" t="s">
        <v>3182</v>
      </c>
      <c r="G1336" t="s">
        <v>3182</v>
      </c>
      <c r="H1336">
        <v>0</v>
      </c>
      <c r="I1336">
        <v>0</v>
      </c>
      <c r="J1336">
        <v>0</v>
      </c>
      <c r="K1336" t="s">
        <v>3182</v>
      </c>
    </row>
    <row r="1337" spans="1:14">
      <c r="A1337" s="1" t="s">
        <v>1349</v>
      </c>
      <c r="B1337">
        <f>HYPERLINK("https://www.suredividend.com/sure-analysis-HMN/","Horace Mann Educators Corp.")</f>
        <v>0</v>
      </c>
      <c r="C1337" t="s">
        <v>3184</v>
      </c>
      <c r="D1337">
        <v>31.97</v>
      </c>
      <c r="E1337">
        <v>0.04128870816390366</v>
      </c>
      <c r="F1337">
        <v>0.03125</v>
      </c>
      <c r="G1337">
        <v>0.02975477857041309</v>
      </c>
      <c r="H1337">
        <v>1.28895938242577</v>
      </c>
      <c r="I1337">
        <v>1305.728235</v>
      </c>
      <c r="J1337" t="s">
        <v>3182</v>
      </c>
      <c r="K1337" t="s">
        <v>3182</v>
      </c>
      <c r="L1337">
        <v>0.471916717018747</v>
      </c>
      <c r="M1337">
        <v>37.81</v>
      </c>
      <c r="N1337">
        <v>27.49</v>
      </c>
    </row>
    <row r="1338" spans="1:14">
      <c r="A1338" s="1" t="s">
        <v>1350</v>
      </c>
      <c r="B1338">
        <f>HYPERLINK("https://www.suredividend.com/sure-analysis-research-database/","HMN Financial Inc.")</f>
        <v>0</v>
      </c>
      <c r="C1338" t="s">
        <v>3184</v>
      </c>
      <c r="D1338">
        <v>18.89</v>
      </c>
      <c r="E1338">
        <v>0.014672693388973</v>
      </c>
      <c r="F1338" t="s">
        <v>3182</v>
      </c>
      <c r="G1338" t="s">
        <v>3182</v>
      </c>
      <c r="H1338">
        <v>0.277167178117709</v>
      </c>
      <c r="I1338">
        <v>84.766268</v>
      </c>
      <c r="J1338">
        <v>0</v>
      </c>
      <c r="K1338" t="s">
        <v>3182</v>
      </c>
      <c r="M1338">
        <v>22.53</v>
      </c>
      <c r="N1338">
        <v>17.02</v>
      </c>
    </row>
    <row r="1339" spans="1:14">
      <c r="A1339" s="1" t="s">
        <v>1351</v>
      </c>
      <c r="B1339">
        <f>HYPERLINK("https://www.suredividend.com/sure-analysis-research-database/","HomeStreet Inc")</f>
        <v>0</v>
      </c>
      <c r="C1339" t="s">
        <v>3184</v>
      </c>
      <c r="D1339">
        <v>5.47</v>
      </c>
      <c r="E1339">
        <v>0.157136764276371</v>
      </c>
      <c r="F1339" t="s">
        <v>3182</v>
      </c>
      <c r="G1339" t="s">
        <v>3182</v>
      </c>
      <c r="H1339">
        <v>0.8595381005917521</v>
      </c>
      <c r="I1339">
        <v>102.803344</v>
      </c>
      <c r="J1339">
        <v>41.38620938003221</v>
      </c>
      <c r="K1339">
        <v>6.496886625787997</v>
      </c>
      <c r="L1339">
        <v>1.593315230624321</v>
      </c>
      <c r="M1339">
        <v>28.31</v>
      </c>
      <c r="N1339">
        <v>4.2</v>
      </c>
    </row>
    <row r="1340" spans="1:14">
      <c r="A1340" s="1" t="s">
        <v>1352</v>
      </c>
      <c r="B1340">
        <f>HYPERLINK("https://www.suredividend.com/sure-analysis-research-database/","HMS Holdings Corp")</f>
        <v>0</v>
      </c>
      <c r="C1340" t="s">
        <v>3180</v>
      </c>
      <c r="D1340">
        <v>36.975</v>
      </c>
      <c r="E1340">
        <v>0</v>
      </c>
      <c r="F1340" t="s">
        <v>3182</v>
      </c>
      <c r="G1340" t="s">
        <v>3182</v>
      </c>
      <c r="H1340">
        <v>0</v>
      </c>
      <c r="I1340">
        <v>0</v>
      </c>
      <c r="J1340">
        <v>0</v>
      </c>
      <c r="K1340">
        <v>0</v>
      </c>
    </row>
    <row r="1341" spans="1:14">
      <c r="A1341" s="1" t="s">
        <v>1353</v>
      </c>
      <c r="B1341">
        <f>HYPERLINK("https://www.suredividend.com/sure-analysis-research-database/","Hemisphere Media Group Inc")</f>
        <v>0</v>
      </c>
      <c r="C1341" t="s">
        <v>3191</v>
      </c>
      <c r="D1341">
        <v>7.15</v>
      </c>
      <c r="E1341">
        <v>0</v>
      </c>
      <c r="F1341" t="s">
        <v>3182</v>
      </c>
      <c r="G1341" t="s">
        <v>3182</v>
      </c>
      <c r="H1341">
        <v>0</v>
      </c>
      <c r="I1341">
        <v>0</v>
      </c>
      <c r="J1341">
        <v>0</v>
      </c>
      <c r="K1341" t="s">
        <v>3182</v>
      </c>
    </row>
    <row r="1342" spans="1:14">
      <c r="A1342" s="1" t="s">
        <v>1354</v>
      </c>
      <c r="B1342">
        <f>HYPERLINK("https://www.suredividend.com/sure-analysis-research-database/","Hanger Inc")</f>
        <v>0</v>
      </c>
      <c r="C1342" t="s">
        <v>3180</v>
      </c>
      <c r="D1342">
        <v>18.72</v>
      </c>
      <c r="E1342">
        <v>0</v>
      </c>
      <c r="F1342" t="s">
        <v>3182</v>
      </c>
      <c r="G1342" t="s">
        <v>3182</v>
      </c>
      <c r="H1342">
        <v>0</v>
      </c>
      <c r="I1342">
        <v>732.3875399999999</v>
      </c>
      <c r="J1342">
        <v>19.63874023328775</v>
      </c>
      <c r="K1342">
        <v>0</v>
      </c>
      <c r="L1342">
        <v>0.596951536256076</v>
      </c>
      <c r="M1342">
        <v>22.67</v>
      </c>
      <c r="N1342">
        <v>13.42</v>
      </c>
    </row>
    <row r="1343" spans="1:14">
      <c r="A1343" s="1" t="s">
        <v>1355</v>
      </c>
      <c r="B1343">
        <f>HYPERLINK("https://www.suredividend.com/sure-analysis-HNI/","HNI Corp.")</f>
        <v>0</v>
      </c>
      <c r="C1343" t="s">
        <v>3183</v>
      </c>
      <c r="D1343">
        <v>37.71</v>
      </c>
      <c r="E1343">
        <v>0.03394325112702201</v>
      </c>
      <c r="F1343">
        <v>0</v>
      </c>
      <c r="G1343">
        <v>0.01640219077828098</v>
      </c>
      <c r="H1343">
        <v>1.259769038616919</v>
      </c>
      <c r="I1343">
        <v>1756.510758</v>
      </c>
      <c r="J1343">
        <v>40.92332039094171</v>
      </c>
      <c r="K1343">
        <v>1.278434177610025</v>
      </c>
      <c r="L1343">
        <v>0.9178520003070451</v>
      </c>
      <c r="M1343">
        <v>38</v>
      </c>
      <c r="N1343">
        <v>24.07</v>
      </c>
    </row>
    <row r="1344" spans="1:14">
      <c r="A1344" s="1" t="s">
        <v>1356</v>
      </c>
      <c r="B1344">
        <f>HYPERLINK("https://www.suredividend.com/sure-analysis-research-database/","Hallador Energy Co")</f>
        <v>0</v>
      </c>
      <c r="C1344" t="s">
        <v>3189</v>
      </c>
      <c r="D1344">
        <v>14.07</v>
      </c>
      <c r="E1344">
        <v>0</v>
      </c>
      <c r="F1344" t="s">
        <v>3182</v>
      </c>
      <c r="G1344" t="s">
        <v>3182</v>
      </c>
      <c r="H1344">
        <v>0</v>
      </c>
      <c r="I1344">
        <v>466.31361</v>
      </c>
      <c r="J1344">
        <v>6.605850748820672</v>
      </c>
      <c r="K1344">
        <v>0</v>
      </c>
      <c r="L1344">
        <v>1.022477751578004</v>
      </c>
      <c r="M1344">
        <v>15.79</v>
      </c>
      <c r="N1344">
        <v>6.5</v>
      </c>
    </row>
    <row r="1345" spans="1:14">
      <c r="A1345" s="1" t="s">
        <v>1357</v>
      </c>
      <c r="B1345">
        <f>HYPERLINK("https://www.suredividend.com/sure-analysis-research-database/","Hooker Furnishings Corporation")</f>
        <v>0</v>
      </c>
      <c r="C1345" t="s">
        <v>3186</v>
      </c>
      <c r="D1345">
        <v>17.42</v>
      </c>
      <c r="E1345">
        <v>0.048962073129285</v>
      </c>
      <c r="F1345">
        <v>0.09999999999999987</v>
      </c>
      <c r="G1345">
        <v>0.0796084730466029</v>
      </c>
      <c r="H1345">
        <v>0.852919313912161</v>
      </c>
      <c r="I1345">
        <v>187.105084</v>
      </c>
      <c r="J1345" t="s">
        <v>3182</v>
      </c>
      <c r="K1345" t="s">
        <v>3182</v>
      </c>
      <c r="L1345">
        <v>0.536743517970748</v>
      </c>
      <c r="M1345">
        <v>21.78</v>
      </c>
      <c r="N1345">
        <v>13.85</v>
      </c>
    </row>
    <row r="1346" spans="1:14">
      <c r="A1346" s="1" t="s">
        <v>1358</v>
      </c>
      <c r="B1346">
        <f>HYPERLINK("https://www.suredividend.com/sure-analysis-HOG/","Harley-Davidson, Inc.")</f>
        <v>0</v>
      </c>
      <c r="C1346" t="s">
        <v>3186</v>
      </c>
      <c r="D1346">
        <v>27.85</v>
      </c>
      <c r="E1346">
        <v>0.0236983842010772</v>
      </c>
      <c r="F1346">
        <v>0.04761904761904767</v>
      </c>
      <c r="G1346">
        <v>-0.1491432588443206</v>
      </c>
      <c r="H1346">
        <v>0.6478689465649361</v>
      </c>
      <c r="I1346">
        <v>3945.976572</v>
      </c>
      <c r="J1346">
        <v>5.025530985460771</v>
      </c>
      <c r="K1346">
        <v>0.1217798771738602</v>
      </c>
      <c r="L1346">
        <v>1.133613974286697</v>
      </c>
      <c r="M1346">
        <v>51.07</v>
      </c>
      <c r="N1346">
        <v>25.43</v>
      </c>
    </row>
    <row r="1347" spans="1:14">
      <c r="A1347" s="1" t="s">
        <v>1359</v>
      </c>
      <c r="B1347">
        <f>HYPERLINK("https://www.suredividend.com/sure-analysis-research-database/","Hologic, Inc.")</f>
        <v>0</v>
      </c>
      <c r="C1347" t="s">
        <v>3180</v>
      </c>
      <c r="D1347">
        <v>66.61</v>
      </c>
      <c r="E1347">
        <v>0</v>
      </c>
      <c r="F1347" t="s">
        <v>3182</v>
      </c>
      <c r="G1347" t="s">
        <v>3182</v>
      </c>
      <c r="H1347">
        <v>0</v>
      </c>
      <c r="I1347">
        <v>16315.592015</v>
      </c>
      <c r="J1347">
        <v>33.70293744145837</v>
      </c>
      <c r="K1347">
        <v>0</v>
      </c>
      <c r="L1347">
        <v>0.697602857400438</v>
      </c>
      <c r="M1347">
        <v>87.88</v>
      </c>
      <c r="N1347">
        <v>64.02</v>
      </c>
    </row>
    <row r="1348" spans="1:14">
      <c r="A1348" s="1" t="s">
        <v>1360</v>
      </c>
      <c r="B1348">
        <f>HYPERLINK("https://www.suredividend.com/sure-analysis-HOMB/","Home Bancshares Inc")</f>
        <v>0</v>
      </c>
      <c r="C1348" t="s">
        <v>3184</v>
      </c>
      <c r="D1348">
        <v>21.03</v>
      </c>
      <c r="E1348">
        <v>0.03423680456490727</v>
      </c>
      <c r="F1348">
        <v>0.09090909090909083</v>
      </c>
      <c r="G1348">
        <v>0.08447177119769855</v>
      </c>
      <c r="H1348">
        <v>0.6967950333838051</v>
      </c>
      <c r="I1348">
        <v>4260.286947</v>
      </c>
      <c r="J1348">
        <v>9.847528337821441</v>
      </c>
      <c r="K1348">
        <v>0.3286769025395307</v>
      </c>
      <c r="L1348">
        <v>1.022446884156411</v>
      </c>
      <c r="M1348">
        <v>25.46</v>
      </c>
      <c r="N1348">
        <v>19.45</v>
      </c>
    </row>
    <row r="1349" spans="1:14">
      <c r="A1349" s="1" t="s">
        <v>1361</v>
      </c>
      <c r="B1349">
        <f>HYPERLINK("https://www.suredividend.com/sure-analysis-research-database/","At Home Group Inc")</f>
        <v>0</v>
      </c>
      <c r="C1349" t="s">
        <v>3186</v>
      </c>
      <c r="D1349">
        <v>36.99</v>
      </c>
      <c r="E1349">
        <v>0</v>
      </c>
      <c r="F1349" t="s">
        <v>3182</v>
      </c>
      <c r="G1349" t="s">
        <v>3182</v>
      </c>
      <c r="H1349">
        <v>0</v>
      </c>
      <c r="I1349">
        <v>2425.539093</v>
      </c>
      <c r="J1349">
        <v>9.134501885507051</v>
      </c>
      <c r="K1349">
        <v>0</v>
      </c>
      <c r="M1349">
        <v>38.06</v>
      </c>
      <c r="N1349">
        <v>8.359999999999999</v>
      </c>
    </row>
    <row r="1350" spans="1:14">
      <c r="A1350" s="1" t="s">
        <v>1362</v>
      </c>
      <c r="B1350">
        <f>HYPERLINK("https://www.suredividend.com/sure-analysis-HON/","Honeywell International Inc")</f>
        <v>0</v>
      </c>
      <c r="C1350" t="s">
        <v>3183</v>
      </c>
      <c r="D1350">
        <v>186.43</v>
      </c>
      <c r="E1350">
        <v>0.02317223622807488</v>
      </c>
      <c r="F1350">
        <v>0</v>
      </c>
      <c r="G1350">
        <v>0.04665770403664582</v>
      </c>
      <c r="H1350">
        <v>4.065506515235456</v>
      </c>
      <c r="I1350">
        <v>122904.097561</v>
      </c>
      <c r="J1350">
        <v>22.70535702215407</v>
      </c>
      <c r="K1350">
        <v>0.5037802373278136</v>
      </c>
      <c r="L1350">
        <v>0.821397879803025</v>
      </c>
      <c r="M1350">
        <v>216.28</v>
      </c>
      <c r="N1350">
        <v>174.88</v>
      </c>
    </row>
    <row r="1351" spans="1:14">
      <c r="A1351" s="1" t="s">
        <v>1363</v>
      </c>
      <c r="B1351">
        <f>HYPERLINK("https://www.suredividend.com/sure-analysis-research-database/","HarborOne Bancorp Inc.")</f>
        <v>0</v>
      </c>
      <c r="C1351" t="s">
        <v>3184</v>
      </c>
      <c r="D1351">
        <v>10.28</v>
      </c>
      <c r="E1351">
        <v>0.028261103857609</v>
      </c>
      <c r="F1351" t="s">
        <v>3182</v>
      </c>
      <c r="G1351" t="s">
        <v>3182</v>
      </c>
      <c r="H1351">
        <v>0.290524147656223</v>
      </c>
      <c r="I1351">
        <v>478.487514</v>
      </c>
      <c r="J1351">
        <v>12.55510256461389</v>
      </c>
      <c r="K1351">
        <v>0.3443045125103378</v>
      </c>
      <c r="L1351">
        <v>0.91148271754683</v>
      </c>
      <c r="M1351">
        <v>14.41</v>
      </c>
      <c r="N1351">
        <v>7.33</v>
      </c>
    </row>
    <row r="1352" spans="1:14">
      <c r="A1352" s="1" t="s">
        <v>1364</v>
      </c>
      <c r="B1352">
        <f>HYPERLINK("https://www.suredividend.com/sure-analysis-research-database/","Hope Bancorp Inc")</f>
        <v>0</v>
      </c>
      <c r="C1352" t="s">
        <v>3184</v>
      </c>
      <c r="D1352">
        <v>9.19</v>
      </c>
      <c r="E1352">
        <v>0.05930606894229101</v>
      </c>
      <c r="F1352" t="s">
        <v>3182</v>
      </c>
      <c r="G1352" t="s">
        <v>3182</v>
      </c>
      <c r="H1352">
        <v>0.545022773579662</v>
      </c>
      <c r="I1352">
        <v>1102.96746</v>
      </c>
      <c r="J1352">
        <v>6.04054602111789</v>
      </c>
      <c r="K1352">
        <v>0.3585676141971461</v>
      </c>
      <c r="L1352">
        <v>1.195664012986644</v>
      </c>
      <c r="M1352">
        <v>12.97</v>
      </c>
      <c r="N1352">
        <v>7.21</v>
      </c>
    </row>
    <row r="1353" spans="1:14">
      <c r="A1353" s="1" t="s">
        <v>1365</v>
      </c>
      <c r="B1353">
        <f>HYPERLINK("https://www.suredividend.com/sure-analysis-research-database/","Hovnanian Enterprises, Inc.")</f>
        <v>0</v>
      </c>
      <c r="C1353" t="s">
        <v>3186</v>
      </c>
      <c r="D1353">
        <v>78.5</v>
      </c>
      <c r="E1353">
        <v>0</v>
      </c>
      <c r="F1353" t="s">
        <v>3182</v>
      </c>
      <c r="G1353" t="s">
        <v>3182</v>
      </c>
      <c r="H1353">
        <v>0</v>
      </c>
      <c r="I1353">
        <v>419.634938</v>
      </c>
      <c r="J1353">
        <v>2.978986533205551</v>
      </c>
      <c r="K1353">
        <v>0</v>
      </c>
      <c r="L1353">
        <v>2.255369932978974</v>
      </c>
      <c r="M1353">
        <v>127.99</v>
      </c>
      <c r="N1353">
        <v>35.84</v>
      </c>
    </row>
    <row r="1354" spans="1:14">
      <c r="A1354" s="1" t="s">
        <v>1366</v>
      </c>
      <c r="B1354">
        <f>HYPERLINK("https://www.suredividend.com/sure-analysis-HP/","Helmerich &amp; Payne, Inc.")</f>
        <v>0</v>
      </c>
      <c r="C1354" t="s">
        <v>3189</v>
      </c>
      <c r="D1354">
        <v>41.1</v>
      </c>
      <c r="E1354">
        <v>0.024330900243309</v>
      </c>
      <c r="F1354">
        <v>0.06382978723404253</v>
      </c>
      <c r="G1354">
        <v>-0.1884106638703459</v>
      </c>
      <c r="H1354">
        <v>1.920777308994416</v>
      </c>
      <c r="I1354">
        <v>4086.430219</v>
      </c>
      <c r="J1354">
        <v>10.25664055991446</v>
      </c>
      <c r="K1354">
        <v>0.5054677128932674</v>
      </c>
      <c r="L1354">
        <v>1.092847509279061</v>
      </c>
      <c r="M1354">
        <v>53.39</v>
      </c>
      <c r="N1354">
        <v>29.98</v>
      </c>
    </row>
    <row r="1355" spans="1:14">
      <c r="A1355" s="1" t="s">
        <v>1367</v>
      </c>
      <c r="B1355">
        <f>HYPERLINK("https://www.suredividend.com/sure-analysis-HPE/","Hewlett Packard Enterprise Co")</f>
        <v>0</v>
      </c>
      <c r="C1355" t="s">
        <v>3185</v>
      </c>
      <c r="D1355">
        <v>15.59</v>
      </c>
      <c r="E1355">
        <v>0.03078896728672226</v>
      </c>
      <c r="F1355">
        <v>0</v>
      </c>
      <c r="G1355">
        <v>0.01299136822423641</v>
      </c>
      <c r="H1355">
        <v>0.474731906015514</v>
      </c>
      <c r="I1355">
        <v>19999.860969</v>
      </c>
      <c r="J1355">
        <v>18.53555233476367</v>
      </c>
      <c r="K1355">
        <v>0.5785885509025156</v>
      </c>
      <c r="L1355">
        <v>1.185429985021985</v>
      </c>
      <c r="M1355">
        <v>18.01</v>
      </c>
      <c r="N1355">
        <v>13.44</v>
      </c>
    </row>
    <row r="1356" spans="1:14">
      <c r="A1356" s="1" t="s">
        <v>1368</v>
      </c>
      <c r="B1356">
        <f>HYPERLINK("https://www.suredividend.com/sure-analysis-research-database/","Hudson Pacific Properties Inc")</f>
        <v>0</v>
      </c>
      <c r="C1356" t="s">
        <v>3187</v>
      </c>
      <c r="D1356">
        <v>4.84</v>
      </c>
      <c r="E1356">
        <v>0.124675712638723</v>
      </c>
      <c r="F1356" t="s">
        <v>3182</v>
      </c>
      <c r="G1356" t="s">
        <v>3182</v>
      </c>
      <c r="H1356">
        <v>0.6034304491714231</v>
      </c>
      <c r="I1356">
        <v>682.138478</v>
      </c>
      <c r="J1356" t="s">
        <v>3182</v>
      </c>
      <c r="K1356" t="s">
        <v>3182</v>
      </c>
      <c r="L1356">
        <v>1.882426866512488</v>
      </c>
      <c r="M1356">
        <v>11.48</v>
      </c>
      <c r="N1356">
        <v>3.98</v>
      </c>
    </row>
    <row r="1357" spans="1:14">
      <c r="A1357" s="1" t="s">
        <v>1369</v>
      </c>
      <c r="B1357">
        <f>HYPERLINK("https://www.suredividend.com/sure-analysis-HPQ/","HP Inc")</f>
        <v>0</v>
      </c>
      <c r="C1357" t="s">
        <v>3185</v>
      </c>
      <c r="D1357">
        <v>26.84</v>
      </c>
      <c r="E1357">
        <v>0.04098360655737705</v>
      </c>
      <c r="F1357">
        <v>0.05000000000000004</v>
      </c>
      <c r="G1357">
        <v>0.1038075472099775</v>
      </c>
      <c r="H1357">
        <v>1.036149846194531</v>
      </c>
      <c r="I1357">
        <v>26525.133814</v>
      </c>
      <c r="J1357">
        <v>11.44805084749245</v>
      </c>
      <c r="K1357">
        <v>0.4485497169673295</v>
      </c>
      <c r="L1357">
        <v>1.112420232697964</v>
      </c>
      <c r="M1357">
        <v>33.6</v>
      </c>
      <c r="N1357">
        <v>25.22</v>
      </c>
    </row>
    <row r="1358" spans="1:14">
      <c r="A1358" s="1" t="s">
        <v>1370</v>
      </c>
      <c r="B1358">
        <f>HYPERLINK("https://www.suredividend.com/sure-analysis-research-database/","HighPoint Resources Corp")</f>
        <v>0</v>
      </c>
      <c r="C1358" t="s">
        <v>3189</v>
      </c>
      <c r="D1358">
        <v>4.73</v>
      </c>
      <c r="E1358">
        <v>0</v>
      </c>
      <c r="F1358" t="s">
        <v>3182</v>
      </c>
      <c r="G1358" t="s">
        <v>3182</v>
      </c>
      <c r="H1358">
        <v>0</v>
      </c>
      <c r="I1358">
        <v>20.282652</v>
      </c>
      <c r="J1358" t="s">
        <v>3182</v>
      </c>
      <c r="K1358">
        <v>-0</v>
      </c>
      <c r="L1358">
        <v>1.895637497269702</v>
      </c>
      <c r="M1358">
        <v>37.5</v>
      </c>
      <c r="N1358">
        <v>2.8</v>
      </c>
    </row>
    <row r="1359" spans="1:14">
      <c r="A1359" s="1" t="s">
        <v>1371</v>
      </c>
      <c r="B1359">
        <f>HYPERLINK("https://www.suredividend.com/sure-analysis-research-database/","Healthequity Inc")</f>
        <v>0</v>
      </c>
      <c r="C1359" t="s">
        <v>3180</v>
      </c>
      <c r="D1359">
        <v>66.48999999999999</v>
      </c>
      <c r="E1359">
        <v>0</v>
      </c>
      <c r="F1359" t="s">
        <v>3182</v>
      </c>
      <c r="G1359" t="s">
        <v>3182</v>
      </c>
      <c r="H1359">
        <v>0</v>
      </c>
      <c r="I1359">
        <v>5691.544</v>
      </c>
      <c r="J1359">
        <v>443.7851072124756</v>
      </c>
      <c r="K1359">
        <v>0</v>
      </c>
      <c r="L1359">
        <v>0.236347736934607</v>
      </c>
      <c r="M1359">
        <v>78.02</v>
      </c>
      <c r="N1359">
        <v>48.86</v>
      </c>
    </row>
    <row r="1360" spans="1:14">
      <c r="A1360" s="1" t="s">
        <v>1372</v>
      </c>
      <c r="B1360">
        <f>HYPERLINK("https://www.suredividend.com/sure-analysis-HR/","Healthcare Realty Trust Inc")</f>
        <v>0</v>
      </c>
      <c r="C1360" t="s">
        <v>3187</v>
      </c>
      <c r="D1360">
        <v>14.98</v>
      </c>
      <c r="E1360">
        <v>0.08277703604806408</v>
      </c>
      <c r="F1360">
        <v>1.844036697247706</v>
      </c>
      <c r="G1360">
        <v>0.004910219813502037</v>
      </c>
      <c r="H1360">
        <v>1.209941651987174</v>
      </c>
      <c r="I1360">
        <v>5705.245829</v>
      </c>
      <c r="J1360" t="s">
        <v>3182</v>
      </c>
      <c r="K1360" t="s">
        <v>3182</v>
      </c>
      <c r="L1360">
        <v>0.8813246776464121</v>
      </c>
      <c r="M1360">
        <v>21.29</v>
      </c>
      <c r="N1360">
        <v>13.93</v>
      </c>
    </row>
    <row r="1361" spans="1:14">
      <c r="A1361" s="1" t="s">
        <v>1373</v>
      </c>
      <c r="B1361">
        <f>HYPERLINK("https://www.suredividend.com/sure-analysis-HRB/","H&amp;R Block Inc.")</f>
        <v>0</v>
      </c>
      <c r="C1361" t="s">
        <v>3186</v>
      </c>
      <c r="D1361">
        <v>42.15</v>
      </c>
      <c r="E1361">
        <v>0.03036773428232503</v>
      </c>
      <c r="F1361">
        <v>0.1034482758620692</v>
      </c>
      <c r="G1361">
        <v>0.05061112176150684</v>
      </c>
      <c r="H1361">
        <v>1.175266847500203</v>
      </c>
      <c r="I1361">
        <v>6162.141294</v>
      </c>
      <c r="J1361">
        <v>11.17487921260799</v>
      </c>
      <c r="K1361">
        <v>0.3348338596866676</v>
      </c>
      <c r="L1361">
        <v>0.643772519650691</v>
      </c>
      <c r="M1361">
        <v>44.83</v>
      </c>
      <c r="N1361">
        <v>28.33</v>
      </c>
    </row>
    <row r="1362" spans="1:14">
      <c r="A1362" s="1" t="s">
        <v>1374</v>
      </c>
      <c r="B1362">
        <f>HYPERLINK("https://www.suredividend.com/sure-analysis-research-database/","Hill-Rom Holdings Inc")</f>
        <v>0</v>
      </c>
      <c r="C1362" t="s">
        <v>3180</v>
      </c>
      <c r="D1362">
        <v>155.96</v>
      </c>
      <c r="E1362">
        <v>0.006010700319219</v>
      </c>
      <c r="F1362" t="s">
        <v>3182</v>
      </c>
      <c r="G1362" t="s">
        <v>3182</v>
      </c>
      <c r="H1362">
        <v>0.937428821785482</v>
      </c>
      <c r="I1362">
        <v>10301.22943</v>
      </c>
      <c r="J1362">
        <v>20.72681977802817</v>
      </c>
      <c r="K1362">
        <v>0.1261680783022183</v>
      </c>
      <c r="L1362">
        <v>0.565333202876887</v>
      </c>
      <c r="M1362">
        <v>156.22</v>
      </c>
      <c r="N1362">
        <v>92.79000000000001</v>
      </c>
    </row>
    <row r="1363" spans="1:14">
      <c r="A1363" s="1" t="s">
        <v>1375</v>
      </c>
      <c r="B1363">
        <f>HYPERLINK("https://www.suredividend.com/sure-analysis-research-database/","Herc Holdings Inc")</f>
        <v>0</v>
      </c>
      <c r="C1363" t="s">
        <v>3183</v>
      </c>
      <c r="D1363">
        <v>113.7</v>
      </c>
      <c r="E1363">
        <v>0.021578022262188</v>
      </c>
      <c r="F1363" t="s">
        <v>3182</v>
      </c>
      <c r="G1363" t="s">
        <v>3182</v>
      </c>
      <c r="H1363">
        <v>2.453421131210858</v>
      </c>
      <c r="I1363">
        <v>3214.038741</v>
      </c>
      <c r="J1363">
        <v>9.08433787648389</v>
      </c>
      <c r="K1363">
        <v>0.2017616061851034</v>
      </c>
      <c r="L1363">
        <v>1.627464873815946</v>
      </c>
      <c r="M1363">
        <v>159.97</v>
      </c>
      <c r="N1363">
        <v>92.92</v>
      </c>
    </row>
    <row r="1364" spans="1:14">
      <c r="A1364" s="1" t="s">
        <v>1376</v>
      </c>
      <c r="B1364">
        <f>HYPERLINK("https://www.suredividend.com/sure-analysis-HRL/","Hormel Foods Corp.")</f>
        <v>0</v>
      </c>
      <c r="C1364" t="s">
        <v>3188</v>
      </c>
      <c r="D1364">
        <v>33.18</v>
      </c>
      <c r="E1364">
        <v>0.03315250150693189</v>
      </c>
      <c r="F1364">
        <v>0.05769230769230771</v>
      </c>
      <c r="G1364">
        <v>0.05541358456339762</v>
      </c>
      <c r="H1364">
        <v>1.087429153557916</v>
      </c>
      <c r="I1364">
        <v>18132.87</v>
      </c>
      <c r="J1364">
        <v>20.66374479926976</v>
      </c>
      <c r="K1364">
        <v>0.6796432209736974</v>
      </c>
      <c r="L1364">
        <v>0.278698123256334</v>
      </c>
      <c r="M1364">
        <v>48.35</v>
      </c>
      <c r="N1364">
        <v>30.7</v>
      </c>
    </row>
    <row r="1365" spans="1:14">
      <c r="A1365" s="1" t="s">
        <v>1377</v>
      </c>
      <c r="B1365">
        <f>HYPERLINK("https://www.suredividend.com/sure-analysis-research-database/","Harrow Inc")</f>
        <v>0</v>
      </c>
      <c r="C1365" t="s">
        <v>3180</v>
      </c>
      <c r="D1365">
        <v>13.58</v>
      </c>
      <c r="E1365">
        <v>0</v>
      </c>
      <c r="F1365" t="s">
        <v>3182</v>
      </c>
      <c r="G1365" t="s">
        <v>3182</v>
      </c>
      <c r="H1365">
        <v>0</v>
      </c>
      <c r="I1365">
        <v>476.865149</v>
      </c>
      <c r="J1365">
        <v>0</v>
      </c>
      <c r="K1365" t="s">
        <v>3182</v>
      </c>
      <c r="L1365">
        <v>0.87751803032509</v>
      </c>
      <c r="M1365">
        <v>28.25</v>
      </c>
      <c r="N1365">
        <v>10.06</v>
      </c>
    </row>
    <row r="1366" spans="1:14">
      <c r="A1366" s="1" t="s">
        <v>1378</v>
      </c>
      <c r="B1366">
        <f>HYPERLINK("https://www.suredividend.com/sure-analysis-research-database/","Heritage Insurance Holdings Inc.")</f>
        <v>0</v>
      </c>
      <c r="C1366" t="s">
        <v>3184</v>
      </c>
      <c r="D1366">
        <v>6.28</v>
      </c>
      <c r="E1366">
        <v>0</v>
      </c>
      <c r="F1366" t="s">
        <v>3182</v>
      </c>
      <c r="G1366" t="s">
        <v>3182</v>
      </c>
      <c r="H1366">
        <v>0</v>
      </c>
      <c r="I1366">
        <v>160.508956</v>
      </c>
      <c r="J1366">
        <v>0</v>
      </c>
      <c r="K1366" t="s">
        <v>3182</v>
      </c>
      <c r="L1366">
        <v>0.6605409098686691</v>
      </c>
      <c r="M1366">
        <v>6.7</v>
      </c>
      <c r="N1366">
        <v>1.12</v>
      </c>
    </row>
    <row r="1367" spans="1:14">
      <c r="A1367" s="1" t="s">
        <v>1379</v>
      </c>
      <c r="B1367">
        <f>HYPERLINK("https://www.suredividend.com/sure-analysis-research-database/","Heron Therapeutics Inc")</f>
        <v>0</v>
      </c>
      <c r="C1367" t="s">
        <v>3180</v>
      </c>
      <c r="D1367">
        <v>0.6629</v>
      </c>
      <c r="E1367">
        <v>0</v>
      </c>
      <c r="F1367" t="s">
        <v>3182</v>
      </c>
      <c r="G1367" t="s">
        <v>3182</v>
      </c>
      <c r="H1367">
        <v>0</v>
      </c>
      <c r="I1367">
        <v>93.309324</v>
      </c>
      <c r="J1367">
        <v>0</v>
      </c>
      <c r="K1367" t="s">
        <v>3182</v>
      </c>
      <c r="L1367">
        <v>1.63089280759054</v>
      </c>
      <c r="M1367">
        <v>3.53</v>
      </c>
      <c r="N1367">
        <v>0.5818</v>
      </c>
    </row>
    <row r="1368" spans="1:14">
      <c r="A1368" s="1" t="s">
        <v>1380</v>
      </c>
      <c r="B1368">
        <f>HYPERLINK("https://www.suredividend.com/sure-analysis-research-database/","Helius Medical Technologies Inc")</f>
        <v>0</v>
      </c>
      <c r="C1368" t="s">
        <v>3180</v>
      </c>
      <c r="D1368">
        <v>7.7</v>
      </c>
      <c r="E1368">
        <v>0</v>
      </c>
      <c r="F1368" t="s">
        <v>3182</v>
      </c>
      <c r="G1368" t="s">
        <v>3182</v>
      </c>
      <c r="H1368">
        <v>0</v>
      </c>
      <c r="I1368">
        <v>217.898034</v>
      </c>
      <c r="J1368">
        <v>0</v>
      </c>
      <c r="K1368" t="s">
        <v>3182</v>
      </c>
      <c r="L1368">
        <v>1.483017844664374</v>
      </c>
      <c r="M1368">
        <v>20.95</v>
      </c>
      <c r="N1368">
        <v>5.69</v>
      </c>
    </row>
    <row r="1369" spans="1:14">
      <c r="A1369" s="1" t="s">
        <v>1381</v>
      </c>
      <c r="B1369">
        <f>HYPERLINK("https://www.suredividend.com/sure-analysis-research-database/","Henry Schein Inc.")</f>
        <v>0</v>
      </c>
      <c r="C1369" t="s">
        <v>3180</v>
      </c>
      <c r="D1369">
        <v>61.89</v>
      </c>
      <c r="E1369">
        <v>0</v>
      </c>
      <c r="F1369" t="s">
        <v>3182</v>
      </c>
      <c r="G1369" t="s">
        <v>3182</v>
      </c>
      <c r="H1369">
        <v>0</v>
      </c>
      <c r="I1369">
        <v>8081.880399</v>
      </c>
      <c r="J1369">
        <v>17.64602707179039</v>
      </c>
      <c r="K1369">
        <v>0</v>
      </c>
      <c r="L1369">
        <v>0.5917765327616621</v>
      </c>
      <c r="M1369">
        <v>89.72</v>
      </c>
      <c r="N1369">
        <v>60.01</v>
      </c>
    </row>
    <row r="1370" spans="1:14">
      <c r="A1370" s="1" t="s">
        <v>1382</v>
      </c>
      <c r="B1370">
        <f>HYPERLINK("https://www.suredividend.com/sure-analysis-research-database/","Heidrick &amp; Struggles International, Inc.")</f>
        <v>0</v>
      </c>
      <c r="C1370" t="s">
        <v>3183</v>
      </c>
      <c r="D1370">
        <v>24.69</v>
      </c>
      <c r="E1370">
        <v>0.018025173841681</v>
      </c>
      <c r="F1370">
        <v>0</v>
      </c>
      <c r="G1370">
        <v>0.02903366107118788</v>
      </c>
      <c r="H1370">
        <v>0.445041542151111</v>
      </c>
      <c r="I1370">
        <v>496.817513</v>
      </c>
      <c r="J1370">
        <v>8.93572749581827</v>
      </c>
      <c r="K1370">
        <v>0.1660602769220564</v>
      </c>
      <c r="L1370">
        <v>1.026045945352634</v>
      </c>
      <c r="M1370">
        <v>34.21</v>
      </c>
      <c r="N1370">
        <v>22.52</v>
      </c>
    </row>
    <row r="1371" spans="1:14">
      <c r="A1371" s="1" t="s">
        <v>1383</v>
      </c>
      <c r="B1371">
        <f>HYPERLINK("https://www.suredividend.com/sure-analysis-research-database/","Heska Corp.")</f>
        <v>0</v>
      </c>
      <c r="C1371" t="s">
        <v>3180</v>
      </c>
      <c r="D1371">
        <v>119.99</v>
      </c>
      <c r="E1371">
        <v>0</v>
      </c>
      <c r="F1371" t="s">
        <v>3182</v>
      </c>
      <c r="G1371" t="s">
        <v>3182</v>
      </c>
      <c r="H1371">
        <v>0</v>
      </c>
      <c r="I1371">
        <v>0</v>
      </c>
      <c r="J1371">
        <v>0</v>
      </c>
      <c r="K1371">
        <v>-0</v>
      </c>
    </row>
    <row r="1372" spans="1:14">
      <c r="A1372" s="1" t="s">
        <v>1384</v>
      </c>
      <c r="B1372">
        <f>HYPERLINK("https://www.suredividend.com/sure-analysis-research-database/","Hudson Global Inc")</f>
        <v>0</v>
      </c>
      <c r="C1372" t="s">
        <v>3183</v>
      </c>
      <c r="D1372">
        <v>15.5</v>
      </c>
      <c r="E1372">
        <v>0</v>
      </c>
      <c r="F1372" t="s">
        <v>3182</v>
      </c>
      <c r="G1372" t="s">
        <v>3182</v>
      </c>
      <c r="H1372">
        <v>0</v>
      </c>
      <c r="I1372">
        <v>43.663485</v>
      </c>
      <c r="J1372">
        <v>22.40301924063622</v>
      </c>
      <c r="K1372">
        <v>0</v>
      </c>
      <c r="M1372">
        <v>38</v>
      </c>
      <c r="N1372">
        <v>14.66</v>
      </c>
    </row>
    <row r="1373" spans="1:14">
      <c r="A1373" s="1" t="s">
        <v>1385</v>
      </c>
      <c r="B1373">
        <f>HYPERLINK("https://www.suredividend.com/sure-analysis-research-database/","Host Hotels &amp; Resorts Inc")</f>
        <v>0</v>
      </c>
      <c r="C1373" t="s">
        <v>3187</v>
      </c>
      <c r="D1373">
        <v>16.3</v>
      </c>
      <c r="E1373">
        <v>0.034250257533063</v>
      </c>
      <c r="F1373" t="s">
        <v>3182</v>
      </c>
      <c r="G1373" t="s">
        <v>3182</v>
      </c>
      <c r="H1373">
        <v>0.5582791977889311</v>
      </c>
      <c r="I1373">
        <v>11599.159414</v>
      </c>
      <c r="J1373">
        <v>15.30232112612137</v>
      </c>
      <c r="K1373">
        <v>0.5266784884801237</v>
      </c>
      <c r="L1373">
        <v>1.16030037700059</v>
      </c>
      <c r="M1373">
        <v>18.67</v>
      </c>
      <c r="N1373">
        <v>13.95</v>
      </c>
    </row>
    <row r="1374" spans="1:14">
      <c r="A1374" s="1" t="s">
        <v>1386</v>
      </c>
      <c r="B1374">
        <f>HYPERLINK("https://www.suredividend.com/sure-analysis-research-database/","Healthstream Inc")</f>
        <v>0</v>
      </c>
      <c r="C1374" t="s">
        <v>3180</v>
      </c>
      <c r="D1374">
        <v>25.34</v>
      </c>
      <c r="E1374">
        <v>0.002953195414656</v>
      </c>
      <c r="F1374" t="s">
        <v>3182</v>
      </c>
      <c r="G1374" t="s">
        <v>3182</v>
      </c>
      <c r="H1374">
        <v>0.074833971807403</v>
      </c>
      <c r="I1374">
        <v>767.430389</v>
      </c>
      <c r="J1374">
        <v>58.7079550872093</v>
      </c>
      <c r="K1374">
        <v>0.1759143672012294</v>
      </c>
      <c r="L1374">
        <v>0.528686450291465</v>
      </c>
      <c r="M1374">
        <v>27.57</v>
      </c>
      <c r="N1374">
        <v>20.42</v>
      </c>
    </row>
    <row r="1375" spans="1:14">
      <c r="A1375" s="1" t="s">
        <v>1387</v>
      </c>
      <c r="B1375">
        <f>HYPERLINK("https://www.suredividend.com/sure-analysis-HSY/","Hershey Company")</f>
        <v>0</v>
      </c>
      <c r="C1375" t="s">
        <v>3188</v>
      </c>
      <c r="D1375">
        <v>189.55</v>
      </c>
      <c r="E1375">
        <v>0.02521762068055922</v>
      </c>
      <c r="F1375">
        <v>0.1505791505791505</v>
      </c>
      <c r="G1375">
        <v>0.1054721643370604</v>
      </c>
      <c r="H1375">
        <v>4.270662402215782</v>
      </c>
      <c r="I1375">
        <v>38872.914</v>
      </c>
      <c r="J1375">
        <v>14.882152451676</v>
      </c>
      <c r="K1375">
        <v>0.562669618210248</v>
      </c>
      <c r="L1375">
        <v>0.213732002268047</v>
      </c>
      <c r="M1375">
        <v>274.31</v>
      </c>
      <c r="N1375">
        <v>183.74</v>
      </c>
    </row>
    <row r="1376" spans="1:14">
      <c r="A1376" s="1" t="s">
        <v>1388</v>
      </c>
      <c r="B1376">
        <f>HYPERLINK("https://www.suredividend.com/sure-analysis-research-database/","Hersha Hospitality Trust")</f>
        <v>0</v>
      </c>
      <c r="C1376" t="s">
        <v>3187</v>
      </c>
      <c r="D1376">
        <v>9.93</v>
      </c>
      <c r="E1376">
        <v>0.024874183586713</v>
      </c>
      <c r="F1376" t="s">
        <v>3182</v>
      </c>
      <c r="G1376" t="s">
        <v>3182</v>
      </c>
      <c r="H1376">
        <v>0.247000643016062</v>
      </c>
      <c r="I1376">
        <v>398.241816</v>
      </c>
      <c r="J1376">
        <v>3.097205775970011</v>
      </c>
      <c r="K1376">
        <v>0.07967762677937484</v>
      </c>
      <c r="L1376">
        <v>1.157193025786218</v>
      </c>
      <c r="M1376">
        <v>10.04</v>
      </c>
      <c r="N1376">
        <v>5.56</v>
      </c>
    </row>
    <row r="1377" spans="1:14">
      <c r="A1377" s="1" t="s">
        <v>1389</v>
      </c>
      <c r="B1377">
        <f>HYPERLINK("https://www.suredividend.com/sure-analysis-research-database/","HomeTrust Bancshares Inc")</f>
        <v>0</v>
      </c>
      <c r="C1377" t="s">
        <v>3184</v>
      </c>
      <c r="D1377">
        <v>21.45</v>
      </c>
      <c r="E1377">
        <v>0.018522589245072</v>
      </c>
      <c r="F1377">
        <v>0.1111111111111112</v>
      </c>
      <c r="G1377">
        <v>0.1075663432482901</v>
      </c>
      <c r="H1377">
        <v>0.39730953930681</v>
      </c>
      <c r="I1377">
        <v>372.786135</v>
      </c>
      <c r="J1377">
        <v>0</v>
      </c>
      <c r="K1377" t="s">
        <v>3182</v>
      </c>
      <c r="L1377">
        <v>0.7754936089433471</v>
      </c>
      <c r="M1377">
        <v>30.5</v>
      </c>
      <c r="N1377">
        <v>17.85</v>
      </c>
    </row>
    <row r="1378" spans="1:14">
      <c r="A1378" s="1" t="s">
        <v>1390</v>
      </c>
      <c r="B1378">
        <f>HYPERLINK("https://www.suredividend.com/sure-analysis-research-database/","Heritage Commerce Corp.")</f>
        <v>0</v>
      </c>
      <c r="C1378" t="s">
        <v>3184</v>
      </c>
      <c r="D1378">
        <v>8.470000000000001</v>
      </c>
      <c r="E1378">
        <v>0.06006444825235</v>
      </c>
      <c r="F1378">
        <v>0</v>
      </c>
      <c r="G1378">
        <v>0.03397522653195018</v>
      </c>
      <c r="H1378">
        <v>0.508745876697406</v>
      </c>
      <c r="I1378">
        <v>517.442083</v>
      </c>
      <c r="J1378">
        <v>6.974740966867957</v>
      </c>
      <c r="K1378">
        <v>0.4204511377664513</v>
      </c>
      <c r="L1378">
        <v>1.130648023589383</v>
      </c>
      <c r="M1378">
        <v>14.25</v>
      </c>
      <c r="N1378">
        <v>6.48</v>
      </c>
    </row>
    <row r="1379" spans="1:14">
      <c r="A1379" s="1" t="s">
        <v>1391</v>
      </c>
      <c r="B1379">
        <f>HYPERLINK("https://www.suredividend.com/sure-analysis-research-database/","Heat Biologics Inc")</f>
        <v>0</v>
      </c>
      <c r="C1379" t="s">
        <v>3180</v>
      </c>
      <c r="D1379">
        <v>2.38</v>
      </c>
      <c r="E1379">
        <v>0</v>
      </c>
      <c r="F1379" t="s">
        <v>3182</v>
      </c>
      <c r="G1379" t="s">
        <v>3182</v>
      </c>
      <c r="H1379">
        <v>0</v>
      </c>
      <c r="I1379">
        <v>61.046581</v>
      </c>
      <c r="J1379">
        <v>0</v>
      </c>
      <c r="K1379" t="s">
        <v>3182</v>
      </c>
      <c r="L1379">
        <v>0.913953916192863</v>
      </c>
      <c r="M1379">
        <v>10.85</v>
      </c>
      <c r="N1379">
        <v>2.07</v>
      </c>
    </row>
    <row r="1380" spans="1:14">
      <c r="A1380" s="1" t="s">
        <v>1392</v>
      </c>
      <c r="B1380">
        <f>HYPERLINK("https://www.suredividend.com/sure-analysis-research-database/","HTG Molecular Diagnostics Inc")</f>
        <v>0</v>
      </c>
      <c r="C1380" t="s">
        <v>3180</v>
      </c>
      <c r="D1380">
        <v>0.48</v>
      </c>
      <c r="E1380">
        <v>0</v>
      </c>
      <c r="F1380" t="s">
        <v>3182</v>
      </c>
      <c r="G1380" t="s">
        <v>3182</v>
      </c>
      <c r="H1380">
        <v>0</v>
      </c>
      <c r="I1380">
        <v>0</v>
      </c>
      <c r="J1380">
        <v>0</v>
      </c>
      <c r="K1380" t="s">
        <v>3182</v>
      </c>
    </row>
    <row r="1381" spans="1:14">
      <c r="A1381" s="1" t="s">
        <v>1393</v>
      </c>
      <c r="B1381">
        <f>HYPERLINK("https://www.suredividend.com/sure-analysis-research-database/","Hilltop Holdings Inc")</f>
        <v>0</v>
      </c>
      <c r="C1381" t="s">
        <v>3184</v>
      </c>
      <c r="D1381">
        <v>28.89</v>
      </c>
      <c r="E1381">
        <v>0.021617280747599</v>
      </c>
      <c r="F1381">
        <v>0.06666666666666665</v>
      </c>
      <c r="G1381">
        <v>0.1486983549970351</v>
      </c>
      <c r="H1381">
        <v>0.624523240798138</v>
      </c>
      <c r="I1381">
        <v>1882.756129</v>
      </c>
      <c r="J1381">
        <v>17.67331695647276</v>
      </c>
      <c r="K1381">
        <v>0.3808068541452061</v>
      </c>
      <c r="L1381">
        <v>1.165118439161809</v>
      </c>
      <c r="M1381">
        <v>34.51</v>
      </c>
      <c r="N1381">
        <v>26.78</v>
      </c>
    </row>
    <row r="1382" spans="1:14">
      <c r="A1382" s="1" t="s">
        <v>1394</v>
      </c>
      <c r="B1382">
        <f>HYPERLINK("https://www.suredividend.com/sure-analysis-research-database/","Heartland Express, Inc.")</f>
        <v>0</v>
      </c>
      <c r="C1382" t="s">
        <v>3183</v>
      </c>
      <c r="D1382">
        <v>12.21</v>
      </c>
      <c r="E1382">
        <v>0.006528853765498</v>
      </c>
      <c r="F1382">
        <v>0</v>
      </c>
      <c r="G1382">
        <v>0</v>
      </c>
      <c r="H1382">
        <v>0.07971730447673901</v>
      </c>
      <c r="I1382">
        <v>964.925226</v>
      </c>
      <c r="J1382">
        <v>16.00579281342269</v>
      </c>
      <c r="K1382">
        <v>0.1044924688382999</v>
      </c>
      <c r="L1382">
        <v>0.9606895884951251</v>
      </c>
      <c r="M1382">
        <v>18.05</v>
      </c>
      <c r="N1382">
        <v>11.44</v>
      </c>
    </row>
    <row r="1383" spans="1:14">
      <c r="A1383" s="1" t="s">
        <v>1395</v>
      </c>
      <c r="B1383">
        <f>HYPERLINK("https://www.suredividend.com/sure-analysis-research-database/","Heartland Financial USA, Inc.")</f>
        <v>0</v>
      </c>
      <c r="C1383" t="s">
        <v>3184</v>
      </c>
      <c r="D1383">
        <v>28.58</v>
      </c>
      <c r="E1383">
        <v>0.04038701296127</v>
      </c>
      <c r="F1383">
        <v>0.0714285714285714</v>
      </c>
      <c r="G1383">
        <v>0.4309690811052556</v>
      </c>
      <c r="H1383">
        <v>1.154260830433118</v>
      </c>
      <c r="I1383">
        <v>1218.946803</v>
      </c>
      <c r="J1383">
        <v>5.767159362887964</v>
      </c>
      <c r="K1383">
        <v>0.2331840061481047</v>
      </c>
      <c r="L1383">
        <v>0.9866824278713471</v>
      </c>
      <c r="M1383">
        <v>49.51</v>
      </c>
      <c r="N1383">
        <v>25.62</v>
      </c>
    </row>
    <row r="1384" spans="1:14">
      <c r="A1384" s="1" t="s">
        <v>1396</v>
      </c>
      <c r="B1384">
        <f>HYPERLINK("https://www.suredividend.com/sure-analysis-research-database/","Hertz Global Holdings Inc.")</f>
        <v>0</v>
      </c>
      <c r="C1384" t="s">
        <v>3183</v>
      </c>
      <c r="D1384">
        <v>9.15</v>
      </c>
      <c r="E1384">
        <v>0</v>
      </c>
      <c r="F1384" t="s">
        <v>3182</v>
      </c>
      <c r="G1384" t="s">
        <v>3182</v>
      </c>
      <c r="H1384">
        <v>0</v>
      </c>
      <c r="I1384">
        <v>2816.4868</v>
      </c>
      <c r="J1384">
        <v>2.607858147916666</v>
      </c>
      <c r="K1384">
        <v>0</v>
      </c>
      <c r="L1384">
        <v>1.533800832934029</v>
      </c>
      <c r="M1384">
        <v>20.48</v>
      </c>
      <c r="N1384">
        <v>8.289999999999999</v>
      </c>
    </row>
    <row r="1385" spans="1:14">
      <c r="A1385" s="1" t="s">
        <v>1397</v>
      </c>
      <c r="B1385">
        <f>HYPERLINK("https://www.suredividend.com/sure-analysis-HUBB/","Hubbell Inc.")</f>
        <v>0</v>
      </c>
      <c r="C1385" t="s">
        <v>3183</v>
      </c>
      <c r="D1385">
        <v>280.71</v>
      </c>
      <c r="E1385">
        <v>0.01595953118877133</v>
      </c>
      <c r="F1385">
        <v>0.06666666666666665</v>
      </c>
      <c r="G1385">
        <v>0.05922384104881218</v>
      </c>
      <c r="H1385">
        <v>4.454997016143821</v>
      </c>
      <c r="I1385">
        <v>15052.245655</v>
      </c>
      <c r="J1385">
        <v>23.85458899445325</v>
      </c>
      <c r="K1385">
        <v>0.3810946977026365</v>
      </c>
      <c r="L1385">
        <v>0.902309299883379</v>
      </c>
      <c r="M1385">
        <v>338.9</v>
      </c>
      <c r="N1385">
        <v>218.01</v>
      </c>
    </row>
    <row r="1386" spans="1:14">
      <c r="A1386" s="1" t="s">
        <v>1398</v>
      </c>
      <c r="B1386">
        <f>HYPERLINK("https://www.suredividend.com/sure-analysis-research-database/","Hub Group, Inc.")</f>
        <v>0</v>
      </c>
      <c r="C1386" t="s">
        <v>3183</v>
      </c>
      <c r="D1386">
        <v>68.15000000000001</v>
      </c>
      <c r="E1386">
        <v>0</v>
      </c>
      <c r="F1386" t="s">
        <v>3182</v>
      </c>
      <c r="G1386" t="s">
        <v>3182</v>
      </c>
      <c r="H1386">
        <v>0</v>
      </c>
      <c r="I1386">
        <v>2140.956034</v>
      </c>
      <c r="J1386">
        <v>7.78858003503296</v>
      </c>
      <c r="K1386">
        <v>0</v>
      </c>
      <c r="L1386">
        <v>1.010361088621588</v>
      </c>
      <c r="M1386">
        <v>104.67</v>
      </c>
      <c r="N1386">
        <v>63.45</v>
      </c>
    </row>
    <row r="1387" spans="1:14">
      <c r="A1387" s="1" t="s">
        <v>1399</v>
      </c>
      <c r="B1387">
        <f>HYPERLINK("https://www.suredividend.com/sure-analysis-research-database/","HubSpot Inc")</f>
        <v>0</v>
      </c>
      <c r="C1387" t="s">
        <v>3185</v>
      </c>
      <c r="D1387">
        <v>421.74</v>
      </c>
      <c r="E1387">
        <v>0</v>
      </c>
      <c r="F1387" t="s">
        <v>3182</v>
      </c>
      <c r="G1387" t="s">
        <v>3182</v>
      </c>
      <c r="H1387">
        <v>0</v>
      </c>
      <c r="I1387">
        <v>21093.463587</v>
      </c>
      <c r="J1387" t="s">
        <v>3182</v>
      </c>
      <c r="K1387">
        <v>-0</v>
      </c>
      <c r="L1387">
        <v>1.934864778817177</v>
      </c>
      <c r="M1387">
        <v>581.4</v>
      </c>
      <c r="N1387">
        <v>249.99</v>
      </c>
    </row>
    <row r="1388" spans="1:14">
      <c r="A1388" s="1" t="s">
        <v>1400</v>
      </c>
      <c r="B1388">
        <f>HYPERLINK("https://www.suredividend.com/sure-analysis-HUM/","Humana Inc.")</f>
        <v>0</v>
      </c>
      <c r="C1388" t="s">
        <v>3180</v>
      </c>
      <c r="D1388">
        <v>481.4</v>
      </c>
      <c r="E1388">
        <v>0.007353552139592855</v>
      </c>
      <c r="F1388">
        <v>0.1238095238095236</v>
      </c>
      <c r="G1388">
        <v>0.1209717121765268</v>
      </c>
      <c r="H1388">
        <v>3.43316331417491</v>
      </c>
      <c r="I1388">
        <v>59648.70945</v>
      </c>
      <c r="J1388">
        <v>17.65799569271758</v>
      </c>
      <c r="K1388">
        <v>0.1281987794688166</v>
      </c>
      <c r="L1388">
        <v>0.23978152403268</v>
      </c>
      <c r="M1388">
        <v>566.41</v>
      </c>
      <c r="N1388">
        <v>422.53</v>
      </c>
    </row>
    <row r="1389" spans="1:14">
      <c r="A1389" s="1" t="s">
        <v>1401</v>
      </c>
      <c r="B1389">
        <f>HYPERLINK("https://www.suredividend.com/sure-analysis-HUN/","Huntsman Corp")</f>
        <v>0</v>
      </c>
      <c r="C1389" t="s">
        <v>3181</v>
      </c>
      <c r="D1389">
        <v>23.25</v>
      </c>
      <c r="E1389">
        <v>0.04086021505376344</v>
      </c>
      <c r="F1389">
        <v>0.1176470588235294</v>
      </c>
      <c r="G1389">
        <v>0.07885244396237145</v>
      </c>
      <c r="H1389">
        <v>0.91257894965575</v>
      </c>
      <c r="I1389">
        <v>4136.06433</v>
      </c>
      <c r="J1389">
        <v>22.85118414364641</v>
      </c>
      <c r="K1389">
        <v>0.9550800101054422</v>
      </c>
      <c r="L1389">
        <v>1.0960983187737</v>
      </c>
      <c r="M1389">
        <v>32.55</v>
      </c>
      <c r="N1389">
        <v>22.14</v>
      </c>
    </row>
    <row r="1390" spans="1:14">
      <c r="A1390" s="1" t="s">
        <v>1402</v>
      </c>
      <c r="B1390">
        <f>HYPERLINK("https://www.suredividend.com/sure-analysis-research-database/","Hurco Companies, Inc.")</f>
        <v>0</v>
      </c>
      <c r="C1390" t="s">
        <v>3183</v>
      </c>
      <c r="D1390">
        <v>20</v>
      </c>
      <c r="E1390">
        <v>0.030878008573219</v>
      </c>
      <c r="F1390">
        <v>0.06666666666666665</v>
      </c>
      <c r="G1390">
        <v>0.07781806771272581</v>
      </c>
      <c r="H1390">
        <v>0.61756017146439</v>
      </c>
      <c r="I1390">
        <v>129.24276</v>
      </c>
      <c r="J1390">
        <v>38.63759641255606</v>
      </c>
      <c r="K1390">
        <v>1.21042761949116</v>
      </c>
      <c r="L1390">
        <v>0.370913022773072</v>
      </c>
      <c r="M1390">
        <v>29.33</v>
      </c>
      <c r="N1390">
        <v>19.59</v>
      </c>
    </row>
    <row r="1391" spans="1:14">
      <c r="A1391" s="1" t="s">
        <v>1403</v>
      </c>
      <c r="B1391">
        <f>HYPERLINK("https://www.suredividend.com/sure-analysis-research-database/","Huron Consulting Group Inc")</f>
        <v>0</v>
      </c>
      <c r="C1391" t="s">
        <v>3183</v>
      </c>
      <c r="D1391">
        <v>99.54000000000001</v>
      </c>
      <c r="E1391">
        <v>0</v>
      </c>
      <c r="F1391" t="s">
        <v>3182</v>
      </c>
      <c r="G1391" t="s">
        <v>3182</v>
      </c>
      <c r="H1391">
        <v>0</v>
      </c>
      <c r="I1391">
        <v>1893.668171</v>
      </c>
      <c r="J1391">
        <v>25.95630477575525</v>
      </c>
      <c r="K1391">
        <v>0</v>
      </c>
      <c r="L1391">
        <v>0.508214718398328</v>
      </c>
      <c r="M1391">
        <v>107.44</v>
      </c>
      <c r="N1391">
        <v>66.51000000000001</v>
      </c>
    </row>
    <row r="1392" spans="1:14">
      <c r="A1392" s="1" t="s">
        <v>1404</v>
      </c>
      <c r="B1392">
        <f>HYPERLINK("https://www.suredividend.com/sure-analysis-research-database/","Houston American Energy Corp")</f>
        <v>0</v>
      </c>
      <c r="C1392" t="s">
        <v>3189</v>
      </c>
      <c r="D1392">
        <v>1.97</v>
      </c>
      <c r="E1392">
        <v>0</v>
      </c>
      <c r="F1392" t="s">
        <v>3182</v>
      </c>
      <c r="G1392" t="s">
        <v>3182</v>
      </c>
      <c r="H1392">
        <v>0</v>
      </c>
      <c r="I1392">
        <v>21.485515</v>
      </c>
      <c r="J1392" t="s">
        <v>3182</v>
      </c>
      <c r="K1392">
        <v>-0</v>
      </c>
      <c r="L1392">
        <v>1.324301645981625</v>
      </c>
      <c r="M1392">
        <v>4.68</v>
      </c>
      <c r="N1392">
        <v>1.67</v>
      </c>
    </row>
    <row r="1393" spans="1:14">
      <c r="A1393" s="1" t="s">
        <v>1405</v>
      </c>
      <c r="B1393">
        <f>HYPERLINK("https://www.suredividend.com/sure-analysis-research-database/","Haverty Furniture Cos., Inc.")</f>
        <v>0</v>
      </c>
      <c r="C1393" t="s">
        <v>3186</v>
      </c>
      <c r="D1393">
        <v>27.76</v>
      </c>
      <c r="E1393">
        <v>0.041408770708715</v>
      </c>
      <c r="F1393">
        <v>0.0714285714285714</v>
      </c>
      <c r="G1393">
        <v>0.08447177119769855</v>
      </c>
      <c r="H1393">
        <v>1.149507474873954</v>
      </c>
      <c r="I1393">
        <v>452.585281</v>
      </c>
      <c r="J1393">
        <v>6.246605122493203</v>
      </c>
      <c r="K1393">
        <v>0.2660896932578597</v>
      </c>
      <c r="L1393">
        <v>0.9432082830760121</v>
      </c>
      <c r="M1393">
        <v>38.16</v>
      </c>
      <c r="N1393">
        <v>24.81</v>
      </c>
    </row>
    <row r="1394" spans="1:14">
      <c r="A1394" s="1" t="s">
        <v>1406</v>
      </c>
      <c r="B1394">
        <f>HYPERLINK("https://www.suredividend.com/sure-analysis-research-database/","Hawthorn Bancshares Inc")</f>
        <v>0</v>
      </c>
      <c r="C1394" t="s">
        <v>3184</v>
      </c>
      <c r="D1394">
        <v>18.13</v>
      </c>
      <c r="E1394">
        <v>0.036543899136204</v>
      </c>
      <c r="F1394">
        <v>0</v>
      </c>
      <c r="G1394">
        <v>0.07214502590085092</v>
      </c>
      <c r="H1394">
        <v>0.6625408913393811</v>
      </c>
      <c r="I1394">
        <v>127.622926</v>
      </c>
      <c r="J1394">
        <v>8.248104827118205</v>
      </c>
      <c r="K1394">
        <v>0.3039178400639362</v>
      </c>
      <c r="M1394">
        <v>24.34</v>
      </c>
      <c r="N1394">
        <v>15.02</v>
      </c>
    </row>
    <row r="1395" spans="1:14">
      <c r="A1395" s="1" t="s">
        <v>1407</v>
      </c>
      <c r="B1395">
        <f>HYPERLINK("https://www.suredividend.com/sure-analysis-research-database/","Hancock Whitney Corp.")</f>
        <v>0</v>
      </c>
      <c r="C1395" t="s">
        <v>3184</v>
      </c>
      <c r="D1395">
        <v>36.91</v>
      </c>
      <c r="E1395">
        <v>0.031075473888591</v>
      </c>
      <c r="F1395">
        <v>0.1111111111111112</v>
      </c>
      <c r="G1395">
        <v>0.02129568760013512</v>
      </c>
      <c r="H1395">
        <v>1.146995741227914</v>
      </c>
      <c r="I1395">
        <v>3178.892205</v>
      </c>
      <c r="J1395">
        <v>6.148763348723493</v>
      </c>
      <c r="K1395">
        <v>0.191165956871319</v>
      </c>
      <c r="L1395">
        <v>1.355323188151612</v>
      </c>
      <c r="M1395">
        <v>54.68</v>
      </c>
      <c r="N1395">
        <v>30.09</v>
      </c>
    </row>
    <row r="1396" spans="1:14">
      <c r="A1396" s="1" t="s">
        <v>1408</v>
      </c>
      <c r="B1396">
        <f>HYPERLINK("https://www.suredividend.com/sure-analysis-research-database/","Houston Wire &amp; Cable Company")</f>
        <v>0</v>
      </c>
      <c r="C1396" t="s">
        <v>3183</v>
      </c>
      <c r="D1396">
        <v>5.3</v>
      </c>
      <c r="E1396">
        <v>0</v>
      </c>
      <c r="F1396" t="s">
        <v>3182</v>
      </c>
      <c r="G1396" t="s">
        <v>3182</v>
      </c>
      <c r="H1396">
        <v>0</v>
      </c>
      <c r="I1396">
        <v>0</v>
      </c>
      <c r="J1396">
        <v>0</v>
      </c>
      <c r="K1396">
        <v>-0</v>
      </c>
    </row>
    <row r="1397" spans="1:14">
      <c r="A1397" s="1" t="s">
        <v>1409</v>
      </c>
      <c r="B1397">
        <f>HYPERLINK("https://www.suredividend.com/sure-analysis-HWKN/","Hawkins Inc")</f>
        <v>0</v>
      </c>
      <c r="C1397" t="s">
        <v>3181</v>
      </c>
      <c r="D1397">
        <v>54.52</v>
      </c>
      <c r="E1397">
        <v>0.01173881144534116</v>
      </c>
      <c r="F1397">
        <v>0.1428571428571428</v>
      </c>
      <c r="G1397">
        <v>-0.06591264509773154</v>
      </c>
      <c r="H1397">
        <v>0.596428176524882</v>
      </c>
      <c r="I1397">
        <v>1150.421013</v>
      </c>
      <c r="J1397">
        <v>18.0384629559709</v>
      </c>
      <c r="K1397">
        <v>0.196193479120027</v>
      </c>
      <c r="L1397">
        <v>0.7573436821451081</v>
      </c>
      <c r="M1397">
        <v>63.21</v>
      </c>
      <c r="N1397">
        <v>36.15</v>
      </c>
    </row>
    <row r="1398" spans="1:14">
      <c r="A1398" s="1" t="s">
        <v>1410</v>
      </c>
      <c r="B1398">
        <f>HYPERLINK("https://www.suredividend.com/sure-analysis-research-database/","Hexcel Corp.")</f>
        <v>0</v>
      </c>
      <c r="C1398" t="s">
        <v>3183</v>
      </c>
      <c r="D1398">
        <v>64.40000000000001</v>
      </c>
      <c r="E1398">
        <v>0.007741952049076001</v>
      </c>
      <c r="F1398" t="s">
        <v>3182</v>
      </c>
      <c r="G1398" t="s">
        <v>3182</v>
      </c>
      <c r="H1398">
        <v>0.4985817119604991</v>
      </c>
      <c r="I1398">
        <v>5416.767334</v>
      </c>
      <c r="J1398">
        <v>33.66542780360473</v>
      </c>
      <c r="K1398">
        <v>0.2652030382768612</v>
      </c>
      <c r="L1398">
        <v>0.9150843815195711</v>
      </c>
      <c r="M1398">
        <v>78.78</v>
      </c>
      <c r="N1398">
        <v>53.74</v>
      </c>
    </row>
    <row r="1399" spans="1:14">
      <c r="A1399" s="1" t="s">
        <v>1411</v>
      </c>
      <c r="B1399">
        <f>HYPERLINK("https://www.suredividend.com/sure-analysis-research-database/","Hyster-Yale Materials Handling Inc")</f>
        <v>0</v>
      </c>
      <c r="C1399" t="s">
        <v>3183</v>
      </c>
      <c r="D1399">
        <v>42.93</v>
      </c>
      <c r="E1399">
        <v>0.029830168321323</v>
      </c>
      <c r="F1399">
        <v>0.007751937984496138</v>
      </c>
      <c r="G1399">
        <v>0.009495374682843893</v>
      </c>
      <c r="H1399">
        <v>1.280609126034396</v>
      </c>
      <c r="I1399">
        <v>588.815216</v>
      </c>
      <c r="J1399">
        <v>0</v>
      </c>
      <c r="K1399" t="s">
        <v>3182</v>
      </c>
      <c r="L1399">
        <v>1.193578376625287</v>
      </c>
      <c r="M1399">
        <v>59.22</v>
      </c>
      <c r="N1399">
        <v>23.99</v>
      </c>
    </row>
    <row r="1400" spans="1:14">
      <c r="A1400" s="1" t="s">
        <v>1412</v>
      </c>
      <c r="B1400">
        <f>HYPERLINK("https://www.suredividend.com/sure-analysis-research-database/","Horizon Global Corp")</f>
        <v>0</v>
      </c>
      <c r="C1400" t="s">
        <v>3186</v>
      </c>
      <c r="D1400">
        <v>1.76</v>
      </c>
      <c r="E1400">
        <v>0</v>
      </c>
      <c r="F1400" t="s">
        <v>3182</v>
      </c>
      <c r="G1400" t="s">
        <v>3182</v>
      </c>
      <c r="H1400">
        <v>0</v>
      </c>
      <c r="I1400">
        <v>48.809661</v>
      </c>
      <c r="J1400">
        <v>0</v>
      </c>
      <c r="K1400" t="s">
        <v>3182</v>
      </c>
      <c r="L1400">
        <v>0.547900522491051</v>
      </c>
      <c r="M1400">
        <v>7.19</v>
      </c>
      <c r="N1400">
        <v>0.3</v>
      </c>
    </row>
    <row r="1401" spans="1:14">
      <c r="A1401" s="1" t="s">
        <v>1413</v>
      </c>
      <c r="B1401">
        <f>HYPERLINK("https://www.suredividend.com/sure-analysis-research-database/","Horizon Therapeutics Plc")</f>
        <v>0</v>
      </c>
      <c r="C1401" t="s">
        <v>3180</v>
      </c>
      <c r="D1401">
        <v>116.3</v>
      </c>
      <c r="E1401">
        <v>0</v>
      </c>
      <c r="F1401" t="s">
        <v>3182</v>
      </c>
      <c r="G1401" t="s">
        <v>3182</v>
      </c>
      <c r="H1401">
        <v>0</v>
      </c>
      <c r="I1401">
        <v>0</v>
      </c>
      <c r="J1401">
        <v>0</v>
      </c>
      <c r="K1401">
        <v>0</v>
      </c>
    </row>
    <row r="1402" spans="1:14">
      <c r="A1402" s="1" t="s">
        <v>1414</v>
      </c>
      <c r="B1402">
        <f>HYPERLINK("https://www.suredividend.com/sure-analysis-research-database/","Marinemax, Inc.")</f>
        <v>0</v>
      </c>
      <c r="C1402" t="s">
        <v>3186</v>
      </c>
      <c r="D1402">
        <v>28.85</v>
      </c>
      <c r="E1402">
        <v>0</v>
      </c>
      <c r="F1402" t="s">
        <v>3182</v>
      </c>
      <c r="G1402" t="s">
        <v>3182</v>
      </c>
      <c r="H1402">
        <v>0</v>
      </c>
      <c r="I1402">
        <v>632.117896</v>
      </c>
      <c r="J1402">
        <v>4.77066509799926</v>
      </c>
      <c r="K1402">
        <v>0</v>
      </c>
      <c r="L1402">
        <v>1.14082752272812</v>
      </c>
      <c r="M1402">
        <v>42.88</v>
      </c>
      <c r="N1402">
        <v>25.6</v>
      </c>
    </row>
    <row r="1403" spans="1:14">
      <c r="A1403" s="1" t="s">
        <v>1415</v>
      </c>
      <c r="B1403">
        <f>HYPERLINK("https://www.suredividend.com/sure-analysis-research-database/","IAA Inc")</f>
        <v>0</v>
      </c>
      <c r="C1403" t="s">
        <v>3183</v>
      </c>
      <c r="D1403">
        <v>39.89</v>
      </c>
      <c r="E1403">
        <v>0</v>
      </c>
      <c r="F1403" t="s">
        <v>3182</v>
      </c>
      <c r="G1403" t="s">
        <v>3182</v>
      </c>
      <c r="H1403">
        <v>0</v>
      </c>
      <c r="I1403">
        <v>5513.641624</v>
      </c>
      <c r="J1403">
        <v>18.85650350263338</v>
      </c>
      <c r="K1403">
        <v>0</v>
      </c>
      <c r="M1403">
        <v>44.07</v>
      </c>
      <c r="N1403">
        <v>31.32</v>
      </c>
    </row>
    <row r="1404" spans="1:14">
      <c r="A1404" s="1" t="s">
        <v>1416</v>
      </c>
      <c r="B1404">
        <f>HYPERLINK("https://www.suredividend.com/sure-analysis-research-database/","IAC Inc")</f>
        <v>0</v>
      </c>
      <c r="C1404" t="s">
        <v>3191</v>
      </c>
      <c r="D1404">
        <v>43.19</v>
      </c>
      <c r="E1404">
        <v>0</v>
      </c>
      <c r="F1404" t="s">
        <v>3182</v>
      </c>
      <c r="G1404" t="s">
        <v>3182</v>
      </c>
      <c r="H1404">
        <v>0</v>
      </c>
      <c r="I1404">
        <v>3457.638982</v>
      </c>
      <c r="J1404">
        <v>13.86761018437264</v>
      </c>
      <c r="K1404">
        <v>0</v>
      </c>
      <c r="L1404">
        <v>1.583489492211024</v>
      </c>
      <c r="M1404">
        <v>69.84999999999999</v>
      </c>
      <c r="N1404">
        <v>41.39</v>
      </c>
    </row>
    <row r="1405" spans="1:14">
      <c r="A1405" s="1" t="s">
        <v>1417</v>
      </c>
      <c r="B1405">
        <f>HYPERLINK("https://www.suredividend.com/sure-analysis-research-database/","Integra Lifesciences Holdings Corp")</f>
        <v>0</v>
      </c>
      <c r="C1405" t="s">
        <v>3180</v>
      </c>
      <c r="D1405">
        <v>37.8</v>
      </c>
      <c r="E1405">
        <v>0</v>
      </c>
      <c r="F1405" t="s">
        <v>3182</v>
      </c>
      <c r="G1405" t="s">
        <v>3182</v>
      </c>
      <c r="H1405">
        <v>0</v>
      </c>
      <c r="I1405">
        <v>2955.045353</v>
      </c>
      <c r="J1405">
        <v>29.30052009756774</v>
      </c>
      <c r="K1405">
        <v>0</v>
      </c>
      <c r="L1405">
        <v>1.218939280055102</v>
      </c>
      <c r="M1405">
        <v>60.69</v>
      </c>
      <c r="N1405">
        <v>33.44</v>
      </c>
    </row>
    <row r="1406" spans="1:14">
      <c r="A1406" s="1" t="s">
        <v>1418</v>
      </c>
      <c r="B1406">
        <f>HYPERLINK("https://www.suredividend.com/sure-analysis-research-database/","Independent Bank Corporation (Ionia, MI)")</f>
        <v>0</v>
      </c>
      <c r="C1406" t="s">
        <v>3184</v>
      </c>
      <c r="D1406">
        <v>20.31</v>
      </c>
      <c r="E1406">
        <v>0.043730427518841</v>
      </c>
      <c r="F1406" t="s">
        <v>3182</v>
      </c>
      <c r="G1406" t="s">
        <v>3182</v>
      </c>
      <c r="H1406">
        <v>0.88816498290767</v>
      </c>
      <c r="I1406">
        <v>425.377047</v>
      </c>
      <c r="J1406">
        <v>0</v>
      </c>
      <c r="K1406" t="s">
        <v>3182</v>
      </c>
      <c r="L1406">
        <v>0.9668595655452281</v>
      </c>
      <c r="M1406">
        <v>22.96</v>
      </c>
      <c r="N1406">
        <v>14.24</v>
      </c>
    </row>
    <row r="1407" spans="1:14">
      <c r="A1407" s="1" t="s">
        <v>1419</v>
      </c>
      <c r="B1407">
        <f>HYPERLINK("https://www.suredividend.com/sure-analysis-research-database/","iBio Inc")</f>
        <v>0</v>
      </c>
      <c r="C1407" t="s">
        <v>3180</v>
      </c>
      <c r="D1407">
        <v>0.2675</v>
      </c>
      <c r="E1407">
        <v>0</v>
      </c>
      <c r="F1407" t="s">
        <v>3182</v>
      </c>
      <c r="G1407" t="s">
        <v>3182</v>
      </c>
      <c r="H1407">
        <v>0</v>
      </c>
      <c r="I1407">
        <v>7.516946</v>
      </c>
      <c r="J1407">
        <v>0</v>
      </c>
      <c r="K1407" t="s">
        <v>3182</v>
      </c>
      <c r="L1407">
        <v>1.023346327445582</v>
      </c>
      <c r="M1407">
        <v>2.6</v>
      </c>
      <c r="N1407">
        <v>0.25</v>
      </c>
    </row>
    <row r="1408" spans="1:14">
      <c r="A1408" s="1" t="s">
        <v>1420</v>
      </c>
      <c r="B1408">
        <f>HYPERLINK("https://www.suredividend.com/sure-analysis-research-database/","Interactive Brokers Group Inc")</f>
        <v>0</v>
      </c>
      <c r="C1408" t="s">
        <v>3184</v>
      </c>
      <c r="D1408">
        <v>80.34999999999999</v>
      </c>
      <c r="E1408">
        <v>0.004962229308297</v>
      </c>
      <c r="F1408" t="s">
        <v>3182</v>
      </c>
      <c r="G1408" t="s">
        <v>3182</v>
      </c>
      <c r="H1408">
        <v>0.398715124921705</v>
      </c>
      <c r="I1408">
        <v>8595.162837</v>
      </c>
      <c r="J1408">
        <v>16.91961188435039</v>
      </c>
      <c r="K1408">
        <v>0.08137043365749082</v>
      </c>
      <c r="L1408">
        <v>0.6501780451672821</v>
      </c>
      <c r="M1408">
        <v>95.59</v>
      </c>
      <c r="N1408">
        <v>67.83</v>
      </c>
    </row>
    <row r="1409" spans="1:14">
      <c r="A1409" s="1" t="s">
        <v>1421</v>
      </c>
      <c r="B1409">
        <f>HYPERLINK("https://www.suredividend.com/sure-analysis-IBM/","International Business Machines Corp.")</f>
        <v>0</v>
      </c>
      <c r="C1409" t="s">
        <v>3185</v>
      </c>
      <c r="D1409">
        <v>147.01</v>
      </c>
      <c r="E1409">
        <v>0.04516699544248691</v>
      </c>
      <c r="F1409">
        <v>0.0060606060606061</v>
      </c>
      <c r="G1409">
        <v>0.01121077155310268</v>
      </c>
      <c r="H1409">
        <v>6.500156958289859</v>
      </c>
      <c r="I1409">
        <v>134237.562593</v>
      </c>
      <c r="J1409">
        <v>19.38168677343488</v>
      </c>
      <c r="K1409">
        <v>0.8643825742406728</v>
      </c>
      <c r="L1409">
        <v>0.552256856074789</v>
      </c>
      <c r="M1409">
        <v>151.93</v>
      </c>
      <c r="N1409">
        <v>118.71</v>
      </c>
    </row>
    <row r="1410" spans="1:14">
      <c r="A1410" s="1" t="s">
        <v>1422</v>
      </c>
      <c r="B1410">
        <f>HYPERLINK("https://www.suredividend.com/sure-analysis-IBOC/","International Bancshares Corp.")</f>
        <v>0</v>
      </c>
      <c r="C1410" t="s">
        <v>3184</v>
      </c>
      <c r="D1410">
        <v>45.4</v>
      </c>
      <c r="E1410">
        <v>0.02775330396475771</v>
      </c>
      <c r="F1410" t="s">
        <v>3182</v>
      </c>
      <c r="G1410" t="s">
        <v>3182</v>
      </c>
      <c r="H1410">
        <v>1.243205455782304</v>
      </c>
      <c r="I1410">
        <v>2817.020696</v>
      </c>
      <c r="J1410">
        <v>7.206573348409806</v>
      </c>
      <c r="K1410">
        <v>0.1979626521946344</v>
      </c>
      <c r="L1410">
        <v>0.8722314170314741</v>
      </c>
      <c r="M1410">
        <v>51.57</v>
      </c>
      <c r="N1410">
        <v>38.05</v>
      </c>
    </row>
    <row r="1411" spans="1:14">
      <c r="A1411" s="1" t="s">
        <v>1423</v>
      </c>
      <c r="B1411">
        <f>HYPERLINK("https://www.suredividend.com/sure-analysis-research-database/","Installed Building Products Inc")</f>
        <v>0</v>
      </c>
      <c r="C1411" t="s">
        <v>3183</v>
      </c>
      <c r="D1411">
        <v>118.66</v>
      </c>
      <c r="E1411">
        <v>0.018499570702338</v>
      </c>
      <c r="F1411" t="s">
        <v>3182</v>
      </c>
      <c r="G1411" t="s">
        <v>3182</v>
      </c>
      <c r="H1411">
        <v>2.19515905953947</v>
      </c>
      <c r="I1411">
        <v>3371.197999</v>
      </c>
      <c r="J1411">
        <v>14.01320180934685</v>
      </c>
      <c r="K1411">
        <v>0.2591687201345301</v>
      </c>
      <c r="L1411">
        <v>1.456620525734419</v>
      </c>
      <c r="M1411">
        <v>157.78</v>
      </c>
      <c r="N1411">
        <v>75.39</v>
      </c>
    </row>
    <row r="1412" spans="1:14">
      <c r="A1412" s="1" t="s">
        <v>1424</v>
      </c>
      <c r="B1412">
        <f>HYPERLINK("https://www.suredividend.com/sure-analysis-research-database/","Independent Bank Group Inc")</f>
        <v>0</v>
      </c>
      <c r="C1412" t="s">
        <v>3184</v>
      </c>
      <c r="D1412">
        <v>36.67</v>
      </c>
      <c r="E1412">
        <v>0.04021220809806601</v>
      </c>
      <c r="F1412">
        <v>0</v>
      </c>
      <c r="G1412">
        <v>0.08734839457107491</v>
      </c>
      <c r="H1412">
        <v>1.474581670956096</v>
      </c>
      <c r="I1412">
        <v>1513.854137</v>
      </c>
      <c r="J1412">
        <v>22.00497321443108</v>
      </c>
      <c r="K1412">
        <v>0.8829830365006565</v>
      </c>
      <c r="L1412">
        <v>1.258731817254999</v>
      </c>
      <c r="M1412">
        <v>63.1</v>
      </c>
      <c r="N1412">
        <v>27.71</v>
      </c>
    </row>
    <row r="1413" spans="1:14">
      <c r="A1413" s="1" t="s">
        <v>1425</v>
      </c>
      <c r="B1413">
        <f>HYPERLINK("https://www.suredividend.com/sure-analysis-research-database/","Icad Inc")</f>
        <v>0</v>
      </c>
      <c r="C1413" t="s">
        <v>3180</v>
      </c>
      <c r="D1413">
        <v>1.5</v>
      </c>
      <c r="E1413">
        <v>0</v>
      </c>
      <c r="F1413" t="s">
        <v>3182</v>
      </c>
      <c r="G1413" t="s">
        <v>3182</v>
      </c>
      <c r="H1413">
        <v>0</v>
      </c>
      <c r="I1413">
        <v>38.169611</v>
      </c>
      <c r="J1413" t="s">
        <v>3182</v>
      </c>
      <c r="K1413">
        <v>-0</v>
      </c>
      <c r="L1413">
        <v>1.463957238703391</v>
      </c>
      <c r="M1413">
        <v>3.97</v>
      </c>
      <c r="N1413">
        <v>1.05</v>
      </c>
    </row>
    <row r="1414" spans="1:14">
      <c r="A1414" s="1" t="s">
        <v>1426</v>
      </c>
      <c r="B1414">
        <f>HYPERLINK("https://www.suredividend.com/sure-analysis-research-database/","County Bancorp Inc")</f>
        <v>0</v>
      </c>
      <c r="C1414" t="s">
        <v>3184</v>
      </c>
      <c r="D1414">
        <v>35.25</v>
      </c>
      <c r="E1414">
        <v>0</v>
      </c>
      <c r="F1414" t="s">
        <v>3182</v>
      </c>
      <c r="G1414" t="s">
        <v>3182</v>
      </c>
      <c r="H1414">
        <v>0.400000005960464</v>
      </c>
      <c r="I1414">
        <v>0</v>
      </c>
      <c r="J1414">
        <v>0</v>
      </c>
      <c r="K1414" t="s">
        <v>3182</v>
      </c>
    </row>
    <row r="1415" spans="1:14">
      <c r="A1415" s="1" t="s">
        <v>1427</v>
      </c>
      <c r="B1415">
        <f>HYPERLINK("https://www.suredividend.com/sure-analysis-research-database/","Immucell Corp.")</f>
        <v>0</v>
      </c>
      <c r="C1415" t="s">
        <v>3180</v>
      </c>
      <c r="D1415">
        <v>5.1</v>
      </c>
      <c r="E1415">
        <v>0</v>
      </c>
      <c r="F1415" t="s">
        <v>3182</v>
      </c>
      <c r="G1415" t="s">
        <v>3182</v>
      </c>
      <c r="H1415">
        <v>0</v>
      </c>
      <c r="I1415">
        <v>39.509006</v>
      </c>
      <c r="J1415" t="s">
        <v>3182</v>
      </c>
      <c r="K1415">
        <v>-0</v>
      </c>
      <c r="M1415">
        <v>8.6</v>
      </c>
      <c r="N1415">
        <v>4.26</v>
      </c>
    </row>
    <row r="1416" spans="1:14">
      <c r="A1416" s="1" t="s">
        <v>1428</v>
      </c>
      <c r="B1416">
        <f>HYPERLINK("https://www.suredividend.com/sure-analysis-research-database/","Independence Contract Drilling Inc")</f>
        <v>0</v>
      </c>
      <c r="C1416" t="s">
        <v>3189</v>
      </c>
      <c r="D1416">
        <v>2.61</v>
      </c>
      <c r="E1416">
        <v>0</v>
      </c>
      <c r="F1416" t="s">
        <v>3182</v>
      </c>
      <c r="G1416" t="s">
        <v>3182</v>
      </c>
      <c r="H1416">
        <v>0</v>
      </c>
      <c r="I1416">
        <v>36.761459</v>
      </c>
      <c r="J1416">
        <v>0</v>
      </c>
      <c r="K1416" t="s">
        <v>3182</v>
      </c>
      <c r="L1416">
        <v>0.909576041089152</v>
      </c>
      <c r="M1416">
        <v>5.25</v>
      </c>
      <c r="N1416">
        <v>2.48</v>
      </c>
    </row>
    <row r="1417" spans="1:14">
      <c r="A1417" s="1" t="s">
        <v>1429</v>
      </c>
      <c r="B1417">
        <f>HYPERLINK("https://www.suredividend.com/sure-analysis-ICE/","Intercontinental Exchange Inc")</f>
        <v>0</v>
      </c>
      <c r="C1417" t="s">
        <v>3184</v>
      </c>
      <c r="D1417">
        <v>106.26</v>
      </c>
      <c r="E1417">
        <v>0.0158102766798419</v>
      </c>
      <c r="F1417">
        <v>0.1052631578947367</v>
      </c>
      <c r="G1417">
        <v>0.1184269147201447</v>
      </c>
      <c r="H1417">
        <v>1.630915454253181</v>
      </c>
      <c r="I1417">
        <v>59537.623895</v>
      </c>
      <c r="J1417">
        <v>35.27110420318721</v>
      </c>
      <c r="K1417">
        <v>0.5418323768282994</v>
      </c>
      <c r="L1417">
        <v>0.854295482604412</v>
      </c>
      <c r="M1417">
        <v>118.36</v>
      </c>
      <c r="N1417">
        <v>92.75</v>
      </c>
    </row>
    <row r="1418" spans="1:14">
      <c r="A1418" s="1" t="s">
        <v>1430</v>
      </c>
      <c r="B1418">
        <f>HYPERLINK("https://www.suredividend.com/sure-analysis-research-database/","ICF International, Inc")</f>
        <v>0</v>
      </c>
      <c r="C1418" t="s">
        <v>3183</v>
      </c>
      <c r="D1418">
        <v>124.89</v>
      </c>
      <c r="E1418">
        <v>0.004470303005655</v>
      </c>
      <c r="F1418">
        <v>0</v>
      </c>
      <c r="G1418">
        <v>0</v>
      </c>
      <c r="H1418">
        <v>0.55829614237629</v>
      </c>
      <c r="I1418">
        <v>2347.932</v>
      </c>
      <c r="J1418">
        <v>36.29288651188673</v>
      </c>
      <c r="K1418">
        <v>0.1642047477577324</v>
      </c>
      <c r="L1418">
        <v>0.7349601042120441</v>
      </c>
      <c r="M1418">
        <v>136.53</v>
      </c>
      <c r="N1418">
        <v>93.98999999999999</v>
      </c>
    </row>
    <row r="1419" spans="1:14">
      <c r="A1419" s="1" t="s">
        <v>1431</v>
      </c>
      <c r="B1419">
        <f>HYPERLINK("https://www.suredividend.com/sure-analysis-research-database/","Ichor Holdings Ltd")</f>
        <v>0</v>
      </c>
      <c r="C1419" t="s">
        <v>3185</v>
      </c>
      <c r="D1419">
        <v>25.68</v>
      </c>
      <c r="E1419">
        <v>0</v>
      </c>
      <c r="F1419" t="s">
        <v>3182</v>
      </c>
      <c r="G1419" t="s">
        <v>3182</v>
      </c>
      <c r="H1419">
        <v>0</v>
      </c>
      <c r="I1419">
        <v>752.424</v>
      </c>
      <c r="J1419">
        <v>33.34178224841583</v>
      </c>
      <c r="K1419">
        <v>0</v>
      </c>
      <c r="L1419">
        <v>1.876658233397712</v>
      </c>
      <c r="M1419">
        <v>39.73</v>
      </c>
      <c r="N1419">
        <v>23.7</v>
      </c>
    </row>
    <row r="1420" spans="1:14">
      <c r="A1420" s="1" t="s">
        <v>1432</v>
      </c>
      <c r="B1420">
        <f>HYPERLINK("https://www.suredividend.com/sure-analysis-research-database/","Iconix Brand Group, Inc.")</f>
        <v>0</v>
      </c>
      <c r="C1420" t="s">
        <v>3186</v>
      </c>
      <c r="D1420">
        <v>3.15</v>
      </c>
      <c r="E1420">
        <v>0</v>
      </c>
      <c r="F1420" t="s">
        <v>3182</v>
      </c>
      <c r="G1420" t="s">
        <v>3182</v>
      </c>
      <c r="H1420">
        <v>0</v>
      </c>
      <c r="I1420">
        <v>0</v>
      </c>
      <c r="J1420">
        <v>0</v>
      </c>
      <c r="K1420">
        <v>0</v>
      </c>
    </row>
    <row r="1421" spans="1:14">
      <c r="A1421" s="1" t="s">
        <v>1433</v>
      </c>
      <c r="B1421">
        <f>HYPERLINK("https://www.suredividend.com/sure-analysis-research-database/","Intercept Pharmaceuticals Inc")</f>
        <v>0</v>
      </c>
      <c r="C1421" t="s">
        <v>3180</v>
      </c>
      <c r="D1421">
        <v>18.98</v>
      </c>
      <c r="E1421">
        <v>0</v>
      </c>
      <c r="F1421" t="s">
        <v>3182</v>
      </c>
      <c r="G1421" t="s">
        <v>3182</v>
      </c>
      <c r="H1421">
        <v>0</v>
      </c>
      <c r="I1421">
        <v>793.036158</v>
      </c>
      <c r="J1421">
        <v>3.80114248822083</v>
      </c>
      <c r="K1421">
        <v>0</v>
      </c>
      <c r="M1421">
        <v>21.86</v>
      </c>
      <c r="N1421">
        <v>8.82</v>
      </c>
    </row>
    <row r="1422" spans="1:14">
      <c r="A1422" s="1" t="s">
        <v>1434</v>
      </c>
      <c r="B1422">
        <f>HYPERLINK("https://www.suredividend.com/sure-analysis-research-database/","ICU Medical, Inc.")</f>
        <v>0</v>
      </c>
      <c r="C1422" t="s">
        <v>3180</v>
      </c>
      <c r="D1422">
        <v>100.08</v>
      </c>
      <c r="E1422">
        <v>0</v>
      </c>
      <c r="F1422" t="s">
        <v>3182</v>
      </c>
      <c r="G1422" t="s">
        <v>3182</v>
      </c>
      <c r="H1422">
        <v>0</v>
      </c>
      <c r="I1422">
        <v>2411.928</v>
      </c>
      <c r="J1422" t="s">
        <v>3182</v>
      </c>
      <c r="K1422">
        <v>-0</v>
      </c>
      <c r="L1422">
        <v>1.17953219306061</v>
      </c>
      <c r="M1422">
        <v>212.43</v>
      </c>
      <c r="N1422">
        <v>95.19</v>
      </c>
    </row>
    <row r="1423" spans="1:14">
      <c r="A1423" s="1" t="s">
        <v>1435</v>
      </c>
      <c r="B1423">
        <f>HYPERLINK("https://www.suredividend.com/sure-analysis-IDA/","Idacorp, Inc.")</f>
        <v>0</v>
      </c>
      <c r="C1423" t="s">
        <v>3190</v>
      </c>
      <c r="D1423">
        <v>99.40000000000001</v>
      </c>
      <c r="E1423">
        <v>0.03340040241448692</v>
      </c>
      <c r="F1423">
        <v>0.05063291139240511</v>
      </c>
      <c r="G1423">
        <v>0.05668978367952837</v>
      </c>
      <c r="H1423">
        <v>3.161609598227253</v>
      </c>
      <c r="I1423">
        <v>5031.110027</v>
      </c>
      <c r="J1423">
        <v>18.42175420842381</v>
      </c>
      <c r="K1423">
        <v>0.587659776622166</v>
      </c>
      <c r="L1423">
        <v>0.5490379194680021</v>
      </c>
      <c r="M1423">
        <v>110.79</v>
      </c>
      <c r="N1423">
        <v>87.31999999999999</v>
      </c>
    </row>
    <row r="1424" spans="1:14">
      <c r="A1424" s="1" t="s">
        <v>1436</v>
      </c>
      <c r="B1424">
        <f>HYPERLINK("https://www.suredividend.com/sure-analysis-research-database/","Interdigital Inc")</f>
        <v>0</v>
      </c>
      <c r="C1424" t="s">
        <v>3191</v>
      </c>
      <c r="D1424">
        <v>82.84999999999999</v>
      </c>
      <c r="E1424">
        <v>0.017295183394737</v>
      </c>
      <c r="F1424">
        <v>0.1428571428571428</v>
      </c>
      <c r="G1424">
        <v>0.02706608708935176</v>
      </c>
      <c r="H1424">
        <v>1.432905944254008</v>
      </c>
      <c r="I1424">
        <v>2187.827904</v>
      </c>
      <c r="J1424">
        <v>12.04273582940684</v>
      </c>
      <c r="K1424">
        <v>0.2307416979475053</v>
      </c>
      <c r="L1424">
        <v>0.9058852209433771</v>
      </c>
      <c r="M1424">
        <v>97.72</v>
      </c>
      <c r="N1424">
        <v>45.35</v>
      </c>
    </row>
    <row r="1425" spans="1:14">
      <c r="A1425" s="1" t="s">
        <v>1437</v>
      </c>
      <c r="B1425">
        <f>HYPERLINK("https://www.suredividend.com/sure-analysis-research-database/","Intellicheck Inc")</f>
        <v>0</v>
      </c>
      <c r="C1425" t="s">
        <v>3185</v>
      </c>
      <c r="D1425">
        <v>2.12</v>
      </c>
      <c r="E1425">
        <v>0</v>
      </c>
      <c r="F1425" t="s">
        <v>3182</v>
      </c>
      <c r="G1425" t="s">
        <v>3182</v>
      </c>
      <c r="H1425">
        <v>0</v>
      </c>
      <c r="I1425">
        <v>40.910749</v>
      </c>
      <c r="J1425">
        <v>0</v>
      </c>
      <c r="K1425" t="s">
        <v>3182</v>
      </c>
      <c r="L1425">
        <v>0.8915926343446581</v>
      </c>
      <c r="M1425">
        <v>3</v>
      </c>
      <c r="N1425">
        <v>1.68</v>
      </c>
    </row>
    <row r="1426" spans="1:14">
      <c r="A1426" s="1" t="s">
        <v>1438</v>
      </c>
      <c r="B1426">
        <f>HYPERLINK("https://www.suredividend.com/sure-analysis-research-database/","IDT Corp.")</f>
        <v>0</v>
      </c>
      <c r="C1426" t="s">
        <v>3191</v>
      </c>
      <c r="D1426">
        <v>28.81</v>
      </c>
      <c r="E1426">
        <v>0</v>
      </c>
      <c r="F1426" t="s">
        <v>3182</v>
      </c>
      <c r="G1426" t="s">
        <v>3182</v>
      </c>
      <c r="H1426">
        <v>0</v>
      </c>
      <c r="I1426">
        <v>679.5485</v>
      </c>
      <c r="J1426">
        <v>16.78229032006322</v>
      </c>
      <c r="K1426">
        <v>0</v>
      </c>
      <c r="L1426">
        <v>0.417613340700672</v>
      </c>
      <c r="M1426">
        <v>35.18</v>
      </c>
      <c r="N1426">
        <v>21.64</v>
      </c>
    </row>
    <row r="1427" spans="1:14">
      <c r="A1427" s="1" t="s">
        <v>1439</v>
      </c>
      <c r="B1427">
        <f>HYPERLINK("https://www.suredividend.com/sure-analysis-research-database/","Interpace Biosciences Inc")</f>
        <v>0</v>
      </c>
      <c r="C1427" t="s">
        <v>3180</v>
      </c>
      <c r="D1427">
        <v>0.96</v>
      </c>
      <c r="E1427">
        <v>0</v>
      </c>
      <c r="F1427" t="s">
        <v>3182</v>
      </c>
      <c r="G1427" t="s">
        <v>3182</v>
      </c>
      <c r="H1427">
        <v>0</v>
      </c>
      <c r="I1427">
        <v>4.142985</v>
      </c>
      <c r="J1427" t="s">
        <v>3182</v>
      </c>
      <c r="K1427">
        <v>-0</v>
      </c>
      <c r="M1427">
        <v>3.54</v>
      </c>
      <c r="N1427">
        <v>0.51</v>
      </c>
    </row>
    <row r="1428" spans="1:14">
      <c r="A1428" s="1" t="s">
        <v>1440</v>
      </c>
      <c r="B1428">
        <f>HYPERLINK("https://www.suredividend.com/sure-analysis-research-database/","Idexx Laboratories, Inc.")</f>
        <v>0</v>
      </c>
      <c r="C1428" t="s">
        <v>3180</v>
      </c>
      <c r="D1428">
        <v>419.44</v>
      </c>
      <c r="E1428">
        <v>0</v>
      </c>
      <c r="F1428" t="s">
        <v>3182</v>
      </c>
      <c r="G1428" t="s">
        <v>3182</v>
      </c>
      <c r="H1428">
        <v>0</v>
      </c>
      <c r="I1428">
        <v>34813.52</v>
      </c>
      <c r="J1428">
        <v>43.98784486407601</v>
      </c>
      <c r="K1428">
        <v>0</v>
      </c>
      <c r="L1428">
        <v>1.552686986824928</v>
      </c>
      <c r="M1428">
        <v>564.74</v>
      </c>
      <c r="N1428">
        <v>357.57</v>
      </c>
    </row>
    <row r="1429" spans="1:14">
      <c r="A1429" s="1" t="s">
        <v>1441</v>
      </c>
      <c r="B1429">
        <f>HYPERLINK("https://www.suredividend.com/sure-analysis-research-database/","IEC Electronics Corp.")</f>
        <v>0</v>
      </c>
      <c r="C1429" t="s">
        <v>3185</v>
      </c>
      <c r="D1429">
        <v>15.34</v>
      </c>
      <c r="E1429">
        <v>0</v>
      </c>
      <c r="F1429" t="s">
        <v>3182</v>
      </c>
      <c r="G1429" t="s">
        <v>3182</v>
      </c>
      <c r="H1429">
        <v>0</v>
      </c>
      <c r="I1429">
        <v>0</v>
      </c>
      <c r="J1429">
        <v>0</v>
      </c>
      <c r="K1429" t="s">
        <v>3182</v>
      </c>
    </row>
    <row r="1430" spans="1:14">
      <c r="A1430" s="1" t="s">
        <v>1442</v>
      </c>
      <c r="B1430">
        <f>HYPERLINK("https://www.suredividend.com/sure-analysis-research-database/","IES Holdings Inc")</f>
        <v>0</v>
      </c>
      <c r="C1430" t="s">
        <v>3183</v>
      </c>
      <c r="D1430">
        <v>62.62</v>
      </c>
      <c r="E1430">
        <v>0</v>
      </c>
      <c r="F1430" t="s">
        <v>3182</v>
      </c>
      <c r="G1430" t="s">
        <v>3182</v>
      </c>
      <c r="H1430">
        <v>0</v>
      </c>
      <c r="I1430">
        <v>1264.396677</v>
      </c>
      <c r="J1430">
        <v>17.14319947095112</v>
      </c>
      <c r="K1430">
        <v>0</v>
      </c>
      <c r="L1430">
        <v>0.7660578919551081</v>
      </c>
      <c r="M1430">
        <v>76.8</v>
      </c>
      <c r="N1430">
        <v>27.68</v>
      </c>
    </row>
    <row r="1431" spans="1:14">
      <c r="A1431" s="1" t="s">
        <v>1443</v>
      </c>
      <c r="B1431">
        <f>HYPERLINK("https://www.suredividend.com/sure-analysis-IEX/","Idex Corporation")</f>
        <v>0</v>
      </c>
      <c r="C1431" t="s">
        <v>3183</v>
      </c>
      <c r="D1431">
        <v>193.59</v>
      </c>
      <c r="E1431">
        <v>0.01322382354460458</v>
      </c>
      <c r="F1431">
        <v>0.06666666666666643</v>
      </c>
      <c r="G1431">
        <v>0.08278518173999627</v>
      </c>
      <c r="H1431">
        <v>2.508740319257429</v>
      </c>
      <c r="I1431">
        <v>14640.348095</v>
      </c>
      <c r="J1431">
        <v>23.70906574090688</v>
      </c>
      <c r="K1431">
        <v>0.3081990564198315</v>
      </c>
      <c r="L1431">
        <v>0.823796916527002</v>
      </c>
      <c r="M1431">
        <v>243.37</v>
      </c>
      <c r="N1431">
        <v>183.77</v>
      </c>
    </row>
    <row r="1432" spans="1:14">
      <c r="A1432" s="1" t="s">
        <v>1444</v>
      </c>
      <c r="B1432">
        <f>HYPERLINK("https://www.suredividend.com/sure-analysis-IFF/","International Flavors &amp; Fragrances Inc.")</f>
        <v>0</v>
      </c>
      <c r="C1432" t="s">
        <v>3181</v>
      </c>
      <c r="D1432">
        <v>69.45</v>
      </c>
      <c r="E1432">
        <v>0.04665226781857452</v>
      </c>
      <c r="F1432">
        <v>0</v>
      </c>
      <c r="G1432">
        <v>0.0210157271173752</v>
      </c>
      <c r="H1432">
        <v>3.187556804347504</v>
      </c>
      <c r="I1432">
        <v>17727.293417</v>
      </c>
      <c r="J1432" t="s">
        <v>3182</v>
      </c>
      <c r="K1432" t="s">
        <v>3182</v>
      </c>
      <c r="L1432">
        <v>1.023981344683203</v>
      </c>
      <c r="M1432">
        <v>114.63</v>
      </c>
      <c r="N1432">
        <v>61.39</v>
      </c>
    </row>
    <row r="1433" spans="1:14">
      <c r="A1433" s="1" t="s">
        <v>1445</v>
      </c>
      <c r="B1433">
        <f>HYPERLINK("https://www.suredividend.com/sure-analysis-research-database/","Independence Holding Co.")</f>
        <v>0</v>
      </c>
      <c r="C1433" t="s">
        <v>3184</v>
      </c>
      <c r="D1433">
        <v>57.01</v>
      </c>
      <c r="E1433">
        <v>0.008747307487165</v>
      </c>
      <c r="F1433" t="s">
        <v>3182</v>
      </c>
      <c r="G1433" t="s">
        <v>3182</v>
      </c>
      <c r="H1433">
        <v>0.498683999843319</v>
      </c>
      <c r="I1433">
        <v>841.470108</v>
      </c>
      <c r="J1433">
        <v>8.01820104283196</v>
      </c>
      <c r="K1433">
        <v>0.06994165495698725</v>
      </c>
      <c r="L1433">
        <v>0.294151584909396</v>
      </c>
      <c r="M1433">
        <v>57.2</v>
      </c>
      <c r="N1433">
        <v>36.63</v>
      </c>
    </row>
    <row r="1434" spans="1:14">
      <c r="A1434" s="1" t="s">
        <v>1446</v>
      </c>
      <c r="B1434">
        <f>HYPERLINK("https://www.suredividend.com/sure-analysis-research-database/","Information Services Group Inc.")</f>
        <v>0</v>
      </c>
      <c r="C1434" t="s">
        <v>3185</v>
      </c>
      <c r="D1434">
        <v>4.12</v>
      </c>
      <c r="E1434">
        <v>0.04048393734373101</v>
      </c>
      <c r="F1434" t="s">
        <v>3182</v>
      </c>
      <c r="G1434" t="s">
        <v>3182</v>
      </c>
      <c r="H1434">
        <v>0.166793821856173</v>
      </c>
      <c r="I1434">
        <v>200.057708</v>
      </c>
      <c r="J1434">
        <v>0</v>
      </c>
      <c r="K1434" t="s">
        <v>3182</v>
      </c>
      <c r="L1434">
        <v>1.185221449870948</v>
      </c>
      <c r="M1434">
        <v>5.77</v>
      </c>
      <c r="N1434">
        <v>3.97</v>
      </c>
    </row>
    <row r="1435" spans="1:14">
      <c r="A1435" s="1" t="s">
        <v>1447</v>
      </c>
      <c r="B1435">
        <f>HYPERLINK("https://www.suredividend.com/sure-analysis-research-database/","Insteel Industries, Inc.")</f>
        <v>0</v>
      </c>
      <c r="C1435" t="s">
        <v>3183</v>
      </c>
      <c r="D1435">
        <v>28.33</v>
      </c>
      <c r="E1435">
        <v>0.004229671054702001</v>
      </c>
      <c r="F1435">
        <v>0</v>
      </c>
      <c r="G1435">
        <v>0</v>
      </c>
      <c r="H1435">
        <v>0.119826580979718</v>
      </c>
      <c r="I1435">
        <v>551.138903</v>
      </c>
      <c r="J1435">
        <v>17.00258838500694</v>
      </c>
      <c r="K1435">
        <v>0.07218468733717952</v>
      </c>
      <c r="L1435">
        <v>1.205251965603173</v>
      </c>
      <c r="M1435">
        <v>35.77</v>
      </c>
      <c r="N1435">
        <v>23.27</v>
      </c>
    </row>
    <row r="1436" spans="1:14">
      <c r="A1436" s="1" t="s">
        <v>1448</v>
      </c>
      <c r="B1436">
        <f>HYPERLINK("https://www.suredividend.com/sure-analysis-research-database/","i3 Verticals Inc")</f>
        <v>0</v>
      </c>
      <c r="C1436" t="s">
        <v>3185</v>
      </c>
      <c r="D1436">
        <v>19.5</v>
      </c>
      <c r="E1436">
        <v>0</v>
      </c>
      <c r="F1436" t="s">
        <v>3182</v>
      </c>
      <c r="G1436" t="s">
        <v>3182</v>
      </c>
      <c r="H1436">
        <v>0</v>
      </c>
      <c r="I1436">
        <v>453.311313</v>
      </c>
      <c r="J1436" t="s">
        <v>3182</v>
      </c>
      <c r="K1436">
        <v>-0</v>
      </c>
      <c r="L1436">
        <v>1.342441110710885</v>
      </c>
      <c r="M1436">
        <v>30.84</v>
      </c>
      <c r="N1436">
        <v>17.87</v>
      </c>
    </row>
    <row r="1437" spans="1:14">
      <c r="A1437" s="1" t="s">
        <v>1449</v>
      </c>
      <c r="B1437">
        <f>HYPERLINK("https://www.suredividend.com/sure-analysis-research-database/","IntriCon Corporation")</f>
        <v>0</v>
      </c>
      <c r="C1437" t="s">
        <v>3180</v>
      </c>
      <c r="D1437">
        <v>24.24</v>
      </c>
      <c r="E1437">
        <v>0</v>
      </c>
      <c r="F1437" t="s">
        <v>3182</v>
      </c>
      <c r="G1437" t="s">
        <v>3182</v>
      </c>
      <c r="H1437">
        <v>0</v>
      </c>
      <c r="I1437">
        <v>0</v>
      </c>
      <c r="J1437">
        <v>0</v>
      </c>
      <c r="K1437">
        <v>-0</v>
      </c>
    </row>
    <row r="1438" spans="1:14">
      <c r="A1438" s="1" t="s">
        <v>1450</v>
      </c>
      <c r="B1438">
        <f>HYPERLINK("https://www.suredividend.com/sure-analysis-IIPR/","Innovative Industrial Properties Inc")</f>
        <v>0</v>
      </c>
      <c r="C1438" t="s">
        <v>3187</v>
      </c>
      <c r="D1438">
        <v>77.66</v>
      </c>
      <c r="E1438">
        <v>0.09271182075714654</v>
      </c>
      <c r="F1438">
        <v>0</v>
      </c>
      <c r="G1438">
        <v>0.3875252405774463</v>
      </c>
      <c r="H1438">
        <v>6.949435999399588</v>
      </c>
      <c r="I1438">
        <v>2177.585002</v>
      </c>
      <c r="J1438">
        <v>13.66996868817366</v>
      </c>
      <c r="K1438">
        <v>1.229988672460104</v>
      </c>
      <c r="L1438">
        <v>1.445767680463886</v>
      </c>
      <c r="M1438">
        <v>114.61</v>
      </c>
      <c r="N1438">
        <v>60.4</v>
      </c>
    </row>
    <row r="1439" spans="1:14">
      <c r="A1439" s="1" t="s">
        <v>1451</v>
      </c>
      <c r="B1439">
        <f>HYPERLINK("https://www.suredividend.com/sure-analysis-research-database/","Coherent Corp")</f>
        <v>0</v>
      </c>
      <c r="C1439" t="s">
        <v>3185</v>
      </c>
      <c r="D1439">
        <v>227.08</v>
      </c>
      <c r="E1439">
        <v>0.026224498293438</v>
      </c>
      <c r="F1439" t="s">
        <v>3182</v>
      </c>
      <c r="G1439" t="s">
        <v>3182</v>
      </c>
      <c r="H1439">
        <v>5.955059072473991</v>
      </c>
      <c r="I1439">
        <v>7105.479173</v>
      </c>
      <c r="J1439">
        <v>42.66683784344338</v>
      </c>
      <c r="K1439">
        <v>4.164376973758036</v>
      </c>
      <c r="M1439">
        <v>242.95</v>
      </c>
      <c r="N1439">
        <v>121.15</v>
      </c>
    </row>
    <row r="1440" spans="1:14">
      <c r="A1440" s="1" t="s">
        <v>1452</v>
      </c>
      <c r="B1440">
        <f>HYPERLINK("https://www.suredividend.com/sure-analysis-research-database/","Illumina Inc")</f>
        <v>0</v>
      </c>
      <c r="C1440" t="s">
        <v>3180</v>
      </c>
      <c r="D1440">
        <v>112.26</v>
      </c>
      <c r="E1440">
        <v>0</v>
      </c>
      <c r="F1440" t="s">
        <v>3182</v>
      </c>
      <c r="G1440" t="s">
        <v>3182</v>
      </c>
      <c r="H1440">
        <v>0</v>
      </c>
      <c r="I1440">
        <v>17770.758</v>
      </c>
      <c r="J1440" t="s">
        <v>3182</v>
      </c>
      <c r="K1440">
        <v>-0</v>
      </c>
      <c r="L1440">
        <v>1.413735741047172</v>
      </c>
      <c r="M1440">
        <v>248.87</v>
      </c>
      <c r="N1440">
        <v>103.92</v>
      </c>
    </row>
    <row r="1441" spans="1:14">
      <c r="A1441" s="1" t="s">
        <v>1453</v>
      </c>
      <c r="B1441">
        <f>HYPERLINK("https://www.suredividend.com/sure-analysis-ILPT/","Industrial Logistics Properties Trust")</f>
        <v>0</v>
      </c>
      <c r="C1441" t="s">
        <v>3187</v>
      </c>
      <c r="D1441">
        <v>2.76</v>
      </c>
      <c r="E1441">
        <v>0.01449275362318841</v>
      </c>
      <c r="F1441">
        <v>0</v>
      </c>
      <c r="G1441">
        <v>-0.5030677163120735</v>
      </c>
      <c r="H1441">
        <v>0.0396697919578</v>
      </c>
      <c r="I1441">
        <v>181.728951</v>
      </c>
      <c r="J1441" t="s">
        <v>3182</v>
      </c>
      <c r="K1441" t="s">
        <v>3182</v>
      </c>
      <c r="L1441">
        <v>1.999191464182687</v>
      </c>
      <c r="M1441">
        <v>4.88</v>
      </c>
      <c r="N1441">
        <v>1.63</v>
      </c>
    </row>
    <row r="1442" spans="1:14">
      <c r="A1442" s="1" t="s">
        <v>1454</v>
      </c>
      <c r="B1442">
        <f>HYPERLINK("https://www.suredividend.com/sure-analysis-research-database/","iMedia Brands Inc")</f>
        <v>0</v>
      </c>
      <c r="C1442" t="s">
        <v>3186</v>
      </c>
      <c r="D1442">
        <v>0.11</v>
      </c>
      <c r="E1442">
        <v>0</v>
      </c>
      <c r="F1442" t="s">
        <v>3182</v>
      </c>
      <c r="G1442" t="s">
        <v>3182</v>
      </c>
      <c r="H1442">
        <v>0</v>
      </c>
      <c r="I1442">
        <v>0</v>
      </c>
      <c r="J1442">
        <v>0</v>
      </c>
      <c r="K1442">
        <v>-0</v>
      </c>
    </row>
    <row r="1443" spans="1:14">
      <c r="A1443" s="1" t="s">
        <v>1455</v>
      </c>
      <c r="B1443">
        <f>HYPERLINK("https://www.suredividend.com/sure-analysis-research-database/","Immunogen, Inc.")</f>
        <v>0</v>
      </c>
      <c r="C1443" t="s">
        <v>3180</v>
      </c>
      <c r="D1443">
        <v>15.5</v>
      </c>
      <c r="E1443">
        <v>0</v>
      </c>
      <c r="F1443" t="s">
        <v>3182</v>
      </c>
      <c r="G1443" t="s">
        <v>3182</v>
      </c>
      <c r="H1443">
        <v>0</v>
      </c>
      <c r="I1443">
        <v>3858.623103</v>
      </c>
      <c r="J1443" t="s">
        <v>3182</v>
      </c>
      <c r="K1443">
        <v>-0</v>
      </c>
      <c r="L1443">
        <v>0.628110871246349</v>
      </c>
      <c r="M1443">
        <v>20.69</v>
      </c>
      <c r="N1443">
        <v>3.61</v>
      </c>
    </row>
    <row r="1444" spans="1:14">
      <c r="A1444" s="1" t="s">
        <v>1456</v>
      </c>
      <c r="B1444">
        <f>HYPERLINK("https://www.suredividend.com/sure-analysis-research-database/","Impac Mortgage Holdings, Inc.")</f>
        <v>0</v>
      </c>
      <c r="C1444" t="s">
        <v>3184</v>
      </c>
      <c r="D1444">
        <v>0.2249</v>
      </c>
      <c r="E1444">
        <v>0</v>
      </c>
      <c r="F1444" t="s">
        <v>3182</v>
      </c>
      <c r="G1444" t="s">
        <v>3182</v>
      </c>
      <c r="H1444">
        <v>0</v>
      </c>
      <c r="I1444">
        <v>8.22434</v>
      </c>
      <c r="J1444" t="s">
        <v>3182</v>
      </c>
      <c r="K1444">
        <v>-0</v>
      </c>
      <c r="L1444">
        <v>0.9680639606954931</v>
      </c>
      <c r="M1444">
        <v>0.8815000000000001</v>
      </c>
      <c r="N1444">
        <v>0.12</v>
      </c>
    </row>
    <row r="1445" spans="1:14">
      <c r="A1445" s="1" t="s">
        <v>1457</v>
      </c>
      <c r="B1445">
        <f>HYPERLINK("https://www.suredividend.com/sure-analysis-research-database/","Ingles Markets, Inc.")</f>
        <v>0</v>
      </c>
      <c r="C1445" t="s">
        <v>3188</v>
      </c>
      <c r="D1445">
        <v>80.84</v>
      </c>
      <c r="E1445">
        <v>0.008115378114727</v>
      </c>
      <c r="F1445">
        <v>0</v>
      </c>
      <c r="G1445">
        <v>0</v>
      </c>
      <c r="H1445">
        <v>0.6560471667945811</v>
      </c>
      <c r="I1445">
        <v>1171.773779</v>
      </c>
      <c r="J1445">
        <v>5.131785155279872</v>
      </c>
      <c r="K1445">
        <v>0.05457963118091357</v>
      </c>
      <c r="L1445">
        <v>0.383425315200313</v>
      </c>
      <c r="M1445">
        <v>101.61</v>
      </c>
      <c r="N1445">
        <v>73.06999999999999</v>
      </c>
    </row>
    <row r="1446" spans="1:14">
      <c r="A1446" s="1" t="s">
        <v>1458</v>
      </c>
      <c r="B1446">
        <f>HYPERLINK("https://www.suredividend.com/sure-analysis-research-database/","Immersion Corp")</f>
        <v>0</v>
      </c>
      <c r="C1446" t="s">
        <v>3185</v>
      </c>
      <c r="D1446">
        <v>6.67</v>
      </c>
      <c r="E1446">
        <v>0.017818400593866</v>
      </c>
      <c r="F1446" t="s">
        <v>3182</v>
      </c>
      <c r="G1446" t="s">
        <v>3182</v>
      </c>
      <c r="H1446">
        <v>0.118848731961089</v>
      </c>
      <c r="I1446">
        <v>214.774</v>
      </c>
      <c r="J1446">
        <v>5.028305199822069</v>
      </c>
      <c r="K1446">
        <v>0.09213079996983645</v>
      </c>
      <c r="L1446">
        <v>0.8152039824408041</v>
      </c>
      <c r="M1446">
        <v>9.1</v>
      </c>
      <c r="N1446">
        <v>5.15</v>
      </c>
    </row>
    <row r="1447" spans="1:14">
      <c r="A1447" s="1" t="s">
        <v>1459</v>
      </c>
      <c r="B1447">
        <f>HYPERLINK("https://www.suredividend.com/sure-analysis-research-database/","Immunic Inc")</f>
        <v>0</v>
      </c>
      <c r="C1447" t="s">
        <v>3180</v>
      </c>
      <c r="D1447">
        <v>1.07</v>
      </c>
      <c r="E1447">
        <v>0</v>
      </c>
      <c r="F1447" t="s">
        <v>3182</v>
      </c>
      <c r="G1447" t="s">
        <v>3182</v>
      </c>
      <c r="H1447">
        <v>0</v>
      </c>
      <c r="I1447">
        <v>47.71706</v>
      </c>
      <c r="J1447">
        <v>0</v>
      </c>
      <c r="K1447" t="s">
        <v>3182</v>
      </c>
      <c r="L1447">
        <v>1.995361359647227</v>
      </c>
      <c r="M1447">
        <v>3.17</v>
      </c>
      <c r="N1447">
        <v>0.98</v>
      </c>
    </row>
    <row r="1448" spans="1:14">
      <c r="A1448" s="1" t="s">
        <v>1460</v>
      </c>
      <c r="B1448">
        <f>HYPERLINK("https://www.suredividend.com/sure-analysis-research-database/","International Money Express Inc.")</f>
        <v>0</v>
      </c>
      <c r="C1448" t="s">
        <v>3185</v>
      </c>
      <c r="D1448">
        <v>16.55</v>
      </c>
      <c r="E1448">
        <v>0</v>
      </c>
      <c r="F1448" t="s">
        <v>3182</v>
      </c>
      <c r="G1448" t="s">
        <v>3182</v>
      </c>
      <c r="H1448">
        <v>0</v>
      </c>
      <c r="I1448">
        <v>586.172749</v>
      </c>
      <c r="J1448">
        <v>10.30597164319496</v>
      </c>
      <c r="K1448">
        <v>0</v>
      </c>
      <c r="L1448">
        <v>0.707402599056554</v>
      </c>
      <c r="M1448">
        <v>28.24</v>
      </c>
      <c r="N1448">
        <v>15.76</v>
      </c>
    </row>
    <row r="1449" spans="1:14">
      <c r="A1449" s="1" t="s">
        <v>1461</v>
      </c>
      <c r="B1449">
        <f>HYPERLINK("https://www.suredividend.com/sure-analysis-research-database/","First Internet Bancorp")</f>
        <v>0</v>
      </c>
      <c r="C1449" t="s">
        <v>3184</v>
      </c>
      <c r="D1449">
        <v>17.08</v>
      </c>
      <c r="E1449">
        <v>0.013907689510942</v>
      </c>
      <c r="F1449">
        <v>0</v>
      </c>
      <c r="G1449">
        <v>0</v>
      </c>
      <c r="H1449">
        <v>0.237543336846894</v>
      </c>
      <c r="I1449">
        <v>148.893312</v>
      </c>
      <c r="J1449">
        <v>0</v>
      </c>
      <c r="K1449" t="s">
        <v>3182</v>
      </c>
      <c r="L1449">
        <v>1.504804690823722</v>
      </c>
      <c r="M1449">
        <v>27.65</v>
      </c>
      <c r="N1449">
        <v>9.529999999999999</v>
      </c>
    </row>
    <row r="1450" spans="1:14">
      <c r="A1450" s="1" t="s">
        <v>1462</v>
      </c>
      <c r="B1450">
        <f>HYPERLINK("https://www.suredividend.com/sure-analysis-research-database/","Incyte Corp.")</f>
        <v>0</v>
      </c>
      <c r="C1450" t="s">
        <v>3180</v>
      </c>
      <c r="D1450">
        <v>53.97</v>
      </c>
      <c r="E1450">
        <v>0</v>
      </c>
      <c r="F1450" t="s">
        <v>3182</v>
      </c>
      <c r="G1450" t="s">
        <v>3182</v>
      </c>
      <c r="H1450">
        <v>0</v>
      </c>
      <c r="I1450">
        <v>12094.012899</v>
      </c>
      <c r="J1450">
        <v>28.45777316903579</v>
      </c>
      <c r="K1450">
        <v>0</v>
      </c>
      <c r="L1450">
        <v>0.288457059564041</v>
      </c>
      <c r="M1450">
        <v>86.29000000000001</v>
      </c>
      <c r="N1450">
        <v>50.27</v>
      </c>
    </row>
    <row r="1451" spans="1:14">
      <c r="A1451" s="1" t="s">
        <v>1463</v>
      </c>
      <c r="B1451">
        <f>HYPERLINK("https://www.suredividend.com/sure-analysis-research-database/","Independent Bank Corp.")</f>
        <v>0</v>
      </c>
      <c r="C1451" t="s">
        <v>3184</v>
      </c>
      <c r="D1451">
        <v>52.4</v>
      </c>
      <c r="E1451">
        <v>0.04070878862836001</v>
      </c>
      <c r="F1451">
        <v>0.07843137254901977</v>
      </c>
      <c r="G1451">
        <v>0.07675232594309245</v>
      </c>
      <c r="H1451">
        <v>2.133140524126112</v>
      </c>
      <c r="I1451">
        <v>2312.69606</v>
      </c>
      <c r="J1451">
        <v>8.476661597838955</v>
      </c>
      <c r="K1451">
        <v>0.3531689609480317</v>
      </c>
      <c r="L1451">
        <v>0.9358823381426951</v>
      </c>
      <c r="M1451">
        <v>86.17</v>
      </c>
      <c r="N1451">
        <v>41.31</v>
      </c>
    </row>
    <row r="1452" spans="1:14">
      <c r="A1452" s="1" t="s">
        <v>1464</v>
      </c>
      <c r="B1452">
        <f>HYPERLINK("https://www.suredividend.com/sure-analysis-research-database/","Infinity Pharmaceuticals Inc.")</f>
        <v>0</v>
      </c>
      <c r="C1452" t="s">
        <v>3180</v>
      </c>
      <c r="D1452">
        <v>0.016</v>
      </c>
      <c r="E1452">
        <v>0</v>
      </c>
      <c r="F1452" t="s">
        <v>3182</v>
      </c>
      <c r="G1452" t="s">
        <v>3182</v>
      </c>
      <c r="H1452">
        <v>0</v>
      </c>
      <c r="I1452">
        <v>0</v>
      </c>
      <c r="J1452">
        <v>0</v>
      </c>
      <c r="K1452">
        <v>-0</v>
      </c>
    </row>
    <row r="1453" spans="1:14">
      <c r="A1453" s="1" t="s">
        <v>1465</v>
      </c>
      <c r="B1453">
        <f>HYPERLINK("https://www.suredividend.com/sure-analysis-research-database/","Infinera Corp.")</f>
        <v>0</v>
      </c>
      <c r="C1453" t="s">
        <v>3185</v>
      </c>
      <c r="D1453">
        <v>3.05</v>
      </c>
      <c r="E1453">
        <v>0</v>
      </c>
      <c r="F1453" t="s">
        <v>3182</v>
      </c>
      <c r="G1453" t="s">
        <v>3182</v>
      </c>
      <c r="H1453">
        <v>0</v>
      </c>
      <c r="I1453">
        <v>692.117499</v>
      </c>
      <c r="J1453" t="s">
        <v>3182</v>
      </c>
      <c r="K1453">
        <v>-0</v>
      </c>
      <c r="L1453">
        <v>1.469946945752374</v>
      </c>
      <c r="M1453">
        <v>7.8</v>
      </c>
      <c r="N1453">
        <v>2.82</v>
      </c>
    </row>
    <row r="1454" spans="1:14">
      <c r="A1454" s="1" t="s">
        <v>1466</v>
      </c>
      <c r="B1454">
        <f>HYPERLINK("https://www.suredividend.com/sure-analysis-research-database/","IHS Markit Ltd")</f>
        <v>0</v>
      </c>
      <c r="C1454" t="s">
        <v>3183</v>
      </c>
      <c r="D1454">
        <v>108.61</v>
      </c>
      <c r="E1454">
        <v>0.007346936805292001</v>
      </c>
      <c r="F1454" t="s">
        <v>3182</v>
      </c>
      <c r="G1454" t="s">
        <v>3182</v>
      </c>
      <c r="H1454">
        <v>0.797950806422791</v>
      </c>
      <c r="I1454">
        <v>45801.486922</v>
      </c>
      <c r="J1454">
        <v>37.95283967703016</v>
      </c>
      <c r="K1454">
        <v>0.2650999356886349</v>
      </c>
      <c r="M1454">
        <v>135.58</v>
      </c>
      <c r="N1454">
        <v>88.19</v>
      </c>
    </row>
    <row r="1455" spans="1:14">
      <c r="A1455" s="1" t="s">
        <v>1467</v>
      </c>
      <c r="B1455">
        <f>HYPERLINK("https://www.suredividend.com/sure-analysis-research-database/","InfuSystem Holdings Inc")</f>
        <v>0</v>
      </c>
      <c r="C1455" t="s">
        <v>3180</v>
      </c>
      <c r="D1455">
        <v>8.98</v>
      </c>
      <c r="E1455">
        <v>0</v>
      </c>
      <c r="F1455" t="s">
        <v>3182</v>
      </c>
      <c r="G1455" t="s">
        <v>3182</v>
      </c>
      <c r="H1455">
        <v>0</v>
      </c>
      <c r="I1455">
        <v>189.071709</v>
      </c>
      <c r="J1455">
        <v>0</v>
      </c>
      <c r="K1455" t="s">
        <v>3182</v>
      </c>
      <c r="L1455">
        <v>0.5902635332049181</v>
      </c>
      <c r="M1455">
        <v>11.44</v>
      </c>
      <c r="N1455">
        <v>6.68</v>
      </c>
    </row>
    <row r="1456" spans="1:14">
      <c r="A1456" s="1" t="s">
        <v>1468</v>
      </c>
      <c r="B1456">
        <f>HYPERLINK("https://www.suredividend.com/sure-analysis-research-database/","Inogen Inc")</f>
        <v>0</v>
      </c>
      <c r="C1456" t="s">
        <v>3180</v>
      </c>
      <c r="D1456">
        <v>5.13</v>
      </c>
      <c r="E1456">
        <v>0</v>
      </c>
      <c r="F1456" t="s">
        <v>3182</v>
      </c>
      <c r="G1456" t="s">
        <v>3182</v>
      </c>
      <c r="H1456">
        <v>0</v>
      </c>
      <c r="I1456">
        <v>118.987646</v>
      </c>
      <c r="J1456" t="s">
        <v>3182</v>
      </c>
      <c r="K1456">
        <v>-0</v>
      </c>
      <c r="L1456">
        <v>1.523052776483205</v>
      </c>
      <c r="M1456">
        <v>26.11</v>
      </c>
      <c r="N1456">
        <v>4.13</v>
      </c>
    </row>
    <row r="1457" spans="1:14">
      <c r="A1457" s="1" t="s">
        <v>1469</v>
      </c>
      <c r="B1457">
        <f>HYPERLINK("https://www.suredividend.com/sure-analysis-INGR/","Ingredion Inc")</f>
        <v>0</v>
      </c>
      <c r="C1457" t="s">
        <v>3188</v>
      </c>
      <c r="D1457">
        <v>94.89</v>
      </c>
      <c r="E1457">
        <v>0.03288017704710718</v>
      </c>
      <c r="F1457">
        <v>0.09859154929577474</v>
      </c>
      <c r="G1457">
        <v>0.0453047335816521</v>
      </c>
      <c r="H1457">
        <v>2.878659905777112</v>
      </c>
      <c r="I1457">
        <v>6276.065782</v>
      </c>
      <c r="J1457">
        <v>10.93391251264808</v>
      </c>
      <c r="K1457">
        <v>0.3355081475264699</v>
      </c>
      <c r="L1457">
        <v>0.501344366290386</v>
      </c>
      <c r="M1457">
        <v>111.8</v>
      </c>
      <c r="N1457">
        <v>88.88</v>
      </c>
    </row>
    <row r="1458" spans="1:14">
      <c r="A1458" s="1" t="s">
        <v>1470</v>
      </c>
      <c r="B1458">
        <f>HYPERLINK("https://www.suredividend.com/sure-analysis-research-database/","Summit Hotel Properties Inc")</f>
        <v>0</v>
      </c>
      <c r="C1458" t="s">
        <v>3187</v>
      </c>
      <c r="D1458">
        <v>6.14</v>
      </c>
      <c r="E1458">
        <v>0.032188793803837</v>
      </c>
      <c r="F1458" t="s">
        <v>3182</v>
      </c>
      <c r="G1458" t="s">
        <v>3182</v>
      </c>
      <c r="H1458">
        <v>0.197639193955564</v>
      </c>
      <c r="I1458">
        <v>660.533236</v>
      </c>
      <c r="J1458" t="s">
        <v>3182</v>
      </c>
      <c r="K1458" t="s">
        <v>3182</v>
      </c>
      <c r="L1458">
        <v>1.4479921107441</v>
      </c>
      <c r="M1458">
        <v>8.59</v>
      </c>
      <c r="N1458">
        <v>5.31</v>
      </c>
    </row>
    <row r="1459" spans="1:14">
      <c r="A1459" s="1" t="s">
        <v>1471</v>
      </c>
      <c r="B1459">
        <f>HYPERLINK("https://www.suredividend.com/sure-analysis-research-database/","Inovio Pharmaceuticals Inc")</f>
        <v>0</v>
      </c>
      <c r="C1459" t="s">
        <v>3180</v>
      </c>
      <c r="D1459">
        <v>0.39</v>
      </c>
      <c r="E1459">
        <v>0</v>
      </c>
      <c r="F1459" t="s">
        <v>3182</v>
      </c>
      <c r="G1459" t="s">
        <v>3182</v>
      </c>
      <c r="H1459">
        <v>0</v>
      </c>
      <c r="I1459">
        <v>104.549199</v>
      </c>
      <c r="J1459" t="s">
        <v>3182</v>
      </c>
      <c r="K1459">
        <v>-0</v>
      </c>
      <c r="L1459">
        <v>1.765519935593557</v>
      </c>
      <c r="M1459">
        <v>2.61</v>
      </c>
      <c r="N1459">
        <v>0.345</v>
      </c>
    </row>
    <row r="1460" spans="1:14">
      <c r="A1460" s="1" t="s">
        <v>1472</v>
      </c>
      <c r="B1460">
        <f>HYPERLINK("https://www.suredividend.com/sure-analysis-research-database/","Innodata Inc")</f>
        <v>0</v>
      </c>
      <c r="C1460" t="s">
        <v>3185</v>
      </c>
      <c r="D1460">
        <v>8.07</v>
      </c>
      <c r="E1460">
        <v>0</v>
      </c>
      <c r="F1460" t="s">
        <v>3182</v>
      </c>
      <c r="G1460" t="s">
        <v>3182</v>
      </c>
      <c r="H1460">
        <v>0</v>
      </c>
      <c r="I1460">
        <v>228.370517</v>
      </c>
      <c r="J1460" t="s">
        <v>3182</v>
      </c>
      <c r="K1460">
        <v>-0</v>
      </c>
      <c r="L1460">
        <v>2.43988646068635</v>
      </c>
      <c r="M1460">
        <v>15.36</v>
      </c>
      <c r="N1460">
        <v>2.8</v>
      </c>
    </row>
    <row r="1461" spans="1:14">
      <c r="A1461" s="1" t="s">
        <v>1473</v>
      </c>
      <c r="B1461">
        <f>HYPERLINK("https://www.suredividend.com/sure-analysis-research-database/","Innovator ETFs Trust")</f>
        <v>0</v>
      </c>
      <c r="C1461" t="s">
        <v>3180</v>
      </c>
      <c r="D1461">
        <v>25.4102</v>
      </c>
      <c r="E1461">
        <v>0</v>
      </c>
      <c r="F1461" t="s">
        <v>3182</v>
      </c>
      <c r="G1461" t="s">
        <v>3182</v>
      </c>
      <c r="H1461">
        <v>0</v>
      </c>
      <c r="I1461">
        <v>0</v>
      </c>
      <c r="J1461">
        <v>0</v>
      </c>
      <c r="K1461" t="s">
        <v>3182</v>
      </c>
      <c r="L1461" t="s">
        <v>3182</v>
      </c>
      <c r="M1461">
        <v>25.44</v>
      </c>
      <c r="N1461">
        <v>24.97</v>
      </c>
    </row>
    <row r="1462" spans="1:14">
      <c r="A1462" s="1" t="s">
        <v>1474</v>
      </c>
      <c r="B1462">
        <f>HYPERLINK("https://www.suredividend.com/sure-analysis-research-database/","Inpixon")</f>
        <v>0</v>
      </c>
      <c r="C1462" t="s">
        <v>3185</v>
      </c>
      <c r="D1462">
        <v>0.0819</v>
      </c>
      <c r="E1462">
        <v>0</v>
      </c>
      <c r="F1462" t="s">
        <v>3182</v>
      </c>
      <c r="G1462" t="s">
        <v>3182</v>
      </c>
      <c r="H1462">
        <v>0</v>
      </c>
      <c r="I1462">
        <v>5.900359</v>
      </c>
      <c r="J1462">
        <v>0</v>
      </c>
      <c r="K1462" t="s">
        <v>3182</v>
      </c>
      <c r="L1462">
        <v>2.568097414456946</v>
      </c>
      <c r="M1462">
        <v>1.65</v>
      </c>
      <c r="N1462">
        <v>0.0751</v>
      </c>
    </row>
    <row r="1463" spans="1:14">
      <c r="A1463" s="1" t="s">
        <v>1475</v>
      </c>
      <c r="B1463">
        <f>HYPERLINK("https://www.suredividend.com/sure-analysis-research-database/","CoreCard Corporation")</f>
        <v>0</v>
      </c>
      <c r="C1463" t="s">
        <v>3185</v>
      </c>
      <c r="D1463">
        <v>40.15</v>
      </c>
      <c r="E1463">
        <v>0</v>
      </c>
      <c r="F1463" t="s">
        <v>3182</v>
      </c>
      <c r="G1463" t="s">
        <v>3182</v>
      </c>
      <c r="H1463">
        <v>0</v>
      </c>
      <c r="I1463">
        <v>349.327845</v>
      </c>
      <c r="J1463">
        <v>0</v>
      </c>
      <c r="K1463" t="s">
        <v>3182</v>
      </c>
      <c r="L1463">
        <v>0.8549803835434201</v>
      </c>
      <c r="M1463">
        <v>54.58</v>
      </c>
      <c r="N1463">
        <v>30.52</v>
      </c>
    </row>
    <row r="1464" spans="1:14">
      <c r="A1464" s="1" t="s">
        <v>1476</v>
      </c>
      <c r="B1464">
        <f>HYPERLINK("https://www.suredividend.com/sure-analysis-research-database/","Inspired Entertainment Inc")</f>
        <v>0</v>
      </c>
      <c r="C1464" t="s">
        <v>3191</v>
      </c>
      <c r="D1464">
        <v>10.03</v>
      </c>
      <c r="E1464">
        <v>0</v>
      </c>
      <c r="F1464" t="s">
        <v>3182</v>
      </c>
      <c r="G1464" t="s">
        <v>3182</v>
      </c>
      <c r="H1464">
        <v>0</v>
      </c>
      <c r="I1464">
        <v>264.155958</v>
      </c>
      <c r="J1464">
        <v>0</v>
      </c>
      <c r="K1464" t="s">
        <v>3182</v>
      </c>
      <c r="L1464">
        <v>0.966107549107417</v>
      </c>
      <c r="M1464">
        <v>16.44</v>
      </c>
      <c r="N1464">
        <v>9.58</v>
      </c>
    </row>
    <row r="1465" spans="1:14">
      <c r="A1465" s="1" t="s">
        <v>1477</v>
      </c>
      <c r="B1465">
        <f>HYPERLINK("https://www.suredividend.com/sure-analysis-research-database/","Inseego Corp")</f>
        <v>0</v>
      </c>
      <c r="C1465" t="s">
        <v>3185</v>
      </c>
      <c r="D1465">
        <v>0.5208</v>
      </c>
      <c r="E1465">
        <v>0</v>
      </c>
      <c r="F1465" t="s">
        <v>3182</v>
      </c>
      <c r="G1465" t="s">
        <v>3182</v>
      </c>
      <c r="H1465">
        <v>0</v>
      </c>
      <c r="I1465">
        <v>60.867468</v>
      </c>
      <c r="J1465" t="s">
        <v>3182</v>
      </c>
      <c r="K1465">
        <v>-0</v>
      </c>
      <c r="L1465">
        <v>2.125100850472359</v>
      </c>
      <c r="M1465">
        <v>1.74</v>
      </c>
      <c r="N1465">
        <v>0.3</v>
      </c>
    </row>
    <row r="1466" spans="1:14">
      <c r="A1466" s="1" t="s">
        <v>1478</v>
      </c>
      <c r="B1466">
        <f>HYPERLINK("https://www.suredividend.com/sure-analysis-research-database/","Insmed Inc")</f>
        <v>0</v>
      </c>
      <c r="C1466" t="s">
        <v>3180</v>
      </c>
      <c r="D1466">
        <v>25.01</v>
      </c>
      <c r="E1466">
        <v>0</v>
      </c>
      <c r="F1466" t="s">
        <v>3182</v>
      </c>
      <c r="G1466" t="s">
        <v>3182</v>
      </c>
      <c r="H1466">
        <v>0</v>
      </c>
      <c r="I1466">
        <v>3577.982246</v>
      </c>
      <c r="J1466" t="s">
        <v>3182</v>
      </c>
      <c r="K1466">
        <v>-0</v>
      </c>
      <c r="L1466">
        <v>0.806799786266558</v>
      </c>
      <c r="M1466">
        <v>27.59</v>
      </c>
      <c r="N1466">
        <v>16.04</v>
      </c>
    </row>
    <row r="1467" spans="1:14">
      <c r="A1467" s="1" t="s">
        <v>1479</v>
      </c>
      <c r="B1467">
        <f>HYPERLINK("https://www.suredividend.com/sure-analysis-research-database/","Inspire Medical Systems Inc")</f>
        <v>0</v>
      </c>
      <c r="C1467" t="s">
        <v>3180</v>
      </c>
      <c r="D1467">
        <v>160.31</v>
      </c>
      <c r="E1467">
        <v>0</v>
      </c>
      <c r="F1467" t="s">
        <v>3182</v>
      </c>
      <c r="G1467" t="s">
        <v>3182</v>
      </c>
      <c r="H1467">
        <v>0</v>
      </c>
      <c r="I1467">
        <v>4702.811037</v>
      </c>
      <c r="J1467" t="s">
        <v>3182</v>
      </c>
      <c r="K1467">
        <v>-0</v>
      </c>
      <c r="L1467">
        <v>1.25959036801692</v>
      </c>
      <c r="M1467">
        <v>330</v>
      </c>
      <c r="N1467">
        <v>143.81</v>
      </c>
    </row>
    <row r="1468" spans="1:14">
      <c r="A1468" s="1" t="s">
        <v>1480</v>
      </c>
      <c r="B1468">
        <f>HYPERLINK("https://www.suredividend.com/sure-analysis-research-database/","Instructure Holdings Inc")</f>
        <v>0</v>
      </c>
      <c r="C1468" t="s">
        <v>3182</v>
      </c>
      <c r="D1468">
        <v>24.19</v>
      </c>
      <c r="E1468">
        <v>0</v>
      </c>
      <c r="F1468" t="s">
        <v>3182</v>
      </c>
      <c r="G1468" t="s">
        <v>3182</v>
      </c>
      <c r="H1468">
        <v>0</v>
      </c>
      <c r="I1468">
        <v>3483.135783</v>
      </c>
      <c r="J1468" t="s">
        <v>3182</v>
      </c>
      <c r="K1468">
        <v>-0</v>
      </c>
      <c r="L1468">
        <v>0.648373272618148</v>
      </c>
      <c r="M1468">
        <v>31.47</v>
      </c>
      <c r="N1468">
        <v>21.49</v>
      </c>
    </row>
    <row r="1469" spans="1:14">
      <c r="A1469" s="1" t="s">
        <v>1481</v>
      </c>
      <c r="B1469">
        <f>HYPERLINK("https://www.suredividend.com/sure-analysis-research-database/","International Seaways Inc")</f>
        <v>0</v>
      </c>
      <c r="C1469" t="s">
        <v>3183</v>
      </c>
      <c r="D1469">
        <v>49.67</v>
      </c>
      <c r="E1469">
        <v>0.103524432667663</v>
      </c>
      <c r="F1469">
        <v>-0.9361702127659575</v>
      </c>
      <c r="G1469">
        <v>0.1486983549970351</v>
      </c>
      <c r="H1469">
        <v>5.142058570602845</v>
      </c>
      <c r="I1469">
        <v>2428.3663</v>
      </c>
      <c r="J1469">
        <v>3.689119044255155</v>
      </c>
      <c r="K1469">
        <v>0.3886665586245537</v>
      </c>
      <c r="L1469">
        <v>0.359997691605318</v>
      </c>
      <c r="M1469">
        <v>52.79</v>
      </c>
      <c r="N1469">
        <v>32.75</v>
      </c>
    </row>
    <row r="1470" spans="1:14">
      <c r="A1470" s="1" t="s">
        <v>1482</v>
      </c>
      <c r="B1470">
        <f>HYPERLINK("https://www.suredividend.com/sure-analysis-INTC/","Intel Corp.")</f>
        <v>0</v>
      </c>
      <c r="C1470" t="s">
        <v>3185</v>
      </c>
      <c r="D1470">
        <v>37.7</v>
      </c>
      <c r="E1470">
        <v>0.01326259946949602</v>
      </c>
      <c r="F1470">
        <v>-0.6575342465753424</v>
      </c>
      <c r="G1470">
        <v>-0.1687725209943828</v>
      </c>
      <c r="H1470">
        <v>0.9636558050186421</v>
      </c>
      <c r="I1470">
        <v>158943.2</v>
      </c>
      <c r="J1470" t="s">
        <v>3182</v>
      </c>
      <c r="K1470" t="s">
        <v>3182</v>
      </c>
      <c r="L1470">
        <v>1.384671003130686</v>
      </c>
      <c r="M1470">
        <v>40.07</v>
      </c>
      <c r="N1470">
        <v>24.35</v>
      </c>
    </row>
    <row r="1471" spans="1:14">
      <c r="A1471" s="1" t="s">
        <v>1483</v>
      </c>
      <c r="B1471">
        <f>HYPERLINK("https://www.suredividend.com/sure-analysis-research-database/","Intergroup Corp.")</f>
        <v>0</v>
      </c>
      <c r="C1471" t="s">
        <v>3186</v>
      </c>
      <c r="D1471">
        <v>26.5</v>
      </c>
      <c r="E1471">
        <v>0</v>
      </c>
      <c r="F1471" t="s">
        <v>3182</v>
      </c>
      <c r="G1471" t="s">
        <v>3182</v>
      </c>
      <c r="H1471">
        <v>0</v>
      </c>
      <c r="I1471">
        <v>58.457066</v>
      </c>
      <c r="J1471">
        <v>0</v>
      </c>
      <c r="K1471" t="s">
        <v>3182</v>
      </c>
      <c r="M1471">
        <v>52.45</v>
      </c>
      <c r="N1471">
        <v>25.69</v>
      </c>
    </row>
    <row r="1472" spans="1:14">
      <c r="A1472" s="1" t="s">
        <v>1484</v>
      </c>
      <c r="B1472">
        <f>HYPERLINK("https://www.suredividend.com/sure-analysis-research-database/","Northern Lights Fund Trust IV")</f>
        <v>0</v>
      </c>
      <c r="C1472" t="s">
        <v>3184</v>
      </c>
      <c r="D1472">
        <v>20.015</v>
      </c>
      <c r="E1472">
        <v>0.015158631519886</v>
      </c>
      <c r="F1472" t="s">
        <v>3182</v>
      </c>
      <c r="G1472" t="s">
        <v>3182</v>
      </c>
      <c r="H1472">
        <v>0.303400009870529</v>
      </c>
      <c r="I1472">
        <v>96.072</v>
      </c>
      <c r="J1472">
        <v>0</v>
      </c>
      <c r="K1472" t="s">
        <v>3182</v>
      </c>
      <c r="L1472">
        <v>0.667738001442109</v>
      </c>
      <c r="M1472">
        <v>22.09</v>
      </c>
      <c r="N1472">
        <v>18.5</v>
      </c>
    </row>
    <row r="1473" spans="1:14">
      <c r="A1473" s="1" t="s">
        <v>1485</v>
      </c>
      <c r="B1473">
        <f>HYPERLINK("https://www.suredividend.com/sure-analysis-research-database/","Intest Corp.")</f>
        <v>0</v>
      </c>
      <c r="C1473" t="s">
        <v>3185</v>
      </c>
      <c r="D1473">
        <v>13.39</v>
      </c>
      <c r="E1473">
        <v>0</v>
      </c>
      <c r="F1473" t="s">
        <v>3182</v>
      </c>
      <c r="G1473" t="s">
        <v>3182</v>
      </c>
      <c r="H1473">
        <v>0</v>
      </c>
      <c r="I1473">
        <v>162.788336</v>
      </c>
      <c r="J1473">
        <v>0</v>
      </c>
      <c r="K1473" t="s">
        <v>3182</v>
      </c>
      <c r="L1473">
        <v>1.279111722645325</v>
      </c>
      <c r="M1473">
        <v>27.17</v>
      </c>
      <c r="N1473">
        <v>8.640000000000001</v>
      </c>
    </row>
    <row r="1474" spans="1:14">
      <c r="A1474" s="1" t="s">
        <v>1486</v>
      </c>
      <c r="B1474">
        <f>HYPERLINK("https://www.suredividend.com/sure-analysis-INTU/","Intuit Inc")</f>
        <v>0</v>
      </c>
      <c r="C1474" t="s">
        <v>3185</v>
      </c>
      <c r="D1474">
        <v>500.35</v>
      </c>
      <c r="E1474">
        <v>0.007194963525532128</v>
      </c>
      <c r="F1474">
        <v>0.1538461538461537</v>
      </c>
      <c r="G1474">
        <v>0.1387514167562081</v>
      </c>
      <c r="H1474">
        <v>3.22513038507129</v>
      </c>
      <c r="I1474">
        <v>140248.105</v>
      </c>
      <c r="J1474">
        <v>58.82890310402686</v>
      </c>
      <c r="K1474">
        <v>0.3830321122412458</v>
      </c>
      <c r="L1474">
        <v>1.689368234524127</v>
      </c>
      <c r="M1474">
        <v>556.7</v>
      </c>
      <c r="N1474">
        <v>348.86</v>
      </c>
    </row>
    <row r="1475" spans="1:14">
      <c r="A1475" s="1" t="s">
        <v>1487</v>
      </c>
      <c r="B1475">
        <f>HYPERLINK("https://www.suredividend.com/sure-analysis-research-database/","Inuvo Inc")</f>
        <v>0</v>
      </c>
      <c r="C1475" t="s">
        <v>3191</v>
      </c>
      <c r="D1475">
        <v>0.189</v>
      </c>
      <c r="E1475">
        <v>0</v>
      </c>
      <c r="F1475" t="s">
        <v>3182</v>
      </c>
      <c r="G1475" t="s">
        <v>3182</v>
      </c>
      <c r="H1475">
        <v>0</v>
      </c>
      <c r="I1475">
        <v>26.072237</v>
      </c>
      <c r="J1475">
        <v>0</v>
      </c>
      <c r="K1475" t="s">
        <v>3182</v>
      </c>
      <c r="L1475">
        <v>1.286213507123801</v>
      </c>
      <c r="M1475">
        <v>0.51</v>
      </c>
      <c r="N1475">
        <v>0.1228</v>
      </c>
    </row>
    <row r="1476" spans="1:14">
      <c r="A1476" s="1" t="s">
        <v>1488</v>
      </c>
      <c r="B1476">
        <f>HYPERLINK("https://www.suredividend.com/sure-analysis-research-database/","Innoviva Inc")</f>
        <v>0</v>
      </c>
      <c r="C1476" t="s">
        <v>3180</v>
      </c>
      <c r="D1476">
        <v>13.28</v>
      </c>
      <c r="E1476">
        <v>0</v>
      </c>
      <c r="F1476" t="s">
        <v>3182</v>
      </c>
      <c r="G1476" t="s">
        <v>3182</v>
      </c>
      <c r="H1476">
        <v>0</v>
      </c>
      <c r="I1476">
        <v>851.071044</v>
      </c>
      <c r="J1476">
        <v>3.647124300419105</v>
      </c>
      <c r="K1476">
        <v>0</v>
      </c>
      <c r="M1476">
        <v>13.9</v>
      </c>
      <c r="N1476">
        <v>10.64</v>
      </c>
    </row>
    <row r="1477" spans="1:14">
      <c r="A1477" s="1" t="s">
        <v>1489</v>
      </c>
      <c r="B1477">
        <f>HYPERLINK("https://www.suredividend.com/sure-analysis-research-database/","Identiv Inc")</f>
        <v>0</v>
      </c>
      <c r="C1477" t="s">
        <v>3185</v>
      </c>
      <c r="D1477">
        <v>6.04</v>
      </c>
      <c r="E1477">
        <v>0</v>
      </c>
      <c r="F1477" t="s">
        <v>3182</v>
      </c>
      <c r="G1477" t="s">
        <v>3182</v>
      </c>
      <c r="H1477">
        <v>0</v>
      </c>
      <c r="I1477">
        <v>139.704089</v>
      </c>
      <c r="J1477" t="s">
        <v>3182</v>
      </c>
      <c r="K1477">
        <v>-0</v>
      </c>
      <c r="L1477">
        <v>1.705403111347496</v>
      </c>
      <c r="M1477">
        <v>10.35</v>
      </c>
      <c r="N1477">
        <v>5.07</v>
      </c>
    </row>
    <row r="1478" spans="1:14">
      <c r="A1478" s="1" t="s">
        <v>1490</v>
      </c>
      <c r="B1478">
        <f>HYPERLINK("https://www.suredividend.com/sure-analysis-INVH/","Invitation Homes Inc")</f>
        <v>0</v>
      </c>
      <c r="C1478" t="s">
        <v>3187</v>
      </c>
      <c r="D1478">
        <v>30.78</v>
      </c>
      <c r="E1478">
        <v>0.03378817413905133</v>
      </c>
      <c r="F1478">
        <v>0.1818181818181819</v>
      </c>
      <c r="G1478">
        <v>0.1877256418249378</v>
      </c>
      <c r="H1478">
        <v>0.98913739027508</v>
      </c>
      <c r="I1478">
        <v>18836.074596</v>
      </c>
      <c r="J1478">
        <v>38.45415284509792</v>
      </c>
      <c r="K1478">
        <v>1.237659397241091</v>
      </c>
      <c r="L1478">
        <v>1.082574928361684</v>
      </c>
      <c r="M1478">
        <v>36.26</v>
      </c>
      <c r="N1478">
        <v>27.87</v>
      </c>
    </row>
    <row r="1479" spans="1:14">
      <c r="A1479" s="1" t="s">
        <v>1491</v>
      </c>
      <c r="B1479">
        <f>HYPERLINK("https://www.suredividend.com/sure-analysis-research-database/","ION Geophysical Corp")</f>
        <v>0</v>
      </c>
      <c r="C1479" t="s">
        <v>3189</v>
      </c>
      <c r="D1479">
        <v>0.345</v>
      </c>
      <c r="E1479">
        <v>0</v>
      </c>
      <c r="F1479" t="s">
        <v>3182</v>
      </c>
      <c r="G1479" t="s">
        <v>3182</v>
      </c>
      <c r="H1479">
        <v>0</v>
      </c>
      <c r="I1479">
        <v>10.217879</v>
      </c>
      <c r="J1479" t="s">
        <v>3182</v>
      </c>
      <c r="K1479">
        <v>-0</v>
      </c>
      <c r="L1479">
        <v>-0.03874677942113</v>
      </c>
      <c r="M1479">
        <v>2.67</v>
      </c>
      <c r="N1479">
        <v>0.3</v>
      </c>
    </row>
    <row r="1480" spans="1:14">
      <c r="A1480" s="1" t="s">
        <v>1492</v>
      </c>
      <c r="B1480">
        <f>HYPERLINK("https://www.suredividend.com/sure-analysis-research-database/","Ionis Pharmaceuticals Inc")</f>
        <v>0</v>
      </c>
      <c r="C1480" t="s">
        <v>3180</v>
      </c>
      <c r="D1480">
        <v>43.73</v>
      </c>
      <c r="E1480">
        <v>0</v>
      </c>
      <c r="F1480" t="s">
        <v>3182</v>
      </c>
      <c r="G1480" t="s">
        <v>3182</v>
      </c>
      <c r="H1480">
        <v>0</v>
      </c>
      <c r="I1480">
        <v>6257.763</v>
      </c>
      <c r="J1480" t="s">
        <v>3182</v>
      </c>
      <c r="K1480">
        <v>-0</v>
      </c>
      <c r="L1480">
        <v>0.560102568324795</v>
      </c>
      <c r="M1480">
        <v>48.75</v>
      </c>
      <c r="N1480">
        <v>32.69</v>
      </c>
    </row>
    <row r="1481" spans="1:14">
      <c r="A1481" s="1" t="s">
        <v>1493</v>
      </c>
      <c r="B1481">
        <f>HYPERLINK("https://www.suredividend.com/sure-analysis-research-database/","Income Opportunity Realty Investors, Inc.")</f>
        <v>0</v>
      </c>
      <c r="C1481" t="s">
        <v>3184</v>
      </c>
      <c r="D1481">
        <v>11.6</v>
      </c>
      <c r="E1481">
        <v>0</v>
      </c>
      <c r="F1481" t="s">
        <v>3182</v>
      </c>
      <c r="G1481" t="s">
        <v>3182</v>
      </c>
      <c r="H1481">
        <v>0</v>
      </c>
      <c r="I1481">
        <v>48.353602</v>
      </c>
      <c r="J1481">
        <v>0</v>
      </c>
      <c r="K1481" t="s">
        <v>3182</v>
      </c>
      <c r="M1481">
        <v>13.39</v>
      </c>
      <c r="N1481">
        <v>10.58</v>
      </c>
    </row>
    <row r="1482" spans="1:14">
      <c r="A1482" s="1" t="s">
        <v>1494</v>
      </c>
      <c r="B1482">
        <f>HYPERLINK("https://www.suredividend.com/sure-analysis-research-database/","Innospec Inc")</f>
        <v>0</v>
      </c>
      <c r="C1482" t="s">
        <v>3181</v>
      </c>
      <c r="D1482">
        <v>98.31999999999999</v>
      </c>
      <c r="E1482">
        <v>0.013536526987838</v>
      </c>
      <c r="F1482" t="s">
        <v>3182</v>
      </c>
      <c r="G1482" t="s">
        <v>3182</v>
      </c>
      <c r="H1482">
        <v>1.330911333444322</v>
      </c>
      <c r="I1482">
        <v>2444.823744</v>
      </c>
      <c r="J1482">
        <v>19.35727429548693</v>
      </c>
      <c r="K1482">
        <v>0.263546798701846</v>
      </c>
      <c r="L1482">
        <v>0.8183041235905011</v>
      </c>
      <c r="M1482">
        <v>114.38</v>
      </c>
      <c r="N1482">
        <v>91.73999999999999</v>
      </c>
    </row>
    <row r="1483" spans="1:14">
      <c r="A1483" s="1" t="s">
        <v>1495</v>
      </c>
      <c r="B1483">
        <f>HYPERLINK("https://www.suredividend.com/sure-analysis-research-database/","Iovance Biotherapeutics Inc")</f>
        <v>0</v>
      </c>
      <c r="C1483" t="s">
        <v>3180</v>
      </c>
      <c r="D1483">
        <v>3.88</v>
      </c>
      <c r="E1483">
        <v>0</v>
      </c>
      <c r="F1483" t="s">
        <v>3182</v>
      </c>
      <c r="G1483" t="s">
        <v>3182</v>
      </c>
      <c r="H1483">
        <v>0</v>
      </c>
      <c r="I1483">
        <v>961.373414</v>
      </c>
      <c r="J1483">
        <v>0</v>
      </c>
      <c r="K1483" t="s">
        <v>3182</v>
      </c>
      <c r="L1483">
        <v>1.102920104125366</v>
      </c>
      <c r="M1483">
        <v>9.359999999999999</v>
      </c>
      <c r="N1483">
        <v>3.21</v>
      </c>
    </row>
    <row r="1484" spans="1:14">
      <c r="A1484" s="1" t="s">
        <v>1496</v>
      </c>
      <c r="B1484">
        <f>HYPERLINK("https://www.suredividend.com/sure-analysis-IP/","International Paper Co.")</f>
        <v>0</v>
      </c>
      <c r="C1484" t="s">
        <v>3186</v>
      </c>
      <c r="D1484">
        <v>34.05</v>
      </c>
      <c r="E1484">
        <v>0.05433186490455214</v>
      </c>
      <c r="F1484">
        <v>0</v>
      </c>
      <c r="G1484">
        <v>-0.01547137760036332</v>
      </c>
      <c r="H1484">
        <v>1.813165617699556</v>
      </c>
      <c r="I1484">
        <v>11781.889508</v>
      </c>
      <c r="J1484">
        <v>46.38539176240158</v>
      </c>
      <c r="K1484">
        <v>2.508530184974483</v>
      </c>
      <c r="L1484">
        <v>0.875391361091268</v>
      </c>
      <c r="M1484">
        <v>40.26</v>
      </c>
      <c r="N1484">
        <v>28.63</v>
      </c>
    </row>
    <row r="1485" spans="1:14">
      <c r="A1485" s="1" t="s">
        <v>1497</v>
      </c>
      <c r="B1485">
        <f>HYPERLINK("https://www.suredividend.com/sure-analysis-IPAR/","Inter Parfums, Inc.")</f>
        <v>0</v>
      </c>
      <c r="C1485" t="s">
        <v>3188</v>
      </c>
      <c r="D1485">
        <v>127.85</v>
      </c>
      <c r="E1485">
        <v>0.01955416503715291</v>
      </c>
      <c r="F1485" t="s">
        <v>3182</v>
      </c>
      <c r="G1485" t="s">
        <v>3182</v>
      </c>
      <c r="H1485">
        <v>2.345975420890508</v>
      </c>
      <c r="I1485">
        <v>4088.08941</v>
      </c>
      <c r="J1485">
        <v>27.80199947974402</v>
      </c>
      <c r="K1485">
        <v>0.5122217076180148</v>
      </c>
      <c r="L1485">
        <v>0.9118118239827321</v>
      </c>
      <c r="M1485">
        <v>158.19</v>
      </c>
      <c r="N1485">
        <v>75.52</v>
      </c>
    </row>
    <row r="1486" spans="1:14">
      <c r="A1486" s="1" t="s">
        <v>1498</v>
      </c>
      <c r="B1486">
        <f>HYPERLINK("https://www.suredividend.com/sure-analysis-IPG/","Interpublic Group Of Cos., Inc.")</f>
        <v>0</v>
      </c>
      <c r="C1486" t="s">
        <v>3191</v>
      </c>
      <c r="D1486">
        <v>29.08</v>
      </c>
      <c r="E1486">
        <v>0.04264099037138927</v>
      </c>
      <c r="F1486">
        <v>0.06896551724137945</v>
      </c>
      <c r="G1486">
        <v>0.08100693430783124</v>
      </c>
      <c r="H1486">
        <v>1.208952682747923</v>
      </c>
      <c r="I1486">
        <v>11137.760129</v>
      </c>
      <c r="J1486">
        <v>11.94525968412698</v>
      </c>
      <c r="K1486">
        <v>0.5037302844783014</v>
      </c>
      <c r="L1486">
        <v>0.917879841012991</v>
      </c>
      <c r="M1486">
        <v>40.56</v>
      </c>
      <c r="N1486">
        <v>27.2</v>
      </c>
    </row>
    <row r="1487" spans="1:14">
      <c r="A1487" s="1" t="s">
        <v>1499</v>
      </c>
      <c r="B1487">
        <f>HYPERLINK("https://www.suredividend.com/sure-analysis-research-database/","IPG Photonics Corp")</f>
        <v>0</v>
      </c>
      <c r="C1487" t="s">
        <v>3185</v>
      </c>
      <c r="D1487">
        <v>88.16</v>
      </c>
      <c r="E1487">
        <v>0</v>
      </c>
      <c r="F1487" t="s">
        <v>3182</v>
      </c>
      <c r="G1487" t="s">
        <v>3182</v>
      </c>
      <c r="H1487">
        <v>0</v>
      </c>
      <c r="I1487">
        <v>4136.683545</v>
      </c>
      <c r="J1487">
        <v>48.92299148057477</v>
      </c>
      <c r="K1487">
        <v>0</v>
      </c>
      <c r="L1487">
        <v>1.142114066418938</v>
      </c>
      <c r="M1487">
        <v>141.85</v>
      </c>
      <c r="N1487">
        <v>83</v>
      </c>
    </row>
    <row r="1488" spans="1:14">
      <c r="A1488" s="1" t="s">
        <v>1500</v>
      </c>
      <c r="B1488">
        <f>HYPERLINK("https://www.suredividend.com/sure-analysis-research-database/","Inphi Corp")</f>
        <v>0</v>
      </c>
      <c r="C1488" t="s">
        <v>3185</v>
      </c>
      <c r="D1488">
        <v>172.27</v>
      </c>
      <c r="E1488">
        <v>0</v>
      </c>
      <c r="F1488" t="s">
        <v>3182</v>
      </c>
      <c r="G1488" t="s">
        <v>3182</v>
      </c>
      <c r="H1488">
        <v>0</v>
      </c>
      <c r="I1488">
        <v>0</v>
      </c>
      <c r="J1488">
        <v>0</v>
      </c>
      <c r="K1488">
        <v>-0</v>
      </c>
    </row>
    <row r="1489" spans="1:14">
      <c r="A1489" s="1" t="s">
        <v>1501</v>
      </c>
      <c r="B1489">
        <f>HYPERLINK("https://www.suredividend.com/sure-analysis-research-database/","Intrepid Potash Inc")</f>
        <v>0</v>
      </c>
      <c r="C1489" t="s">
        <v>3181</v>
      </c>
      <c r="D1489">
        <v>20.71</v>
      </c>
      <c r="E1489">
        <v>0</v>
      </c>
      <c r="F1489" t="s">
        <v>3182</v>
      </c>
      <c r="G1489" t="s">
        <v>3182</v>
      </c>
      <c r="H1489">
        <v>0</v>
      </c>
      <c r="I1489">
        <v>272.59465</v>
      </c>
      <c r="J1489">
        <v>10.52448361646268</v>
      </c>
      <c r="K1489">
        <v>0</v>
      </c>
      <c r="L1489">
        <v>1.254358971873534</v>
      </c>
      <c r="M1489">
        <v>38.63</v>
      </c>
      <c r="N1489">
        <v>17.23</v>
      </c>
    </row>
    <row r="1490" spans="1:14">
      <c r="A1490" s="1" t="s">
        <v>1502</v>
      </c>
      <c r="B1490">
        <f>HYPERLINK("https://www.suredividend.com/sure-analysis-research-database/","Ideal Power Inc")</f>
        <v>0</v>
      </c>
      <c r="C1490" t="s">
        <v>3183</v>
      </c>
      <c r="D1490">
        <v>7.74</v>
      </c>
      <c r="E1490">
        <v>0</v>
      </c>
      <c r="F1490" t="s">
        <v>3182</v>
      </c>
      <c r="G1490" t="s">
        <v>3182</v>
      </c>
      <c r="H1490">
        <v>0</v>
      </c>
      <c r="I1490">
        <v>45.963665</v>
      </c>
      <c r="J1490">
        <v>0</v>
      </c>
      <c r="K1490" t="s">
        <v>3182</v>
      </c>
      <c r="M1490">
        <v>14.48</v>
      </c>
      <c r="N1490">
        <v>7.01</v>
      </c>
    </row>
    <row r="1491" spans="1:14">
      <c r="A1491" s="1" t="s">
        <v>1503</v>
      </c>
      <c r="B1491">
        <f>HYPERLINK("https://www.suredividend.com/sure-analysis-research-database/","IQVIA Holdings Inc")</f>
        <v>0</v>
      </c>
      <c r="C1491" t="s">
        <v>3180</v>
      </c>
      <c r="D1491">
        <v>190.46</v>
      </c>
      <c r="E1491">
        <v>0</v>
      </c>
      <c r="F1491" t="s">
        <v>3182</v>
      </c>
      <c r="G1491" t="s">
        <v>3182</v>
      </c>
      <c r="H1491">
        <v>0</v>
      </c>
      <c r="I1491">
        <v>34873.226</v>
      </c>
      <c r="J1491">
        <v>31.81863686131387</v>
      </c>
      <c r="K1491">
        <v>0</v>
      </c>
      <c r="L1491">
        <v>1.23262789878868</v>
      </c>
      <c r="M1491">
        <v>241.86</v>
      </c>
      <c r="N1491">
        <v>167.42</v>
      </c>
    </row>
    <row r="1492" spans="1:14">
      <c r="A1492" s="1" t="s">
        <v>1504</v>
      </c>
      <c r="B1492">
        <f>HYPERLINK("https://www.suredividend.com/sure-analysis-research-database/","Ingersoll-Rand Inc")</f>
        <v>0</v>
      </c>
      <c r="C1492" t="s">
        <v>3183</v>
      </c>
      <c r="D1492">
        <v>65.59</v>
      </c>
      <c r="E1492">
        <v>0.001219115671222</v>
      </c>
      <c r="F1492" t="s">
        <v>3182</v>
      </c>
      <c r="G1492" t="s">
        <v>3182</v>
      </c>
      <c r="H1492">
        <v>0.07996179687551501</v>
      </c>
      <c r="I1492">
        <v>26524.560778</v>
      </c>
      <c r="J1492">
        <v>37.72516111245911</v>
      </c>
      <c r="K1492">
        <v>0.04648941678809012</v>
      </c>
      <c r="L1492">
        <v>1.112217038421567</v>
      </c>
      <c r="M1492">
        <v>70.65000000000001</v>
      </c>
      <c r="N1492">
        <v>50.7</v>
      </c>
    </row>
    <row r="1493" spans="1:14">
      <c r="A1493" s="1" t="s">
        <v>1505</v>
      </c>
      <c r="B1493">
        <f>HYPERLINK("https://www.suredividend.com/sure-analysis-research-database/","Irobot Corp")</f>
        <v>0</v>
      </c>
      <c r="C1493" t="s">
        <v>3185</v>
      </c>
      <c r="D1493">
        <v>32.4</v>
      </c>
      <c r="E1493">
        <v>0</v>
      </c>
      <c r="F1493" t="s">
        <v>3182</v>
      </c>
      <c r="G1493" t="s">
        <v>3182</v>
      </c>
      <c r="H1493">
        <v>0</v>
      </c>
      <c r="I1493">
        <v>897.357301</v>
      </c>
      <c r="J1493" t="s">
        <v>3182</v>
      </c>
      <c r="K1493">
        <v>-0</v>
      </c>
      <c r="L1493">
        <v>0.21025568720978</v>
      </c>
      <c r="M1493">
        <v>55.93</v>
      </c>
      <c r="N1493">
        <v>31.37</v>
      </c>
    </row>
    <row r="1494" spans="1:14">
      <c r="A1494" s="1" t="s">
        <v>1506</v>
      </c>
      <c r="B1494">
        <f>HYPERLINK("https://www.suredividend.com/sure-analysis-research-database/","Iridium Communications Inc")</f>
        <v>0</v>
      </c>
      <c r="C1494" t="s">
        <v>3191</v>
      </c>
      <c r="D1494">
        <v>37.9</v>
      </c>
      <c r="E1494">
        <v>0.010245991082025</v>
      </c>
      <c r="F1494" t="s">
        <v>3182</v>
      </c>
      <c r="G1494" t="s">
        <v>3182</v>
      </c>
      <c r="H1494">
        <v>0.388323062008777</v>
      </c>
      <c r="I1494">
        <v>4693.936451</v>
      </c>
      <c r="J1494" t="s">
        <v>3182</v>
      </c>
      <c r="K1494" t="s">
        <v>3182</v>
      </c>
      <c r="L1494">
        <v>0.783012106658859</v>
      </c>
      <c r="M1494">
        <v>67.83</v>
      </c>
      <c r="N1494">
        <v>35.78</v>
      </c>
    </row>
    <row r="1495" spans="1:14">
      <c r="A1495" s="1" t="s">
        <v>1507</v>
      </c>
      <c r="B1495">
        <f>HYPERLINK("https://www.suredividend.com/sure-analysis-research-database/","Investors Real Estate Trust")</f>
        <v>0</v>
      </c>
      <c r="C1495" t="s">
        <v>3187</v>
      </c>
      <c r="D1495">
        <v>70.42</v>
      </c>
      <c r="E1495">
        <v>0.03912306331134</v>
      </c>
      <c r="F1495" t="s">
        <v>3182</v>
      </c>
      <c r="G1495" t="s">
        <v>3182</v>
      </c>
      <c r="H1495">
        <v>2.755046118384602</v>
      </c>
      <c r="I1495">
        <v>913.762596</v>
      </c>
      <c r="J1495">
        <v>17.86506992101353</v>
      </c>
      <c r="K1495">
        <v>0.7327250314852665</v>
      </c>
      <c r="L1495">
        <v>0.9203056496162351</v>
      </c>
      <c r="M1495">
        <v>81.90000000000001</v>
      </c>
      <c r="N1495">
        <v>43.43</v>
      </c>
    </row>
    <row r="1496" spans="1:14">
      <c r="A1496" s="1" t="s">
        <v>1508</v>
      </c>
      <c r="B1496">
        <f>HYPERLINK("https://www.suredividend.com/sure-analysis-research-database/","IRIDEX Corp.")</f>
        <v>0</v>
      </c>
      <c r="C1496" t="s">
        <v>3180</v>
      </c>
      <c r="D1496">
        <v>2.21</v>
      </c>
      <c r="E1496">
        <v>0</v>
      </c>
      <c r="F1496" t="s">
        <v>3182</v>
      </c>
      <c r="G1496" t="s">
        <v>3182</v>
      </c>
      <c r="H1496">
        <v>0</v>
      </c>
      <c r="I1496">
        <v>35.866318</v>
      </c>
      <c r="J1496">
        <v>0</v>
      </c>
      <c r="K1496" t="s">
        <v>3182</v>
      </c>
      <c r="L1496">
        <v>0.463073749663398</v>
      </c>
      <c r="M1496">
        <v>3.48</v>
      </c>
      <c r="N1496">
        <v>1.31</v>
      </c>
    </row>
    <row r="1497" spans="1:14">
      <c r="A1497" s="1" t="s">
        <v>1509</v>
      </c>
      <c r="B1497">
        <f>HYPERLINK("https://www.suredividend.com/sure-analysis-IRM/","Iron Mountain Inc.")</f>
        <v>0</v>
      </c>
      <c r="C1497" t="s">
        <v>3187</v>
      </c>
      <c r="D1497">
        <v>59.35</v>
      </c>
      <c r="E1497">
        <v>0.04380791912384162</v>
      </c>
      <c r="F1497">
        <v>0.05092966855295056</v>
      </c>
      <c r="G1497">
        <v>0.01245196889366262</v>
      </c>
      <c r="H1497">
        <v>2.465835310514059</v>
      </c>
      <c r="I1497">
        <v>17321.440474</v>
      </c>
      <c r="J1497">
        <v>45.66565730972028</v>
      </c>
      <c r="K1497">
        <v>1.911500240708573</v>
      </c>
      <c r="L1497">
        <v>1.015714048969209</v>
      </c>
      <c r="M1497">
        <v>64.48</v>
      </c>
      <c r="N1497">
        <v>45.95</v>
      </c>
    </row>
    <row r="1498" spans="1:14">
      <c r="A1498" s="1" t="s">
        <v>1510</v>
      </c>
      <c r="B1498">
        <f>HYPERLINK("https://www.suredividend.com/sure-analysis-research-database/","Iradimed Corp")</f>
        <v>0</v>
      </c>
      <c r="C1498" t="s">
        <v>3180</v>
      </c>
      <c r="D1498">
        <v>41</v>
      </c>
      <c r="E1498">
        <v>0.025609754934543</v>
      </c>
      <c r="F1498" t="s">
        <v>3182</v>
      </c>
      <c r="G1498" t="s">
        <v>3182</v>
      </c>
      <c r="H1498">
        <v>1.049999952316284</v>
      </c>
      <c r="I1498">
        <v>516.709593</v>
      </c>
      <c r="J1498">
        <v>35.18231639012032</v>
      </c>
      <c r="K1498">
        <v>0.9051723726864518</v>
      </c>
      <c r="L1498">
        <v>0.762592963439035</v>
      </c>
      <c r="M1498">
        <v>51.04</v>
      </c>
      <c r="N1498">
        <v>26.55</v>
      </c>
    </row>
    <row r="1499" spans="1:14">
      <c r="A1499" s="1" t="s">
        <v>1511</v>
      </c>
      <c r="B1499">
        <f>HYPERLINK("https://www.suredividend.com/sure-analysis-research-database/","IF Bancorp Inc")</f>
        <v>0</v>
      </c>
      <c r="C1499" t="s">
        <v>3184</v>
      </c>
      <c r="D1499">
        <v>14.25</v>
      </c>
      <c r="E1499">
        <v>0.027688512014175</v>
      </c>
      <c r="F1499" t="s">
        <v>3182</v>
      </c>
      <c r="G1499" t="s">
        <v>3182</v>
      </c>
      <c r="H1499">
        <v>0.394561296202002</v>
      </c>
      <c r="I1499">
        <v>47.803421</v>
      </c>
      <c r="J1499">
        <v>0</v>
      </c>
      <c r="K1499" t="s">
        <v>3182</v>
      </c>
      <c r="M1499">
        <v>18.2</v>
      </c>
      <c r="N1499">
        <v>13.38</v>
      </c>
    </row>
    <row r="1500" spans="1:14">
      <c r="A1500" s="1" t="s">
        <v>1512</v>
      </c>
      <c r="B1500">
        <f>HYPERLINK("https://www.suredividend.com/sure-analysis-IRT/","Independence Realty Trust Inc")</f>
        <v>0</v>
      </c>
      <c r="C1500" t="s">
        <v>3187</v>
      </c>
      <c r="D1500">
        <v>13.08</v>
      </c>
      <c r="E1500">
        <v>0.04892966360856269</v>
      </c>
      <c r="F1500">
        <v>0.1428571428571428</v>
      </c>
      <c r="G1500">
        <v>-0.02328131613882611</v>
      </c>
      <c r="H1500">
        <v>0.591322504621139</v>
      </c>
      <c r="I1500">
        <v>2939.214962</v>
      </c>
      <c r="J1500">
        <v>51.63946312098106</v>
      </c>
      <c r="K1500">
        <v>2.341871305430253</v>
      </c>
      <c r="L1500">
        <v>1.192432365692065</v>
      </c>
      <c r="M1500">
        <v>19.11</v>
      </c>
      <c r="N1500">
        <v>11.61</v>
      </c>
    </row>
    <row r="1501" spans="1:14">
      <c r="A1501" s="1" t="s">
        <v>1513</v>
      </c>
      <c r="B1501">
        <f>HYPERLINK("https://www.suredividend.com/sure-analysis-research-database/","iRhythm Technologies Inc")</f>
        <v>0</v>
      </c>
      <c r="C1501" t="s">
        <v>3180</v>
      </c>
      <c r="D1501">
        <v>79.16</v>
      </c>
      <c r="E1501">
        <v>0</v>
      </c>
      <c r="F1501" t="s">
        <v>3182</v>
      </c>
      <c r="G1501" t="s">
        <v>3182</v>
      </c>
      <c r="H1501">
        <v>0</v>
      </c>
      <c r="I1501">
        <v>2420.516404</v>
      </c>
      <c r="J1501" t="s">
        <v>3182</v>
      </c>
      <c r="K1501">
        <v>-0</v>
      </c>
      <c r="L1501">
        <v>1.046445812268465</v>
      </c>
      <c r="M1501">
        <v>140.23</v>
      </c>
      <c r="N1501">
        <v>72.42</v>
      </c>
    </row>
    <row r="1502" spans="1:14">
      <c r="A1502" s="1" t="s">
        <v>1514</v>
      </c>
      <c r="B1502">
        <f>HYPERLINK("https://www.suredividend.com/sure-analysis-research-database/","Ironwood Pharmaceuticals Inc")</f>
        <v>0</v>
      </c>
      <c r="C1502" t="s">
        <v>3180</v>
      </c>
      <c r="D1502">
        <v>8.99</v>
      </c>
      <c r="E1502">
        <v>0</v>
      </c>
      <c r="F1502" t="s">
        <v>3182</v>
      </c>
      <c r="G1502" t="s">
        <v>3182</v>
      </c>
      <c r="H1502">
        <v>0</v>
      </c>
      <c r="I1502">
        <v>1402.702382</v>
      </c>
      <c r="J1502" t="s">
        <v>3182</v>
      </c>
      <c r="K1502">
        <v>-0</v>
      </c>
      <c r="L1502">
        <v>0.6168006764327361</v>
      </c>
      <c r="M1502">
        <v>12.66</v>
      </c>
      <c r="N1502">
        <v>8.07</v>
      </c>
    </row>
    <row r="1503" spans="1:14">
      <c r="A1503" s="1" t="s">
        <v>1515</v>
      </c>
      <c r="B1503">
        <f>HYPERLINK("https://www.suredividend.com/sure-analysis-research-database/","Investors Bancorp Inc")</f>
        <v>0</v>
      </c>
      <c r="C1503" t="s">
        <v>3184</v>
      </c>
      <c r="D1503">
        <v>13.87</v>
      </c>
      <c r="E1503">
        <v>0</v>
      </c>
      <c r="F1503" t="s">
        <v>3182</v>
      </c>
      <c r="G1503" t="s">
        <v>3182</v>
      </c>
      <c r="H1503">
        <v>0.57999999821186</v>
      </c>
      <c r="I1503">
        <v>0</v>
      </c>
      <c r="J1503">
        <v>0</v>
      </c>
      <c r="K1503">
        <v>0.4360902242194436</v>
      </c>
    </row>
    <row r="1504" spans="1:14">
      <c r="A1504" s="1" t="s">
        <v>1516</v>
      </c>
      <c r="B1504">
        <f>HYPERLINK("https://www.suredividend.com/sure-analysis-research-database/","Issuer Direct Corp")</f>
        <v>0</v>
      </c>
      <c r="C1504" t="s">
        <v>3185</v>
      </c>
      <c r="D1504">
        <v>18.599</v>
      </c>
      <c r="E1504">
        <v>0</v>
      </c>
      <c r="F1504" t="s">
        <v>3182</v>
      </c>
      <c r="G1504" t="s">
        <v>3182</v>
      </c>
      <c r="H1504">
        <v>0</v>
      </c>
      <c r="I1504">
        <v>70.846362</v>
      </c>
      <c r="J1504">
        <v>0</v>
      </c>
      <c r="K1504" t="s">
        <v>3182</v>
      </c>
      <c r="M1504">
        <v>29.2</v>
      </c>
      <c r="N1504">
        <v>16.74</v>
      </c>
    </row>
    <row r="1505" spans="1:14">
      <c r="A1505" s="1" t="s">
        <v>1517</v>
      </c>
      <c r="B1505">
        <f>HYPERLINK("https://www.suredividend.com/sure-analysis-research-database/","IVERIC bio Inc")</f>
        <v>0</v>
      </c>
      <c r="C1505" t="s">
        <v>3180</v>
      </c>
      <c r="D1505">
        <v>39.95</v>
      </c>
      <c r="E1505">
        <v>0</v>
      </c>
      <c r="F1505" t="s">
        <v>3182</v>
      </c>
      <c r="G1505" t="s">
        <v>3182</v>
      </c>
      <c r="H1505">
        <v>0</v>
      </c>
      <c r="I1505">
        <v>0</v>
      </c>
      <c r="J1505">
        <v>0</v>
      </c>
      <c r="K1505" t="s">
        <v>3182</v>
      </c>
    </row>
    <row r="1506" spans="1:14">
      <c r="A1506" s="1" t="s">
        <v>1518</v>
      </c>
      <c r="B1506">
        <f>HYPERLINK("https://www.suredividend.com/sure-analysis-research-database/","Image Sensing Systems, Inc.")</f>
        <v>0</v>
      </c>
      <c r="C1506" t="s">
        <v>3185</v>
      </c>
      <c r="D1506">
        <v>6.44</v>
      </c>
      <c r="E1506">
        <v>0.018633539956178</v>
      </c>
      <c r="F1506" t="s">
        <v>3182</v>
      </c>
      <c r="G1506" t="s">
        <v>3182</v>
      </c>
      <c r="H1506">
        <v>0.11999999731779</v>
      </c>
      <c r="I1506">
        <v>34.48193</v>
      </c>
      <c r="J1506">
        <v>0</v>
      </c>
      <c r="K1506" t="s">
        <v>3182</v>
      </c>
      <c r="M1506">
        <v>11.41</v>
      </c>
      <c r="N1506">
        <v>3.35</v>
      </c>
    </row>
    <row r="1507" spans="1:14">
      <c r="A1507" s="1" t="s">
        <v>1519</v>
      </c>
      <c r="B1507">
        <f>HYPERLINK("https://www.suredividend.com/sure-analysis-research-database/","Intuitive Surgical Inc")</f>
        <v>0</v>
      </c>
      <c r="C1507" t="s">
        <v>3180</v>
      </c>
      <c r="D1507">
        <v>277.89</v>
      </c>
      <c r="E1507">
        <v>0</v>
      </c>
      <c r="F1507" t="s">
        <v>3182</v>
      </c>
      <c r="G1507" t="s">
        <v>3182</v>
      </c>
      <c r="H1507">
        <v>0</v>
      </c>
      <c r="I1507">
        <v>97837.174701</v>
      </c>
      <c r="J1507">
        <v>64.50660954762313</v>
      </c>
      <c r="K1507">
        <v>0</v>
      </c>
      <c r="L1507">
        <v>1.236430611333359</v>
      </c>
      <c r="M1507">
        <v>358.07</v>
      </c>
      <c r="N1507">
        <v>222.65</v>
      </c>
    </row>
    <row r="1508" spans="1:14">
      <c r="A1508" s="1" t="s">
        <v>1520</v>
      </c>
      <c r="B1508">
        <f>HYPERLINK("https://www.suredividend.com/sure-analysis-research-database/","Israel Acquisitions Corp")</f>
        <v>0</v>
      </c>
      <c r="C1508" t="s">
        <v>3182</v>
      </c>
      <c r="D1508">
        <v>10.61</v>
      </c>
      <c r="E1508">
        <v>0</v>
      </c>
      <c r="F1508" t="s">
        <v>3182</v>
      </c>
      <c r="G1508" t="s">
        <v>3182</v>
      </c>
      <c r="H1508">
        <v>0</v>
      </c>
      <c r="I1508">
        <v>160.608875</v>
      </c>
      <c r="J1508">
        <v>0</v>
      </c>
      <c r="K1508" t="s">
        <v>3182</v>
      </c>
      <c r="M1508">
        <v>11.51</v>
      </c>
      <c r="N1508">
        <v>10.13</v>
      </c>
    </row>
    <row r="1509" spans="1:14">
      <c r="A1509" s="1" t="s">
        <v>1521</v>
      </c>
      <c r="B1509">
        <f>HYPERLINK("https://www.suredividend.com/sure-analysis-research-database/","Innovative Solutions And Support Inc")</f>
        <v>0</v>
      </c>
      <c r="C1509" t="s">
        <v>3183</v>
      </c>
      <c r="D1509">
        <v>7.3</v>
      </c>
      <c r="E1509">
        <v>0</v>
      </c>
      <c r="F1509" t="s">
        <v>3182</v>
      </c>
      <c r="G1509" t="s">
        <v>3182</v>
      </c>
      <c r="H1509">
        <v>0</v>
      </c>
      <c r="I1509">
        <v>127.363027</v>
      </c>
      <c r="J1509">
        <v>25.49754710057378</v>
      </c>
      <c r="K1509">
        <v>0</v>
      </c>
      <c r="L1509">
        <v>0.356820403322042</v>
      </c>
      <c r="M1509">
        <v>9.52</v>
      </c>
      <c r="N1509">
        <v>6.11</v>
      </c>
    </row>
    <row r="1510" spans="1:14">
      <c r="A1510" s="1" t="s">
        <v>1522</v>
      </c>
      <c r="B1510">
        <f>HYPERLINK("https://www.suredividend.com/sure-analysis-research-database/","Investar Holding Corp")</f>
        <v>0</v>
      </c>
      <c r="C1510" t="s">
        <v>3184</v>
      </c>
      <c r="D1510">
        <v>10.61</v>
      </c>
      <c r="E1510">
        <v>0.035913257573609</v>
      </c>
      <c r="F1510">
        <v>0.05263157894736836</v>
      </c>
      <c r="G1510">
        <v>0.137543830351883</v>
      </c>
      <c r="H1510">
        <v>0.3810396628559981</v>
      </c>
      <c r="I1510">
        <v>104.309372</v>
      </c>
      <c r="J1510">
        <v>0</v>
      </c>
      <c r="K1510" t="s">
        <v>3182</v>
      </c>
      <c r="L1510">
        <v>0.575494579134177</v>
      </c>
      <c r="M1510">
        <v>21.47</v>
      </c>
      <c r="N1510">
        <v>9.09</v>
      </c>
    </row>
    <row r="1511" spans="1:14">
      <c r="A1511" s="1" t="s">
        <v>1523</v>
      </c>
      <c r="B1511">
        <f>HYPERLINK("https://www.suredividend.com/sure-analysis-research-database/","Gartner, Inc.")</f>
        <v>0</v>
      </c>
      <c r="C1511" t="s">
        <v>3185</v>
      </c>
      <c r="D1511">
        <v>337.59</v>
      </c>
      <c r="E1511">
        <v>0</v>
      </c>
      <c r="F1511" t="s">
        <v>3182</v>
      </c>
      <c r="G1511" t="s">
        <v>3182</v>
      </c>
      <c r="H1511">
        <v>0</v>
      </c>
      <c r="I1511">
        <v>26610.606695</v>
      </c>
      <c r="J1511">
        <v>28.79359294403177</v>
      </c>
      <c r="K1511">
        <v>0</v>
      </c>
      <c r="L1511">
        <v>0.8959234767795361</v>
      </c>
      <c r="M1511">
        <v>377.88</v>
      </c>
      <c r="N1511">
        <v>292.6</v>
      </c>
    </row>
    <row r="1512" spans="1:14">
      <c r="A1512" s="1" t="s">
        <v>1524</v>
      </c>
      <c r="B1512">
        <f>HYPERLINK("https://www.suredividend.com/sure-analysis-research-database/","Intra-Cellular Therapies Inc")</f>
        <v>0</v>
      </c>
      <c r="C1512" t="s">
        <v>3180</v>
      </c>
      <c r="D1512">
        <v>52.38</v>
      </c>
      <c r="E1512">
        <v>0</v>
      </c>
      <c r="F1512" t="s">
        <v>3182</v>
      </c>
      <c r="G1512" t="s">
        <v>3182</v>
      </c>
      <c r="H1512">
        <v>0</v>
      </c>
      <c r="I1512">
        <v>5024.58298</v>
      </c>
      <c r="J1512">
        <v>0</v>
      </c>
      <c r="K1512" t="s">
        <v>3182</v>
      </c>
      <c r="L1512">
        <v>0.700873803888971</v>
      </c>
      <c r="M1512">
        <v>67.05</v>
      </c>
      <c r="N1512">
        <v>42.01</v>
      </c>
    </row>
    <row r="1513" spans="1:14">
      <c r="A1513" s="1" t="s">
        <v>1525</v>
      </c>
      <c r="B1513">
        <f>HYPERLINK("https://www.suredividend.com/sure-analysis-research-database/","Integer Holdings Corp")</f>
        <v>0</v>
      </c>
      <c r="C1513" t="s">
        <v>3180</v>
      </c>
      <c r="D1513">
        <v>83.72</v>
      </c>
      <c r="E1513">
        <v>0</v>
      </c>
      <c r="F1513" t="s">
        <v>3182</v>
      </c>
      <c r="G1513" t="s">
        <v>3182</v>
      </c>
      <c r="H1513">
        <v>0</v>
      </c>
      <c r="I1513">
        <v>2790.106887</v>
      </c>
      <c r="J1513">
        <v>33.85641168353355</v>
      </c>
      <c r="K1513">
        <v>0</v>
      </c>
      <c r="L1513">
        <v>0.8207549207438031</v>
      </c>
      <c r="M1513">
        <v>96.17</v>
      </c>
      <c r="N1513">
        <v>61.85</v>
      </c>
    </row>
    <row r="1514" spans="1:14">
      <c r="A1514" s="1" t="s">
        <v>1526</v>
      </c>
      <c r="B1514">
        <f>HYPERLINK("https://www.suredividend.com/sure-analysis-research-database/","Iteris Inc.")</f>
        <v>0</v>
      </c>
      <c r="C1514" t="s">
        <v>3185</v>
      </c>
      <c r="D1514">
        <v>4.425</v>
      </c>
      <c r="E1514">
        <v>0</v>
      </c>
      <c r="F1514" t="s">
        <v>3182</v>
      </c>
      <c r="G1514" t="s">
        <v>3182</v>
      </c>
      <c r="H1514">
        <v>0</v>
      </c>
      <c r="I1514">
        <v>189.132217</v>
      </c>
      <c r="J1514">
        <v>0</v>
      </c>
      <c r="K1514" t="s">
        <v>3182</v>
      </c>
      <c r="L1514">
        <v>0.4655490057070311</v>
      </c>
      <c r="M1514">
        <v>5</v>
      </c>
      <c r="N1514">
        <v>2.62</v>
      </c>
    </row>
    <row r="1515" spans="1:14">
      <c r="A1515" s="1" t="s">
        <v>1527</v>
      </c>
      <c r="B1515">
        <f>HYPERLINK("https://www.suredividend.com/sure-analysis-research-database/","Investors Title Co.")</f>
        <v>0</v>
      </c>
      <c r="C1515" t="s">
        <v>3184</v>
      </c>
      <c r="D1515">
        <v>146.84</v>
      </c>
      <c r="E1515">
        <v>0.012418983656343</v>
      </c>
      <c r="F1515">
        <v>-0.8466666666666667</v>
      </c>
      <c r="G1515">
        <v>0.02834672210021361</v>
      </c>
      <c r="H1515">
        <v>1.823603560097429</v>
      </c>
      <c r="I1515">
        <v>277.619081</v>
      </c>
      <c r="J1515">
        <v>0</v>
      </c>
      <c r="K1515" t="s">
        <v>3182</v>
      </c>
      <c r="M1515">
        <v>165.11</v>
      </c>
      <c r="N1515">
        <v>127.71</v>
      </c>
    </row>
    <row r="1516" spans="1:14">
      <c r="A1516" s="1" t="s">
        <v>1528</v>
      </c>
      <c r="B1516">
        <f>HYPERLINK("https://www.suredividend.com/sure-analysis-research-database/","Itron Inc.")</f>
        <v>0</v>
      </c>
      <c r="C1516" t="s">
        <v>3185</v>
      </c>
      <c r="D1516">
        <v>64.09999999999999</v>
      </c>
      <c r="E1516">
        <v>0</v>
      </c>
      <c r="F1516" t="s">
        <v>3182</v>
      </c>
      <c r="G1516" t="s">
        <v>3182</v>
      </c>
      <c r="H1516">
        <v>0</v>
      </c>
      <c r="I1516">
        <v>2914.000615</v>
      </c>
      <c r="J1516">
        <v>75.30884929963301</v>
      </c>
      <c r="K1516">
        <v>0</v>
      </c>
      <c r="L1516">
        <v>1.277133621469043</v>
      </c>
      <c r="M1516">
        <v>79.98999999999999</v>
      </c>
      <c r="N1516">
        <v>43.47</v>
      </c>
    </row>
    <row r="1517" spans="1:14">
      <c r="A1517" s="1" t="s">
        <v>1529</v>
      </c>
      <c r="B1517">
        <f>HYPERLINK("https://www.suredividend.com/sure-analysis-ITT/","ITT Inc")</f>
        <v>0</v>
      </c>
      <c r="C1517" t="s">
        <v>3183</v>
      </c>
      <c r="D1517">
        <v>99.76000000000001</v>
      </c>
      <c r="E1517">
        <v>0.01162790697674418</v>
      </c>
      <c r="F1517">
        <v>0.0984848484848484</v>
      </c>
      <c r="G1517">
        <v>0.1669671742705283</v>
      </c>
      <c r="H1517">
        <v>1.12892163318944</v>
      </c>
      <c r="I1517">
        <v>8190.296</v>
      </c>
      <c r="J1517">
        <v>19.23507750117426</v>
      </c>
      <c r="K1517">
        <v>0.220062696528156</v>
      </c>
      <c r="L1517">
        <v>1.33515718968662</v>
      </c>
      <c r="M1517">
        <v>103.96</v>
      </c>
      <c r="N1517">
        <v>72.16</v>
      </c>
    </row>
    <row r="1518" spans="1:14">
      <c r="A1518" s="1" t="s">
        <v>1530</v>
      </c>
      <c r="B1518">
        <f>HYPERLINK("https://www.suredividend.com/sure-analysis-ITW/","Illinois Tool Works, Inc.")</f>
        <v>0</v>
      </c>
      <c r="C1518" t="s">
        <v>3183</v>
      </c>
      <c r="D1518">
        <v>231.71</v>
      </c>
      <c r="E1518">
        <v>0.0241681412109965</v>
      </c>
      <c r="F1518">
        <v>0.06870229007633566</v>
      </c>
      <c r="G1518">
        <v>0.06961037572506878</v>
      </c>
      <c r="H1518">
        <v>5.285486696037967</v>
      </c>
      <c r="I1518">
        <v>69718.267255</v>
      </c>
      <c r="J1518">
        <v>22.15388219091198</v>
      </c>
      <c r="K1518">
        <v>0.5126563235730327</v>
      </c>
      <c r="L1518">
        <v>0.9998063648826181</v>
      </c>
      <c r="M1518">
        <v>262.6</v>
      </c>
      <c r="N1518">
        <v>206.12</v>
      </c>
    </row>
    <row r="1519" spans="1:14">
      <c r="A1519" s="1" t="s">
        <v>1531</v>
      </c>
      <c r="B1519">
        <f>HYPERLINK("https://www.suredividend.com/sure-analysis-research-database/","Intevac, Inc.")</f>
        <v>0</v>
      </c>
      <c r="C1519" t="s">
        <v>3183</v>
      </c>
      <c r="D1519">
        <v>3.48</v>
      </c>
      <c r="E1519">
        <v>0</v>
      </c>
      <c r="F1519" t="s">
        <v>3182</v>
      </c>
      <c r="G1519" t="s">
        <v>3182</v>
      </c>
      <c r="H1519">
        <v>0</v>
      </c>
      <c r="I1519">
        <v>91.533278</v>
      </c>
      <c r="J1519" t="s">
        <v>3182</v>
      </c>
      <c r="K1519">
        <v>-0</v>
      </c>
      <c r="L1519">
        <v>0.332938820217119</v>
      </c>
      <c r="M1519">
        <v>7.54</v>
      </c>
      <c r="N1519">
        <v>3.07</v>
      </c>
    </row>
    <row r="1520" spans="1:14">
      <c r="A1520" s="1" t="s">
        <v>1532</v>
      </c>
      <c r="B1520">
        <f>HYPERLINK("https://www.suredividend.com/sure-analysis-research-database/","Invacare Corp.")</f>
        <v>0</v>
      </c>
      <c r="C1520" t="s">
        <v>3180</v>
      </c>
      <c r="D1520">
        <v>0.6598000000000001</v>
      </c>
      <c r="E1520">
        <v>0</v>
      </c>
      <c r="F1520" t="s">
        <v>3182</v>
      </c>
      <c r="G1520" t="s">
        <v>3182</v>
      </c>
      <c r="H1520">
        <v>0</v>
      </c>
      <c r="I1520">
        <v>24.91031</v>
      </c>
      <c r="J1520" t="s">
        <v>3182</v>
      </c>
      <c r="K1520">
        <v>-0</v>
      </c>
      <c r="M1520">
        <v>2.53</v>
      </c>
      <c r="N1520">
        <v>0.33</v>
      </c>
    </row>
    <row r="1521" spans="1:14">
      <c r="A1521" s="1" t="s">
        <v>1533</v>
      </c>
      <c r="B1521">
        <f>HYPERLINK("https://www.suredividend.com/sure-analysis-research-database/","Invesco Mortgage Capital Inc")</f>
        <v>0</v>
      </c>
      <c r="C1521" t="s">
        <v>3187</v>
      </c>
      <c r="D1521">
        <v>7.66</v>
      </c>
      <c r="E1521">
        <v>0.225942375327852</v>
      </c>
      <c r="F1521">
        <v>-0.3846153846153846</v>
      </c>
      <c r="G1521">
        <v>-0.02328131613882611</v>
      </c>
      <c r="H1521">
        <v>1.730718595011348</v>
      </c>
      <c r="I1521">
        <v>341.481751</v>
      </c>
      <c r="J1521" t="s">
        <v>3182</v>
      </c>
      <c r="K1521" t="s">
        <v>3182</v>
      </c>
      <c r="L1521">
        <v>1.308151741860788</v>
      </c>
      <c r="M1521">
        <v>13.85</v>
      </c>
      <c r="N1521">
        <v>6.34</v>
      </c>
    </row>
    <row r="1522" spans="1:14">
      <c r="A1522" s="1" t="s">
        <v>1534</v>
      </c>
      <c r="B1522">
        <f>HYPERLINK("https://www.suredividend.com/sure-analysis-IVZ/","Invesco Ltd")</f>
        <v>0</v>
      </c>
      <c r="C1522" t="s">
        <v>3184</v>
      </c>
      <c r="D1522">
        <v>13.54</v>
      </c>
      <c r="E1522">
        <v>0.05908419497784343</v>
      </c>
      <c r="F1522">
        <v>0.06666666666666665</v>
      </c>
      <c r="G1522">
        <v>-0.07789208851827223</v>
      </c>
      <c r="H1522">
        <v>0.759704476647576</v>
      </c>
      <c r="I1522">
        <v>6086.966562</v>
      </c>
      <c r="J1522">
        <v>10.20618135892019</v>
      </c>
      <c r="K1522">
        <v>0.5799270814103633</v>
      </c>
      <c r="L1522">
        <v>1.723982111296865</v>
      </c>
      <c r="M1522">
        <v>19.87</v>
      </c>
      <c r="N1522">
        <v>12.48</v>
      </c>
    </row>
    <row r="1523" spans="1:14">
      <c r="A1523" s="1" t="s">
        <v>1535</v>
      </c>
      <c r="B1523">
        <f>HYPERLINK("https://www.suredividend.com/sure-analysis-research-database/","IZEA Worldwide Inc")</f>
        <v>0</v>
      </c>
      <c r="C1523" t="s">
        <v>3191</v>
      </c>
      <c r="D1523">
        <v>2.28</v>
      </c>
      <c r="E1523">
        <v>0</v>
      </c>
      <c r="F1523" t="s">
        <v>3182</v>
      </c>
      <c r="G1523" t="s">
        <v>3182</v>
      </c>
      <c r="H1523">
        <v>0</v>
      </c>
      <c r="I1523">
        <v>35.084795</v>
      </c>
      <c r="J1523">
        <v>0</v>
      </c>
      <c r="K1523" t="s">
        <v>3182</v>
      </c>
      <c r="L1523">
        <v>0.486668254079791</v>
      </c>
      <c r="M1523">
        <v>3.28</v>
      </c>
      <c r="N1523">
        <v>1.86</v>
      </c>
    </row>
    <row r="1524" spans="1:14">
      <c r="A1524" s="1" t="s">
        <v>1536</v>
      </c>
      <c r="B1524">
        <f>HYPERLINK("https://www.suredividend.com/sure-analysis-JACK/","Jack In The Box, Inc.")</f>
        <v>0</v>
      </c>
      <c r="C1524" t="s">
        <v>3186</v>
      </c>
      <c r="D1524">
        <v>64.39</v>
      </c>
      <c r="E1524">
        <v>0.02733343686907905</v>
      </c>
      <c r="F1524" t="s">
        <v>3182</v>
      </c>
      <c r="G1524" t="s">
        <v>3182</v>
      </c>
      <c r="H1524">
        <v>1.734981905639522</v>
      </c>
      <c r="I1524">
        <v>1294.751802</v>
      </c>
      <c r="J1524">
        <v>8.364732193013625</v>
      </c>
      <c r="K1524">
        <v>0.2344570142756111</v>
      </c>
      <c r="L1524">
        <v>0.7014902242084781</v>
      </c>
      <c r="M1524">
        <v>98.5</v>
      </c>
      <c r="N1524">
        <v>60.43</v>
      </c>
    </row>
    <row r="1525" spans="1:14">
      <c r="A1525" s="1" t="s">
        <v>1537</v>
      </c>
      <c r="B1525">
        <f>HYPERLINK("https://www.suredividend.com/sure-analysis-research-database/","Jaguar Health Inc")</f>
        <v>0</v>
      </c>
      <c r="C1525" t="s">
        <v>3180</v>
      </c>
      <c r="D1525">
        <v>0.32</v>
      </c>
      <c r="E1525">
        <v>0</v>
      </c>
      <c r="F1525" t="s">
        <v>3182</v>
      </c>
      <c r="G1525" t="s">
        <v>3182</v>
      </c>
      <c r="H1525">
        <v>0</v>
      </c>
      <c r="I1525">
        <v>6.11751</v>
      </c>
      <c r="J1525" t="s">
        <v>3182</v>
      </c>
      <c r="K1525">
        <v>-0</v>
      </c>
      <c r="L1525">
        <v>1.236787106619014</v>
      </c>
      <c r="M1525">
        <v>11.99</v>
      </c>
      <c r="N1525">
        <v>0.21</v>
      </c>
    </row>
    <row r="1526" spans="1:14">
      <c r="A1526" s="1" t="s">
        <v>1538</v>
      </c>
      <c r="B1526">
        <f>HYPERLINK("https://www.suredividend.com/sure-analysis-research-database/","Jakks Pacific Inc.")</f>
        <v>0</v>
      </c>
      <c r="C1526" t="s">
        <v>3186</v>
      </c>
      <c r="D1526">
        <v>23</v>
      </c>
      <c r="E1526">
        <v>0</v>
      </c>
      <c r="F1526" t="s">
        <v>3182</v>
      </c>
      <c r="G1526" t="s">
        <v>3182</v>
      </c>
      <c r="H1526">
        <v>0</v>
      </c>
      <c r="I1526">
        <v>231.685072</v>
      </c>
      <c r="J1526">
        <v>3.389934479479113</v>
      </c>
      <c r="K1526">
        <v>0</v>
      </c>
      <c r="L1526">
        <v>1.562571523553447</v>
      </c>
      <c r="M1526">
        <v>24.61</v>
      </c>
      <c r="N1526">
        <v>13.67</v>
      </c>
    </row>
    <row r="1527" spans="1:14">
      <c r="A1527" s="1" t="s">
        <v>1539</v>
      </c>
      <c r="B1527">
        <f>HYPERLINK("https://www.suredividend.com/sure-analysis-research-database/","J. Alexanders Holdings Inc")</f>
        <v>0</v>
      </c>
      <c r="C1527" t="s">
        <v>3186</v>
      </c>
      <c r="D1527">
        <v>14</v>
      </c>
      <c r="E1527">
        <v>0</v>
      </c>
      <c r="F1527" t="s">
        <v>3182</v>
      </c>
      <c r="G1527" t="s">
        <v>3182</v>
      </c>
      <c r="H1527">
        <v>0</v>
      </c>
      <c r="I1527">
        <v>211.118502</v>
      </c>
      <c r="J1527">
        <v>27.05260148641722</v>
      </c>
      <c r="K1527">
        <v>0</v>
      </c>
      <c r="L1527">
        <v>0.655588971458805</v>
      </c>
      <c r="M1527">
        <v>14</v>
      </c>
      <c r="N1527">
        <v>5.12</v>
      </c>
    </row>
    <row r="1528" spans="1:14">
      <c r="A1528" s="1" t="s">
        <v>1540</v>
      </c>
      <c r="B1528">
        <f>HYPERLINK("https://www.suredividend.com/sure-analysis-research-database/","Jazz Pharmaceuticals plc")</f>
        <v>0</v>
      </c>
      <c r="C1528" t="s">
        <v>3180</v>
      </c>
      <c r="D1528">
        <v>128.84</v>
      </c>
      <c r="E1528">
        <v>0</v>
      </c>
      <c r="F1528" t="s">
        <v>3182</v>
      </c>
      <c r="G1528" t="s">
        <v>3182</v>
      </c>
      <c r="H1528">
        <v>0</v>
      </c>
      <c r="I1528">
        <v>8129.804</v>
      </c>
      <c r="J1528" t="s">
        <v>3182</v>
      </c>
      <c r="K1528">
        <v>-0</v>
      </c>
      <c r="L1528">
        <v>0.7125717218787141</v>
      </c>
      <c r="M1528">
        <v>160.96</v>
      </c>
      <c r="N1528">
        <v>120.64</v>
      </c>
    </row>
    <row r="1529" spans="1:14">
      <c r="A1529" s="1" t="s">
        <v>1541</v>
      </c>
      <c r="B1529">
        <f>HYPERLINK("https://www.suredividend.com/sure-analysis-research-database/","JBG SMITH Properties")</f>
        <v>0</v>
      </c>
      <c r="C1529" t="s">
        <v>3187</v>
      </c>
      <c r="D1529">
        <v>13.61</v>
      </c>
      <c r="E1529">
        <v>0.08074467025578201</v>
      </c>
      <c r="F1529">
        <v>0</v>
      </c>
      <c r="G1529">
        <v>0.1760790225246736</v>
      </c>
      <c r="H1529">
        <v>1.098934962181197</v>
      </c>
      <c r="I1529">
        <v>1407.80924</v>
      </c>
      <c r="J1529" t="s">
        <v>3182</v>
      </c>
      <c r="K1529" t="s">
        <v>3182</v>
      </c>
      <c r="L1529">
        <v>1.249460434039444</v>
      </c>
      <c r="M1529">
        <v>20.29</v>
      </c>
      <c r="N1529">
        <v>12.72</v>
      </c>
    </row>
    <row r="1530" spans="1:14">
      <c r="A1530" s="1" t="s">
        <v>1542</v>
      </c>
      <c r="B1530">
        <f>HYPERLINK("https://www.suredividend.com/sure-analysis-JBHT/","J.B. Hunt Transport Services, Inc.")</f>
        <v>0</v>
      </c>
      <c r="C1530" t="s">
        <v>3183</v>
      </c>
      <c r="D1530">
        <v>172.46</v>
      </c>
      <c r="E1530">
        <v>0.009741389307665545</v>
      </c>
      <c r="F1530">
        <v>0.04999999999999982</v>
      </c>
      <c r="G1530">
        <v>0.1184269147201447</v>
      </c>
      <c r="H1530">
        <v>1.255565033038476</v>
      </c>
      <c r="I1530">
        <v>17788.00815</v>
      </c>
      <c r="J1530">
        <v>22.92112542609848</v>
      </c>
      <c r="K1530">
        <v>0.1692136163124631</v>
      </c>
      <c r="L1530">
        <v>1.037347232510622</v>
      </c>
      <c r="M1530">
        <v>209.21</v>
      </c>
      <c r="N1530">
        <v>162.6</v>
      </c>
    </row>
    <row r="1531" spans="1:14">
      <c r="A1531" s="1" t="s">
        <v>1543</v>
      </c>
      <c r="B1531">
        <f>HYPERLINK("https://www.suredividend.com/sure-analysis-JBL/","Jabil Inc")</f>
        <v>0</v>
      </c>
      <c r="C1531" t="s">
        <v>3185</v>
      </c>
      <c r="D1531">
        <v>124.94</v>
      </c>
      <c r="E1531">
        <v>0.002561229390107252</v>
      </c>
      <c r="F1531">
        <v>0</v>
      </c>
      <c r="G1531">
        <v>0</v>
      </c>
      <c r="H1531">
        <v>0.319580800089899</v>
      </c>
      <c r="I1531">
        <v>15985.456296</v>
      </c>
      <c r="J1531">
        <v>19.54212261144254</v>
      </c>
      <c r="K1531">
        <v>0.05308651164284037</v>
      </c>
      <c r="L1531">
        <v>1.064899074850525</v>
      </c>
      <c r="M1531">
        <v>141.38</v>
      </c>
      <c r="N1531">
        <v>61.45</v>
      </c>
    </row>
    <row r="1532" spans="1:14">
      <c r="A1532" s="1" t="s">
        <v>1544</v>
      </c>
      <c r="B1532">
        <f>HYPERLINK("https://www.suredividend.com/sure-analysis-research-database/","Jetblue Airways Corp")</f>
        <v>0</v>
      </c>
      <c r="C1532" t="s">
        <v>3183</v>
      </c>
      <c r="D1532">
        <v>3.92</v>
      </c>
      <c r="E1532">
        <v>0</v>
      </c>
      <c r="F1532" t="s">
        <v>3182</v>
      </c>
      <c r="G1532" t="s">
        <v>3182</v>
      </c>
      <c r="H1532">
        <v>0</v>
      </c>
      <c r="I1532">
        <v>1306.494158</v>
      </c>
      <c r="J1532" t="s">
        <v>3182</v>
      </c>
      <c r="K1532">
        <v>-0</v>
      </c>
      <c r="L1532">
        <v>1.504763737291934</v>
      </c>
      <c r="M1532">
        <v>9.449999999999999</v>
      </c>
      <c r="N1532">
        <v>3.42</v>
      </c>
    </row>
    <row r="1533" spans="1:14">
      <c r="A1533" s="1" t="s">
        <v>1545</v>
      </c>
      <c r="B1533">
        <f>HYPERLINK("https://www.suredividend.com/sure-analysis-research-database/","Sanfilippo (John B.) &amp; Son, Inc")</f>
        <v>0</v>
      </c>
      <c r="C1533" t="s">
        <v>3188</v>
      </c>
      <c r="D1533">
        <v>93.2</v>
      </c>
      <c r="E1533">
        <v>0.008583691115031001</v>
      </c>
      <c r="F1533" t="s">
        <v>3182</v>
      </c>
      <c r="G1533" t="s">
        <v>3182</v>
      </c>
      <c r="H1533">
        <v>0.8000000119209291</v>
      </c>
      <c r="I1533">
        <v>836.286489</v>
      </c>
      <c r="J1533">
        <v>13.30458802042732</v>
      </c>
      <c r="K1533">
        <v>0.1481481503557276</v>
      </c>
      <c r="L1533">
        <v>0.334382787781395</v>
      </c>
      <c r="M1533">
        <v>124.82</v>
      </c>
      <c r="N1533">
        <v>73.09</v>
      </c>
    </row>
    <row r="1534" spans="1:14">
      <c r="A1534" s="1" t="s">
        <v>1546</v>
      </c>
      <c r="B1534">
        <f>HYPERLINK("https://www.suredividend.com/sure-analysis-research-database/","John Bean Technologies Corp")</f>
        <v>0</v>
      </c>
      <c r="C1534" t="s">
        <v>3183</v>
      </c>
      <c r="D1534">
        <v>106.17</v>
      </c>
      <c r="E1534">
        <v>0.003762296958562</v>
      </c>
      <c r="F1534">
        <v>0</v>
      </c>
      <c r="G1534">
        <v>0</v>
      </c>
      <c r="H1534">
        <v>0.399443068090543</v>
      </c>
      <c r="I1534">
        <v>3380.319663</v>
      </c>
      <c r="J1534">
        <v>6.018016134627024</v>
      </c>
      <c r="K1534">
        <v>0.02255466222984433</v>
      </c>
      <c r="L1534">
        <v>1.385862485747395</v>
      </c>
      <c r="M1534">
        <v>125.76</v>
      </c>
      <c r="N1534">
        <v>85.92</v>
      </c>
    </row>
    <row r="1535" spans="1:14">
      <c r="A1535" s="1" t="s">
        <v>1547</v>
      </c>
      <c r="B1535">
        <f>HYPERLINK("https://www.suredividend.com/sure-analysis-JCI/","Johnson Controls International plc")</f>
        <v>0</v>
      </c>
      <c r="C1535" t="s">
        <v>3183</v>
      </c>
      <c r="D1535">
        <v>50.86</v>
      </c>
      <c r="E1535">
        <v>0.02831301612268974</v>
      </c>
      <c r="F1535">
        <v>0.05714285714285694</v>
      </c>
      <c r="G1535">
        <v>0.07311354150601401</v>
      </c>
      <c r="H1535">
        <v>1.436695504948628</v>
      </c>
      <c r="I1535">
        <v>34601.076929</v>
      </c>
      <c r="J1535">
        <v>16.78848953383794</v>
      </c>
      <c r="K1535">
        <v>0.4805001688791398</v>
      </c>
      <c r="L1535">
        <v>1.00274494457913</v>
      </c>
      <c r="M1535">
        <v>69.95999999999999</v>
      </c>
      <c r="N1535">
        <v>47.9</v>
      </c>
    </row>
    <row r="1536" spans="1:14">
      <c r="A1536" s="1" t="s">
        <v>1548</v>
      </c>
      <c r="B1536">
        <f>HYPERLINK("https://www.suredividend.com/sure-analysis-research-database/","Pineapple Holdings Inc")</f>
        <v>0</v>
      </c>
      <c r="C1536" t="s">
        <v>3185</v>
      </c>
      <c r="D1536">
        <v>8.18</v>
      </c>
      <c r="E1536">
        <v>0</v>
      </c>
      <c r="F1536" t="s">
        <v>3182</v>
      </c>
      <c r="G1536" t="s">
        <v>3182</v>
      </c>
      <c r="H1536">
        <v>0</v>
      </c>
      <c r="I1536">
        <v>79.514729</v>
      </c>
      <c r="J1536">
        <v>0</v>
      </c>
      <c r="K1536" t="s">
        <v>3182</v>
      </c>
      <c r="L1536">
        <v>0.272415469132382</v>
      </c>
      <c r="M1536">
        <v>24.79</v>
      </c>
      <c r="N1536">
        <v>7.32</v>
      </c>
    </row>
    <row r="1537" spans="1:14">
      <c r="A1537" s="1" t="s">
        <v>1549</v>
      </c>
      <c r="B1537">
        <f>HYPERLINK("https://www.suredividend.com/sure-analysis-research-database/","Jewett-Cameron Trading Co. Ltd.")</f>
        <v>0</v>
      </c>
      <c r="C1537" t="s">
        <v>3181</v>
      </c>
      <c r="D1537">
        <v>4.58</v>
      </c>
      <c r="E1537">
        <v>0</v>
      </c>
      <c r="F1537" t="s">
        <v>3182</v>
      </c>
      <c r="G1537" t="s">
        <v>3182</v>
      </c>
      <c r="H1537">
        <v>0</v>
      </c>
      <c r="I1537">
        <v>16.024957</v>
      </c>
      <c r="J1537">
        <v>0</v>
      </c>
      <c r="K1537" t="s">
        <v>3182</v>
      </c>
      <c r="M1537">
        <v>6</v>
      </c>
      <c r="N1537">
        <v>3.7</v>
      </c>
    </row>
    <row r="1538" spans="1:14">
      <c r="A1538" s="1" t="s">
        <v>1550</v>
      </c>
      <c r="B1538">
        <f>HYPERLINK("https://www.suredividend.com/sure-analysis-research-database/","Jefferies Financial Group Inc")</f>
        <v>0</v>
      </c>
      <c r="C1538" t="s">
        <v>3184</v>
      </c>
      <c r="D1538">
        <v>33.45</v>
      </c>
      <c r="E1538">
        <v>0.03494811234957401</v>
      </c>
      <c r="F1538">
        <v>0</v>
      </c>
      <c r="G1538">
        <v>0.1913578981670916</v>
      </c>
      <c r="H1538">
        <v>1.169014358093251</v>
      </c>
      <c r="I1538">
        <v>7038.808104</v>
      </c>
      <c r="J1538">
        <v>20.8838203203717</v>
      </c>
      <c r="K1538">
        <v>0.8471118536907617</v>
      </c>
      <c r="L1538">
        <v>1.349880250966162</v>
      </c>
      <c r="M1538">
        <v>39.62</v>
      </c>
      <c r="N1538">
        <v>27.82</v>
      </c>
    </row>
    <row r="1539" spans="1:14">
      <c r="A1539" s="1" t="s">
        <v>1551</v>
      </c>
      <c r="B1539">
        <f>HYPERLINK("https://www.suredividend.com/sure-analysis-research-database/","JELD-WEN Holding Inc.")</f>
        <v>0</v>
      </c>
      <c r="C1539" t="s">
        <v>3183</v>
      </c>
      <c r="D1539">
        <v>12.08</v>
      </c>
      <c r="E1539">
        <v>0</v>
      </c>
      <c r="F1539" t="s">
        <v>3182</v>
      </c>
      <c r="G1539" t="s">
        <v>3182</v>
      </c>
      <c r="H1539">
        <v>0</v>
      </c>
      <c r="I1539">
        <v>1029.071318</v>
      </c>
      <c r="J1539">
        <v>19.11208895772973</v>
      </c>
      <c r="K1539">
        <v>0</v>
      </c>
      <c r="L1539">
        <v>1.860178202729075</v>
      </c>
      <c r="M1539">
        <v>18.52</v>
      </c>
      <c r="N1539">
        <v>8.98</v>
      </c>
    </row>
    <row r="1540" spans="1:14">
      <c r="A1540" s="1" t="s">
        <v>1552</v>
      </c>
      <c r="B1540">
        <f>HYPERLINK("https://www.suredividend.com/sure-analysis-JHG/","Janus Henderson Group plc")</f>
        <v>0</v>
      </c>
      <c r="C1540" t="s">
        <v>3184</v>
      </c>
      <c r="D1540">
        <v>24.86</v>
      </c>
      <c r="E1540">
        <v>0.06436041834271923</v>
      </c>
      <c r="F1540">
        <v>0</v>
      </c>
      <c r="G1540">
        <v>0.01613736474159566</v>
      </c>
      <c r="H1540">
        <v>1.526626338166957</v>
      </c>
      <c r="I1540">
        <v>4118.255518</v>
      </c>
      <c r="J1540">
        <v>11.26745695841313</v>
      </c>
      <c r="K1540">
        <v>0.6695729553363845</v>
      </c>
      <c r="L1540">
        <v>1.497740306138693</v>
      </c>
      <c r="M1540">
        <v>29.98</v>
      </c>
      <c r="N1540">
        <v>20.5</v>
      </c>
    </row>
    <row r="1541" spans="1:14">
      <c r="A1541" s="1" t="s">
        <v>1553</v>
      </c>
      <c r="B1541">
        <f>HYPERLINK("https://www.suredividend.com/sure-analysis-research-database/","J.Jill Inc")</f>
        <v>0</v>
      </c>
      <c r="C1541" t="s">
        <v>3186</v>
      </c>
      <c r="D1541">
        <v>28.96</v>
      </c>
      <c r="E1541">
        <v>0</v>
      </c>
      <c r="F1541" t="s">
        <v>3182</v>
      </c>
      <c r="G1541" t="s">
        <v>3182</v>
      </c>
      <c r="H1541">
        <v>0</v>
      </c>
      <c r="I1541">
        <v>410.326624</v>
      </c>
      <c r="J1541">
        <v>13.78183668155712</v>
      </c>
      <c r="K1541">
        <v>0</v>
      </c>
      <c r="L1541">
        <v>0.881554084686002</v>
      </c>
      <c r="M1541">
        <v>30.36</v>
      </c>
      <c r="N1541">
        <v>18.85</v>
      </c>
    </row>
    <row r="1542" spans="1:14">
      <c r="A1542" s="1" t="s">
        <v>1554</v>
      </c>
      <c r="B1542">
        <f>HYPERLINK("https://www.suredividend.com/sure-analysis-JJSF/","J&amp;J Snack Foods Corp.")</f>
        <v>0</v>
      </c>
      <c r="C1542" t="s">
        <v>3188</v>
      </c>
      <c r="D1542">
        <v>158.49</v>
      </c>
      <c r="E1542">
        <v>0.0176667297621301</v>
      </c>
      <c r="F1542">
        <v>0.04999999999999982</v>
      </c>
      <c r="G1542">
        <v>0.08009875865888949</v>
      </c>
      <c r="H1542">
        <v>2.801227839933178</v>
      </c>
      <c r="I1542">
        <v>3057.240244</v>
      </c>
      <c r="J1542">
        <v>46.46614854487424</v>
      </c>
      <c r="K1542">
        <v>0.821474439863102</v>
      </c>
      <c r="L1542">
        <v>0.413723097619863</v>
      </c>
      <c r="M1542">
        <v>176.2</v>
      </c>
      <c r="N1542">
        <v>130.29</v>
      </c>
    </row>
    <row r="1543" spans="1:14">
      <c r="A1543" s="1" t="s">
        <v>1555</v>
      </c>
      <c r="B1543">
        <f>HYPERLINK("https://www.suredividend.com/sure-analysis-JKHY/","Jack Henry &amp; Associates, Inc.")</f>
        <v>0</v>
      </c>
      <c r="C1543" t="s">
        <v>3185</v>
      </c>
      <c r="D1543">
        <v>141.93</v>
      </c>
      <c r="E1543">
        <v>0.01465511167476925</v>
      </c>
      <c r="F1543">
        <v>0.06122448979591844</v>
      </c>
      <c r="G1543">
        <v>0.07043505702569441</v>
      </c>
      <c r="H1543">
        <v>2.031014036918314</v>
      </c>
      <c r="I1543">
        <v>10332.611015</v>
      </c>
      <c r="J1543">
        <v>28.18143663157378</v>
      </c>
      <c r="K1543">
        <v>0.4045844695056403</v>
      </c>
      <c r="L1543">
        <v>0.87324923347697</v>
      </c>
      <c r="M1543">
        <v>189.08</v>
      </c>
      <c r="N1543">
        <v>136.57</v>
      </c>
    </row>
    <row r="1544" spans="1:14">
      <c r="A1544" s="1" t="s">
        <v>1556</v>
      </c>
      <c r="B1544">
        <f>HYPERLINK("https://www.suredividend.com/sure-analysis-research-database/","Jones Lang Lasalle Inc.")</f>
        <v>0</v>
      </c>
      <c r="C1544" t="s">
        <v>3187</v>
      </c>
      <c r="D1544">
        <v>139.53</v>
      </c>
      <c r="E1544">
        <v>0</v>
      </c>
      <c r="F1544" t="s">
        <v>3182</v>
      </c>
      <c r="G1544" t="s">
        <v>3182</v>
      </c>
      <c r="H1544">
        <v>0</v>
      </c>
      <c r="I1544">
        <v>6651.165852</v>
      </c>
      <c r="J1544">
        <v>21.57368099970808</v>
      </c>
      <c r="K1544">
        <v>0</v>
      </c>
      <c r="L1544">
        <v>1.52915468810374</v>
      </c>
      <c r="M1544">
        <v>188.61</v>
      </c>
      <c r="N1544">
        <v>119.46</v>
      </c>
    </row>
    <row r="1545" spans="1:14">
      <c r="A1545" s="1" t="s">
        <v>1557</v>
      </c>
      <c r="B1545">
        <f>HYPERLINK("https://www.suredividend.com/sure-analysis-research-database/","Jounce Therapeutics Inc")</f>
        <v>0</v>
      </c>
      <c r="C1545" t="s">
        <v>3180</v>
      </c>
      <c r="D1545">
        <v>1.88</v>
      </c>
      <c r="E1545">
        <v>0</v>
      </c>
      <c r="F1545" t="s">
        <v>3182</v>
      </c>
      <c r="G1545" t="s">
        <v>3182</v>
      </c>
      <c r="H1545">
        <v>0</v>
      </c>
      <c r="I1545">
        <v>0</v>
      </c>
      <c r="J1545">
        <v>0</v>
      </c>
      <c r="K1545" t="s">
        <v>3182</v>
      </c>
    </row>
    <row r="1546" spans="1:14">
      <c r="A1546" s="1" t="s">
        <v>1558</v>
      </c>
      <c r="B1546">
        <f>HYPERLINK("https://www.suredividend.com/sure-analysis-JNJ/","Johnson &amp; Johnson")</f>
        <v>0</v>
      </c>
      <c r="C1546" t="s">
        <v>3180</v>
      </c>
      <c r="D1546">
        <v>150.24</v>
      </c>
      <c r="E1546">
        <v>0.03168264110756124</v>
      </c>
      <c r="F1546">
        <v>0.05309734513274345</v>
      </c>
      <c r="G1546">
        <v>0.05745255380789049</v>
      </c>
      <c r="H1546">
        <v>4.59037921023068</v>
      </c>
      <c r="I1546">
        <v>361669.539869</v>
      </c>
      <c r="J1546">
        <v>10.44563135018484</v>
      </c>
      <c r="K1546">
        <v>0.3461824442104585</v>
      </c>
      <c r="L1546">
        <v>0.29599258580855</v>
      </c>
      <c r="M1546">
        <v>177.11</v>
      </c>
      <c r="N1546">
        <v>144.95</v>
      </c>
    </row>
    <row r="1547" spans="1:14">
      <c r="A1547" s="1" t="s">
        <v>1559</v>
      </c>
      <c r="B1547">
        <f>HYPERLINK("https://www.suredividend.com/sure-analysis-JNPR/","Juniper Networks Inc")</f>
        <v>0</v>
      </c>
      <c r="C1547" t="s">
        <v>3185</v>
      </c>
      <c r="D1547">
        <v>26.87</v>
      </c>
      <c r="E1547">
        <v>0.03275027912169706</v>
      </c>
      <c r="F1547">
        <v>0.04761904761904767</v>
      </c>
      <c r="G1547">
        <v>0.04095039696925684</v>
      </c>
      <c r="H1547">
        <v>0.8604518912217141</v>
      </c>
      <c r="I1547">
        <v>8567.996031000001</v>
      </c>
      <c r="J1547">
        <v>23.39065255454545</v>
      </c>
      <c r="K1547">
        <v>0.7682606171622446</v>
      </c>
      <c r="L1547">
        <v>0.740061882845454</v>
      </c>
      <c r="M1547">
        <v>34.02</v>
      </c>
      <c r="N1547">
        <v>24.87</v>
      </c>
    </row>
    <row r="1548" spans="1:14">
      <c r="A1548" s="1" t="s">
        <v>1560</v>
      </c>
      <c r="B1548">
        <f>HYPERLINK("https://www.suredividend.com/sure-analysis-research-database/","GEE Group Inc")</f>
        <v>0</v>
      </c>
      <c r="C1548" t="s">
        <v>3183</v>
      </c>
      <c r="D1548">
        <v>0.5468000000000001</v>
      </c>
      <c r="E1548">
        <v>0</v>
      </c>
      <c r="F1548" t="s">
        <v>3182</v>
      </c>
      <c r="G1548" t="s">
        <v>3182</v>
      </c>
      <c r="H1548">
        <v>0</v>
      </c>
      <c r="I1548">
        <v>61.868085</v>
      </c>
      <c r="J1548">
        <v>0</v>
      </c>
      <c r="K1548" t="s">
        <v>3182</v>
      </c>
      <c r="L1548">
        <v>0.5483405124698241</v>
      </c>
      <c r="M1548">
        <v>0.8</v>
      </c>
      <c r="N1548">
        <v>0.357</v>
      </c>
    </row>
    <row r="1549" spans="1:14">
      <c r="A1549" s="1" t="s">
        <v>1561</v>
      </c>
      <c r="B1549">
        <f>HYPERLINK("https://www.suredividend.com/sure-analysis-research-database/","St. Joe Co.")</f>
        <v>0</v>
      </c>
      <c r="C1549" t="s">
        <v>3187</v>
      </c>
      <c r="D1549">
        <v>48.68</v>
      </c>
      <c r="E1549">
        <v>0.008601576856889</v>
      </c>
      <c r="F1549" t="s">
        <v>3182</v>
      </c>
      <c r="G1549" t="s">
        <v>3182</v>
      </c>
      <c r="H1549">
        <v>0.418724761393387</v>
      </c>
      <c r="I1549">
        <v>2841.550907</v>
      </c>
      <c r="J1549">
        <v>30.6680795121688</v>
      </c>
      <c r="K1549">
        <v>0.2633489065367214</v>
      </c>
      <c r="L1549">
        <v>1.068352372551088</v>
      </c>
      <c r="M1549">
        <v>65.86</v>
      </c>
      <c r="N1549">
        <v>33.51</v>
      </c>
    </row>
    <row r="1550" spans="1:14">
      <c r="A1550" s="1" t="s">
        <v>1562</v>
      </c>
      <c r="B1550">
        <f>HYPERLINK("https://www.suredividend.com/sure-analysis-research-database/","Johnson Outdoors Inc")</f>
        <v>0</v>
      </c>
      <c r="C1550" t="s">
        <v>3186</v>
      </c>
      <c r="D1550">
        <v>49.12</v>
      </c>
      <c r="E1550">
        <v>0.025255428453191</v>
      </c>
      <c r="F1550">
        <v>0.06451612903225823</v>
      </c>
      <c r="G1550">
        <v>0.1870723269950472</v>
      </c>
      <c r="H1550">
        <v>1.240546645620774</v>
      </c>
      <c r="I1550">
        <v>444.199577</v>
      </c>
      <c r="J1550">
        <v>9.86671650644158</v>
      </c>
      <c r="K1550">
        <v>0.2794023976623365</v>
      </c>
      <c r="L1550">
        <v>0.9232730346306681</v>
      </c>
      <c r="M1550">
        <v>69.89</v>
      </c>
      <c r="N1550">
        <v>47</v>
      </c>
    </row>
    <row r="1551" spans="1:14">
      <c r="A1551" s="1" t="s">
        <v>1563</v>
      </c>
      <c r="B1551">
        <f>HYPERLINK("https://www.suredividend.com/sure-analysis-JPM/","JPMorgan Chase &amp; Co.")</f>
        <v>0</v>
      </c>
      <c r="C1551" t="s">
        <v>3184</v>
      </c>
      <c r="D1551">
        <v>141.42</v>
      </c>
      <c r="E1551">
        <v>0.02969876962240136</v>
      </c>
      <c r="F1551">
        <v>0.05000000000000004</v>
      </c>
      <c r="G1551">
        <v>0.05589288248337687</v>
      </c>
      <c r="H1551">
        <v>4.006807828568106</v>
      </c>
      <c r="I1551">
        <v>410978.579308</v>
      </c>
      <c r="J1551">
        <v>8.923453606645387</v>
      </c>
      <c r="K1551">
        <v>0.2578383416066992</v>
      </c>
      <c r="L1551">
        <v>0.8081347782607191</v>
      </c>
      <c r="M1551">
        <v>158.21</v>
      </c>
      <c r="N1551">
        <v>120.43</v>
      </c>
    </row>
    <row r="1552" spans="1:14">
      <c r="A1552" s="1" t="s">
        <v>1564</v>
      </c>
      <c r="B1552">
        <f>HYPERLINK("https://www.suredividend.com/sure-analysis-research-database/","James River Group Holdings Ltd")</f>
        <v>0</v>
      </c>
      <c r="C1552" t="s">
        <v>3184</v>
      </c>
      <c r="D1552">
        <v>14.09</v>
      </c>
      <c r="E1552">
        <v>0.014077017063335</v>
      </c>
      <c r="F1552">
        <v>0</v>
      </c>
      <c r="G1552">
        <v>-0.3011728812284208</v>
      </c>
      <c r="H1552">
        <v>0.1983451704224</v>
      </c>
      <c r="I1552">
        <v>530.062263</v>
      </c>
      <c r="J1552">
        <v>14.76290943907534</v>
      </c>
      <c r="K1552">
        <v>0.21627431078661</v>
      </c>
      <c r="L1552">
        <v>0.8246847633929131</v>
      </c>
      <c r="M1552">
        <v>24.57</v>
      </c>
      <c r="N1552">
        <v>13.52</v>
      </c>
    </row>
    <row r="1553" spans="1:14">
      <c r="A1553" s="1" t="s">
        <v>1565</v>
      </c>
      <c r="B1553">
        <f>HYPERLINK("https://www.suredividend.com/sure-analysis-research-database/","Coffee Holding Co Inc")</f>
        <v>0</v>
      </c>
      <c r="C1553" t="s">
        <v>3188</v>
      </c>
      <c r="D1553">
        <v>0.715</v>
      </c>
      <c r="E1553">
        <v>0</v>
      </c>
      <c r="F1553" t="s">
        <v>3182</v>
      </c>
      <c r="G1553" t="s">
        <v>3182</v>
      </c>
      <c r="H1553">
        <v>0</v>
      </c>
      <c r="I1553">
        <v>4.081648</v>
      </c>
      <c r="J1553">
        <v>0</v>
      </c>
      <c r="K1553" t="s">
        <v>3182</v>
      </c>
      <c r="L1553">
        <v>0.5086740674818611</v>
      </c>
      <c r="M1553">
        <v>2.78</v>
      </c>
      <c r="N1553">
        <v>0.67</v>
      </c>
    </row>
    <row r="1554" spans="1:14">
      <c r="A1554" s="1" t="s">
        <v>1566</v>
      </c>
      <c r="B1554">
        <f>HYPERLINK("https://www.suredividend.com/sure-analysis-JWN/","Nordstrom, Inc.")</f>
        <v>0</v>
      </c>
      <c r="C1554" t="s">
        <v>3186</v>
      </c>
      <c r="D1554">
        <v>14.57</v>
      </c>
      <c r="E1554">
        <v>0.05216197666437886</v>
      </c>
      <c r="F1554" t="s">
        <v>3182</v>
      </c>
      <c r="G1554" t="s">
        <v>3182</v>
      </c>
      <c r="H1554">
        <v>0.746460246924006</v>
      </c>
      <c r="I1554">
        <v>2355.654507</v>
      </c>
      <c r="J1554">
        <v>75.98885505</v>
      </c>
      <c r="K1554">
        <v>3.891867815036528</v>
      </c>
      <c r="L1554">
        <v>1.615766189258672</v>
      </c>
      <c r="M1554">
        <v>26.21</v>
      </c>
      <c r="N1554">
        <v>13.24</v>
      </c>
    </row>
    <row r="1555" spans="1:14">
      <c r="A1555" s="1" t="s">
        <v>1567</v>
      </c>
      <c r="B1555">
        <f>HYPERLINK("https://www.suredividend.com/sure-analysis-research-database/","Joint Corp")</f>
        <v>0</v>
      </c>
      <c r="C1555" t="s">
        <v>3180</v>
      </c>
      <c r="D1555">
        <v>7.59</v>
      </c>
      <c r="E1555">
        <v>0</v>
      </c>
      <c r="F1555" t="s">
        <v>3182</v>
      </c>
      <c r="G1555" t="s">
        <v>3182</v>
      </c>
      <c r="H1555">
        <v>0</v>
      </c>
      <c r="I1555">
        <v>111.987057</v>
      </c>
      <c r="J1555">
        <v>35.45390910909859</v>
      </c>
      <c r="K1555">
        <v>0</v>
      </c>
      <c r="L1555">
        <v>1.080424015857623</v>
      </c>
      <c r="M1555">
        <v>20</v>
      </c>
      <c r="N1555">
        <v>7.45</v>
      </c>
    </row>
    <row r="1556" spans="1:14">
      <c r="A1556" s="1" t="s">
        <v>1568</v>
      </c>
      <c r="B1556">
        <f>HYPERLINK("https://www.suredividend.com/sure-analysis-K/","Kellanova Co")</f>
        <v>0</v>
      </c>
      <c r="C1556" t="s">
        <v>3188</v>
      </c>
      <c r="D1556">
        <v>51.73</v>
      </c>
      <c r="E1556">
        <v>0.04639474192924802</v>
      </c>
      <c r="F1556">
        <v>0.01694915254237306</v>
      </c>
      <c r="G1556">
        <v>0.01389421401466451</v>
      </c>
      <c r="H1556">
        <v>2.33734797494061</v>
      </c>
      <c r="I1556">
        <v>17593.8903</v>
      </c>
      <c r="J1556">
        <v>20.42629031680508</v>
      </c>
      <c r="K1556">
        <v>0.9312143326456613</v>
      </c>
      <c r="M1556">
        <v>72.7</v>
      </c>
      <c r="N1556">
        <v>47.63</v>
      </c>
    </row>
    <row r="1557" spans="1:14">
      <c r="A1557" s="1" t="s">
        <v>1569</v>
      </c>
      <c r="B1557">
        <f>HYPERLINK("https://www.suredividend.com/sure-analysis-research-database/","Kadant, Inc.")</f>
        <v>0</v>
      </c>
      <c r="C1557" t="s">
        <v>3183</v>
      </c>
      <c r="D1557">
        <v>237.71</v>
      </c>
      <c r="E1557">
        <v>0.004744401008025</v>
      </c>
      <c r="F1557">
        <v>0.1153846153846152</v>
      </c>
      <c r="G1557">
        <v>0.05680549653640732</v>
      </c>
      <c r="H1557">
        <v>1.127791563617752</v>
      </c>
      <c r="I1557">
        <v>2782.609014</v>
      </c>
      <c r="J1557">
        <v>24.98414378074074</v>
      </c>
      <c r="K1557">
        <v>0.1185900697810465</v>
      </c>
      <c r="L1557">
        <v>1.083824953459808</v>
      </c>
      <c r="M1557">
        <v>238.37</v>
      </c>
      <c r="N1557">
        <v>169.77</v>
      </c>
    </row>
    <row r="1558" spans="1:14">
      <c r="A1558" s="1" t="s">
        <v>1570</v>
      </c>
      <c r="B1558">
        <f>HYPERLINK("https://www.suredividend.com/sure-analysis-research-database/","Kala Bio Inc.")</f>
        <v>0</v>
      </c>
      <c r="C1558" t="s">
        <v>3180</v>
      </c>
      <c r="D1558">
        <v>6.88</v>
      </c>
      <c r="E1558">
        <v>0</v>
      </c>
      <c r="F1558" t="s">
        <v>3182</v>
      </c>
      <c r="G1558" t="s">
        <v>3182</v>
      </c>
      <c r="H1558">
        <v>0</v>
      </c>
      <c r="I1558">
        <v>17.493886</v>
      </c>
      <c r="J1558" t="s">
        <v>3182</v>
      </c>
      <c r="K1558">
        <v>-0</v>
      </c>
      <c r="L1558">
        <v>0.761426719699771</v>
      </c>
      <c r="M1558">
        <v>56.72</v>
      </c>
      <c r="N1558">
        <v>3.54</v>
      </c>
    </row>
    <row r="1559" spans="1:14">
      <c r="A1559" s="1" t="s">
        <v>1571</v>
      </c>
      <c r="B1559">
        <f>HYPERLINK("https://www.suredividend.com/sure-analysis-KALU/","Kaiser Aluminum Corp")</f>
        <v>0</v>
      </c>
      <c r="C1559" t="s">
        <v>3181</v>
      </c>
      <c r="D1559">
        <v>58.22</v>
      </c>
      <c r="E1559">
        <v>0.05290278254895225</v>
      </c>
      <c r="F1559">
        <v>0</v>
      </c>
      <c r="G1559">
        <v>0.05115774595007161</v>
      </c>
      <c r="H1559">
        <v>2.992289578787197</v>
      </c>
      <c r="I1559">
        <v>932.362676</v>
      </c>
      <c r="J1559">
        <v>70.63353608181818</v>
      </c>
      <c r="K1559">
        <v>3.626578086034659</v>
      </c>
      <c r="L1559">
        <v>1.772962804294502</v>
      </c>
      <c r="M1559">
        <v>91.22</v>
      </c>
      <c r="N1559">
        <v>53.67</v>
      </c>
    </row>
    <row r="1560" spans="1:14">
      <c r="A1560" s="1" t="s">
        <v>1572</v>
      </c>
      <c r="B1560">
        <f>HYPERLINK("https://www.suredividend.com/sure-analysis-research-database/","KalVista Pharmaceuticals Inc")</f>
        <v>0</v>
      </c>
      <c r="C1560" t="s">
        <v>3180</v>
      </c>
      <c r="D1560">
        <v>8.664999999999999</v>
      </c>
      <c r="E1560">
        <v>0</v>
      </c>
      <c r="F1560" t="s">
        <v>3182</v>
      </c>
      <c r="G1560" t="s">
        <v>3182</v>
      </c>
      <c r="H1560">
        <v>0</v>
      </c>
      <c r="I1560">
        <v>298.076</v>
      </c>
      <c r="J1560" t="s">
        <v>3182</v>
      </c>
      <c r="K1560">
        <v>-0</v>
      </c>
      <c r="L1560">
        <v>1.115025553172722</v>
      </c>
      <c r="M1560">
        <v>11.45</v>
      </c>
      <c r="N1560">
        <v>4.95</v>
      </c>
    </row>
    <row r="1561" spans="1:14">
      <c r="A1561" s="1" t="s">
        <v>1573</v>
      </c>
      <c r="B1561">
        <f>HYPERLINK("https://www.suredividend.com/sure-analysis-research-database/","Kaman Corp.")</f>
        <v>0</v>
      </c>
      <c r="C1561" t="s">
        <v>3183</v>
      </c>
      <c r="D1561">
        <v>19.32</v>
      </c>
      <c r="E1561">
        <v>0.040830804476422</v>
      </c>
      <c r="F1561">
        <v>0</v>
      </c>
      <c r="G1561">
        <v>0</v>
      </c>
      <c r="H1561">
        <v>0.7888511424844781</v>
      </c>
      <c r="I1561">
        <v>545.913435</v>
      </c>
      <c r="J1561" t="s">
        <v>3182</v>
      </c>
      <c r="K1561" t="s">
        <v>3182</v>
      </c>
      <c r="L1561">
        <v>1.239626303858529</v>
      </c>
      <c r="M1561">
        <v>25.78</v>
      </c>
      <c r="N1561">
        <v>18.06</v>
      </c>
    </row>
    <row r="1562" spans="1:14">
      <c r="A1562" s="1" t="s">
        <v>1574</v>
      </c>
      <c r="B1562">
        <f>HYPERLINK("https://www.suredividend.com/sure-analysis-research-database/","Openlane Inc.")</f>
        <v>0</v>
      </c>
      <c r="C1562" t="s">
        <v>3186</v>
      </c>
      <c r="D1562">
        <v>14.14</v>
      </c>
      <c r="E1562">
        <v>0</v>
      </c>
      <c r="F1562" t="s">
        <v>3182</v>
      </c>
      <c r="G1562" t="s">
        <v>3182</v>
      </c>
      <c r="H1562">
        <v>0</v>
      </c>
      <c r="I1562">
        <v>1547.692088</v>
      </c>
      <c r="J1562">
        <v>38.692302201</v>
      </c>
      <c r="K1562">
        <v>0</v>
      </c>
      <c r="L1562">
        <v>1.16720902836406</v>
      </c>
      <c r="M1562">
        <v>16.49</v>
      </c>
      <c r="N1562">
        <v>12.09</v>
      </c>
    </row>
    <row r="1563" spans="1:14">
      <c r="A1563" s="1" t="s">
        <v>1575</v>
      </c>
      <c r="B1563">
        <f>HYPERLINK("https://www.suredividend.com/sure-analysis-research-database/","Kimball International, Inc.")</f>
        <v>0</v>
      </c>
      <c r="C1563" t="s">
        <v>3186</v>
      </c>
      <c r="D1563">
        <v>12.3</v>
      </c>
      <c r="E1563">
        <v>0</v>
      </c>
      <c r="F1563" t="s">
        <v>3182</v>
      </c>
      <c r="G1563" t="s">
        <v>3182</v>
      </c>
      <c r="H1563">
        <v>0.360000014305114</v>
      </c>
      <c r="I1563">
        <v>0</v>
      </c>
      <c r="J1563">
        <v>0</v>
      </c>
      <c r="K1563" t="s">
        <v>3182</v>
      </c>
    </row>
    <row r="1564" spans="1:14">
      <c r="A1564" s="1" t="s">
        <v>1576</v>
      </c>
      <c r="B1564">
        <f>HYPERLINK("https://www.suredividend.com/sure-analysis-research-database/","KB Home")</f>
        <v>0</v>
      </c>
      <c r="C1564" t="s">
        <v>3186</v>
      </c>
      <c r="D1564">
        <v>48.86</v>
      </c>
      <c r="E1564">
        <v>0.013236937834992</v>
      </c>
      <c r="F1564">
        <v>0.3333333333333335</v>
      </c>
      <c r="G1564">
        <v>0.5157165665103982</v>
      </c>
      <c r="H1564">
        <v>0.646756782617748</v>
      </c>
      <c r="I1564">
        <v>3875.510363</v>
      </c>
      <c r="J1564">
        <v>5.945830815108247</v>
      </c>
      <c r="K1564">
        <v>0.08443300034174256</v>
      </c>
      <c r="L1564">
        <v>1.260898240078869</v>
      </c>
      <c r="M1564">
        <v>55.17</v>
      </c>
      <c r="N1564">
        <v>26.96</v>
      </c>
    </row>
    <row r="1565" spans="1:14">
      <c r="A1565" s="1" t="s">
        <v>1577</v>
      </c>
      <c r="B1565">
        <f>HYPERLINK("https://www.suredividend.com/sure-analysis-research-database/","KBR Inc")</f>
        <v>0</v>
      </c>
      <c r="C1565" t="s">
        <v>3183</v>
      </c>
      <c r="D1565">
        <v>50.37</v>
      </c>
      <c r="E1565">
        <v>0.01038872807517</v>
      </c>
      <c r="F1565">
        <v>0.1250000000000002</v>
      </c>
      <c r="G1565">
        <v>0.11032151746146</v>
      </c>
      <c r="H1565">
        <v>0.5232802331463421</v>
      </c>
      <c r="I1565">
        <v>6795.732872</v>
      </c>
      <c r="J1565" t="s">
        <v>3182</v>
      </c>
      <c r="K1565" t="s">
        <v>3182</v>
      </c>
      <c r="L1565">
        <v>0.5158000265986941</v>
      </c>
      <c r="M1565">
        <v>65.72</v>
      </c>
      <c r="N1565">
        <v>47.37</v>
      </c>
    </row>
    <row r="1566" spans="1:14">
      <c r="A1566" s="1" t="s">
        <v>1578</v>
      </c>
      <c r="B1566">
        <f>HYPERLINK("https://www.suredividend.com/sure-analysis-research-database/","Kadmon Holdings Inc")</f>
        <v>0</v>
      </c>
      <c r="C1566" t="s">
        <v>3180</v>
      </c>
      <c r="D1566">
        <v>9.5</v>
      </c>
      <c r="E1566">
        <v>0</v>
      </c>
      <c r="F1566" t="s">
        <v>3182</v>
      </c>
      <c r="G1566" t="s">
        <v>3182</v>
      </c>
      <c r="H1566">
        <v>0</v>
      </c>
      <c r="I1566">
        <v>0</v>
      </c>
      <c r="J1566">
        <v>0</v>
      </c>
      <c r="K1566">
        <v>-0</v>
      </c>
    </row>
    <row r="1567" spans="1:14">
      <c r="A1567" s="1" t="s">
        <v>1579</v>
      </c>
      <c r="B1567">
        <f>HYPERLINK("https://www.suredividend.com/sure-analysis-KDP/","Keurig Dr Pepper Inc")</f>
        <v>0</v>
      </c>
      <c r="C1567" t="s">
        <v>3188</v>
      </c>
      <c r="D1567">
        <v>30.86</v>
      </c>
      <c r="E1567">
        <v>0.02786779001944265</v>
      </c>
      <c r="F1567">
        <v>0.07499999999999996</v>
      </c>
      <c r="G1567">
        <v>0.07465593169226681</v>
      </c>
      <c r="H1567">
        <v>0.800686070846171</v>
      </c>
      <c r="I1567">
        <v>43152.652139</v>
      </c>
      <c r="J1567">
        <v>22.23217523883565</v>
      </c>
      <c r="K1567">
        <v>0.5844423874789569</v>
      </c>
      <c r="L1567">
        <v>0.320269845542775</v>
      </c>
      <c r="M1567">
        <v>37.49</v>
      </c>
      <c r="N1567">
        <v>27.66</v>
      </c>
    </row>
    <row r="1568" spans="1:14">
      <c r="A1568" s="1" t="s">
        <v>1580</v>
      </c>
      <c r="B1568">
        <f>HYPERLINK("https://www.suredividend.com/sure-analysis-research-database/","Kimball Electronics Inc")</f>
        <v>0</v>
      </c>
      <c r="C1568" t="s">
        <v>3183</v>
      </c>
      <c r="D1568">
        <v>26.48</v>
      </c>
      <c r="E1568">
        <v>0</v>
      </c>
      <c r="F1568" t="s">
        <v>3182</v>
      </c>
      <c r="G1568" t="s">
        <v>3182</v>
      </c>
      <c r="H1568">
        <v>0</v>
      </c>
      <c r="I1568">
        <v>657.8995190000001</v>
      </c>
      <c r="J1568">
        <v>0</v>
      </c>
      <c r="K1568" t="s">
        <v>3182</v>
      </c>
      <c r="L1568">
        <v>1.238270872926265</v>
      </c>
      <c r="M1568">
        <v>31.43</v>
      </c>
      <c r="N1568">
        <v>19.52</v>
      </c>
    </row>
    <row r="1569" spans="1:14">
      <c r="A1569" s="1" t="s">
        <v>1581</v>
      </c>
      <c r="B1569">
        <f>HYPERLINK("https://www.suredividend.com/sure-analysis-research-database/","Kelly Services, Inc.")</f>
        <v>0</v>
      </c>
      <c r="C1569" t="s">
        <v>3183</v>
      </c>
      <c r="D1569">
        <v>18.36</v>
      </c>
      <c r="E1569">
        <v>0.016154676568413</v>
      </c>
      <c r="F1569" t="s">
        <v>3182</v>
      </c>
      <c r="G1569" t="s">
        <v>3182</v>
      </c>
      <c r="H1569">
        <v>0.296599861796063</v>
      </c>
      <c r="I1569">
        <v>651.645444</v>
      </c>
      <c r="J1569">
        <v>724.0504937999999</v>
      </c>
      <c r="K1569">
        <v>12.30704820730552</v>
      </c>
      <c r="L1569">
        <v>1.1135758398613</v>
      </c>
      <c r="M1569">
        <v>19.27</v>
      </c>
      <c r="N1569">
        <v>14.76</v>
      </c>
    </row>
    <row r="1570" spans="1:14">
      <c r="A1570" s="1" t="s">
        <v>1582</v>
      </c>
      <c r="B1570">
        <f>HYPERLINK("https://www.suredividend.com/sure-analysis-research-database/","KraneShares Trust")</f>
        <v>0</v>
      </c>
      <c r="C1570" t="s">
        <v>3185</v>
      </c>
      <c r="D1570">
        <v>24.5236</v>
      </c>
      <c r="E1570">
        <v>0</v>
      </c>
      <c r="F1570" t="s">
        <v>3182</v>
      </c>
      <c r="G1570" t="s">
        <v>3182</v>
      </c>
      <c r="H1570">
        <v>0</v>
      </c>
      <c r="I1570">
        <v>2.45236</v>
      </c>
      <c r="J1570">
        <v>0</v>
      </c>
      <c r="K1570" t="s">
        <v>3182</v>
      </c>
      <c r="L1570">
        <v>0.5527026224715951</v>
      </c>
      <c r="M1570">
        <v>25.71</v>
      </c>
      <c r="N1570">
        <v>23.85</v>
      </c>
    </row>
    <row r="1571" spans="1:14">
      <c r="A1571" s="1" t="s">
        <v>1583</v>
      </c>
      <c r="B1571">
        <f>HYPERLINK("https://www.suredividend.com/sure-analysis-research-database/","Kewaunee Scientific Corporation")</f>
        <v>0</v>
      </c>
      <c r="C1571" t="s">
        <v>3186</v>
      </c>
      <c r="D1571">
        <v>18.25</v>
      </c>
      <c r="E1571">
        <v>0</v>
      </c>
      <c r="F1571" t="s">
        <v>3182</v>
      </c>
      <c r="G1571" t="s">
        <v>3182</v>
      </c>
      <c r="H1571">
        <v>0</v>
      </c>
      <c r="I1571">
        <v>52.999716</v>
      </c>
      <c r="J1571">
        <v>0</v>
      </c>
      <c r="K1571" t="s">
        <v>3182</v>
      </c>
      <c r="M1571">
        <v>19.04</v>
      </c>
      <c r="N1571">
        <v>14.56</v>
      </c>
    </row>
    <row r="1572" spans="1:14">
      <c r="A1572" s="1" t="s">
        <v>1584</v>
      </c>
      <c r="B1572">
        <f>HYPERLINK("https://www.suredividend.com/sure-analysis-research-database/","Kirby Corp.")</f>
        <v>0</v>
      </c>
      <c r="C1572" t="s">
        <v>3183</v>
      </c>
      <c r="D1572">
        <v>76.98999999999999</v>
      </c>
      <c r="E1572">
        <v>0</v>
      </c>
      <c r="F1572" t="s">
        <v>3182</v>
      </c>
      <c r="G1572" t="s">
        <v>3182</v>
      </c>
      <c r="H1572">
        <v>0</v>
      </c>
      <c r="I1572">
        <v>4580.905</v>
      </c>
      <c r="J1572">
        <v>26.26349464800683</v>
      </c>
      <c r="K1572">
        <v>0</v>
      </c>
      <c r="L1572">
        <v>1.064670567466043</v>
      </c>
      <c r="M1572">
        <v>87.52</v>
      </c>
      <c r="N1572">
        <v>60.14</v>
      </c>
    </row>
    <row r="1573" spans="1:14">
      <c r="A1573" s="1" t="s">
        <v>1585</v>
      </c>
      <c r="B1573">
        <f>HYPERLINK("https://www.suredividend.com/sure-analysis-KEY/","Keycorp")</f>
        <v>0</v>
      </c>
      <c r="C1573" t="s">
        <v>3184</v>
      </c>
      <c r="D1573">
        <v>10.99</v>
      </c>
      <c r="E1573">
        <v>0.0746132848043676</v>
      </c>
      <c r="F1573">
        <v>0.05128205128205132</v>
      </c>
      <c r="G1573">
        <v>0.03815210271659408</v>
      </c>
      <c r="H1573">
        <v>0.7980517395927631</v>
      </c>
      <c r="I1573">
        <v>10285.748953</v>
      </c>
      <c r="J1573">
        <v>7.357474215150215</v>
      </c>
      <c r="K1573">
        <v>0.532034493061842</v>
      </c>
      <c r="L1573">
        <v>1.759148292126637</v>
      </c>
      <c r="M1573">
        <v>19.3</v>
      </c>
      <c r="N1573">
        <v>8.199999999999999</v>
      </c>
    </row>
    <row r="1574" spans="1:14">
      <c r="A1574" s="1" t="s">
        <v>1586</v>
      </c>
      <c r="B1574">
        <f>HYPERLINK("https://www.suredividend.com/sure-analysis-research-database/","Keysight Technologies Inc")</f>
        <v>0</v>
      </c>
      <c r="C1574" t="s">
        <v>3185</v>
      </c>
      <c r="D1574">
        <v>123.2</v>
      </c>
      <c r="E1574">
        <v>0</v>
      </c>
      <c r="F1574" t="s">
        <v>3182</v>
      </c>
      <c r="G1574" t="s">
        <v>3182</v>
      </c>
      <c r="H1574">
        <v>0</v>
      </c>
      <c r="I1574">
        <v>21877.198358</v>
      </c>
      <c r="J1574">
        <v>19.36035252955752</v>
      </c>
      <c r="K1574">
        <v>0</v>
      </c>
      <c r="L1574">
        <v>1.062057818143483</v>
      </c>
      <c r="M1574">
        <v>189.45</v>
      </c>
      <c r="N1574">
        <v>118.57</v>
      </c>
    </row>
    <row r="1575" spans="1:14">
      <c r="A1575" s="1" t="s">
        <v>1587</v>
      </c>
      <c r="B1575">
        <f>HYPERLINK("https://www.suredividend.com/sure-analysis-research-database/","Kentucky First Federal Bancorp")</f>
        <v>0</v>
      </c>
      <c r="C1575" t="s">
        <v>3184</v>
      </c>
      <c r="D1575">
        <v>4.4456</v>
      </c>
      <c r="E1575">
        <v>0.063503579314378</v>
      </c>
      <c r="F1575">
        <v>0</v>
      </c>
      <c r="G1575">
        <v>0</v>
      </c>
      <c r="H1575">
        <v>0.2823115122</v>
      </c>
      <c r="I1575">
        <v>35.9503</v>
      </c>
      <c r="J1575">
        <v>0</v>
      </c>
      <c r="K1575" t="s">
        <v>3182</v>
      </c>
      <c r="M1575">
        <v>7.23</v>
      </c>
      <c r="N1575">
        <v>4.29</v>
      </c>
    </row>
    <row r="1576" spans="1:14">
      <c r="A1576" s="1" t="s">
        <v>1588</v>
      </c>
      <c r="B1576">
        <f>HYPERLINK("https://www.suredividend.com/sure-analysis-research-database/","Kforce Inc.")</f>
        <v>0</v>
      </c>
      <c r="C1576" t="s">
        <v>3183</v>
      </c>
      <c r="D1576">
        <v>60.53</v>
      </c>
      <c r="E1576">
        <v>0.022429592412266</v>
      </c>
      <c r="F1576">
        <v>0.1999999999999997</v>
      </c>
      <c r="G1576">
        <v>0.1486983549970351</v>
      </c>
      <c r="H1576">
        <v>1.357663228714512</v>
      </c>
      <c r="I1576">
        <v>1217.908876</v>
      </c>
      <c r="J1576">
        <v>18.99480452353473</v>
      </c>
      <c r="K1576">
        <v>0.4229480463285084</v>
      </c>
      <c r="L1576">
        <v>0.843963263444613</v>
      </c>
      <c r="M1576">
        <v>65.89</v>
      </c>
      <c r="N1576">
        <v>47.87</v>
      </c>
    </row>
    <row r="1577" spans="1:14">
      <c r="A1577" s="1" t="s">
        <v>1589</v>
      </c>
      <c r="B1577">
        <f>HYPERLINK("https://www.suredividend.com/sure-analysis-research-database/","Korn Ferry")</f>
        <v>0</v>
      </c>
      <c r="C1577" t="s">
        <v>3183</v>
      </c>
      <c r="D1577">
        <v>46.99</v>
      </c>
      <c r="E1577">
        <v>0.013974763662399</v>
      </c>
      <c r="F1577">
        <v>0.2</v>
      </c>
      <c r="G1577">
        <v>0.1247461131420948</v>
      </c>
      <c r="H1577">
        <v>0.656674144496148</v>
      </c>
      <c r="I1577">
        <v>2476.590517</v>
      </c>
      <c r="J1577">
        <v>14.16060400765039</v>
      </c>
      <c r="K1577">
        <v>0.1937091871670053</v>
      </c>
      <c r="L1577">
        <v>1.014193125327738</v>
      </c>
      <c r="M1577">
        <v>59.29</v>
      </c>
      <c r="N1577">
        <v>44.36</v>
      </c>
    </row>
    <row r="1578" spans="1:14">
      <c r="A1578" s="1" t="s">
        <v>1590</v>
      </c>
      <c r="B1578">
        <f>HYPERLINK("https://www.suredividend.com/sure-analysis-KHC/","Kraft Heinz Co")</f>
        <v>0</v>
      </c>
      <c r="C1578" t="s">
        <v>3188</v>
      </c>
      <c r="D1578">
        <v>33.51</v>
      </c>
      <c r="E1578">
        <v>0.04774694121157864</v>
      </c>
      <c r="F1578">
        <v>0</v>
      </c>
      <c r="G1578">
        <v>-0.08538989614534731</v>
      </c>
      <c r="H1578">
        <v>1.567581983618395</v>
      </c>
      <c r="I1578">
        <v>41160.148762</v>
      </c>
      <c r="J1578">
        <v>13.03361265421786</v>
      </c>
      <c r="K1578">
        <v>0.6123367123509356</v>
      </c>
      <c r="L1578">
        <v>0.302580253543916</v>
      </c>
      <c r="M1578">
        <v>41.35</v>
      </c>
      <c r="N1578">
        <v>30.68</v>
      </c>
    </row>
    <row r="1579" spans="1:14">
      <c r="A1579" s="1" t="s">
        <v>1591</v>
      </c>
      <c r="B1579">
        <f>HYPERLINK("https://www.suredividend.com/sure-analysis-research-database/","OrthoPediatrics corp")</f>
        <v>0</v>
      </c>
      <c r="C1579" t="s">
        <v>3180</v>
      </c>
      <c r="D1579">
        <v>25.78</v>
      </c>
      <c r="E1579">
        <v>0</v>
      </c>
      <c r="F1579" t="s">
        <v>3182</v>
      </c>
      <c r="G1579" t="s">
        <v>3182</v>
      </c>
      <c r="H1579">
        <v>0</v>
      </c>
      <c r="I1579">
        <v>602.004145</v>
      </c>
      <c r="J1579">
        <v>602.6067516316317</v>
      </c>
      <c r="K1579">
        <v>0</v>
      </c>
      <c r="L1579">
        <v>1.47468598427527</v>
      </c>
      <c r="M1579">
        <v>53.5</v>
      </c>
      <c r="N1579">
        <v>23.1</v>
      </c>
    </row>
    <row r="1580" spans="1:14">
      <c r="A1580" s="1" t="s">
        <v>1592</v>
      </c>
      <c r="B1580">
        <f>HYPERLINK("https://www.suredividend.com/sure-analysis-KIM/","Kimco Realty Corporation")</f>
        <v>0</v>
      </c>
      <c r="C1580" t="s">
        <v>3187</v>
      </c>
      <c r="D1580">
        <v>18.53</v>
      </c>
      <c r="E1580">
        <v>0.05180787911494873</v>
      </c>
      <c r="F1580" t="s">
        <v>3182</v>
      </c>
      <c r="G1580" t="s">
        <v>3182</v>
      </c>
      <c r="H1580">
        <v>0.4571454487874571</v>
      </c>
      <c r="I1580">
        <v>11486.26837</v>
      </c>
      <c r="J1580">
        <v>26.28166063014106</v>
      </c>
      <c r="K1580">
        <v>0.6472397689189537</v>
      </c>
      <c r="L1580">
        <v>0.8471284746755861</v>
      </c>
      <c r="M1580">
        <v>22.44</v>
      </c>
      <c r="N1580">
        <v>16.34</v>
      </c>
    </row>
    <row r="1581" spans="1:14">
      <c r="A1581" s="1" t="s">
        <v>1593</v>
      </c>
      <c r="B1581">
        <f>HYPERLINK("https://www.suredividend.com/sure-analysis-research-database/","Kindred Biosciences Inc")</f>
        <v>0</v>
      </c>
      <c r="C1581" t="s">
        <v>3180</v>
      </c>
      <c r="D1581">
        <v>9.25</v>
      </c>
      <c r="E1581">
        <v>0</v>
      </c>
      <c r="F1581" t="s">
        <v>3182</v>
      </c>
      <c r="G1581" t="s">
        <v>3182</v>
      </c>
      <c r="H1581">
        <v>0</v>
      </c>
      <c r="I1581">
        <v>0</v>
      </c>
      <c r="J1581">
        <v>0</v>
      </c>
      <c r="K1581" t="s">
        <v>3182</v>
      </c>
    </row>
    <row r="1582" spans="1:14">
      <c r="A1582" s="1" t="s">
        <v>1594</v>
      </c>
      <c r="B1582">
        <f>HYPERLINK("https://www.suredividend.com/sure-analysis-research-database/","Kingstone Cos. Inc")</f>
        <v>0</v>
      </c>
      <c r="C1582" t="s">
        <v>3184</v>
      </c>
      <c r="D1582">
        <v>2.05</v>
      </c>
      <c r="E1582">
        <v>0</v>
      </c>
      <c r="F1582" t="s">
        <v>3182</v>
      </c>
      <c r="G1582" t="s">
        <v>3182</v>
      </c>
      <c r="H1582">
        <v>0</v>
      </c>
      <c r="I1582">
        <v>22.05012</v>
      </c>
      <c r="J1582">
        <v>0</v>
      </c>
      <c r="K1582" t="s">
        <v>3182</v>
      </c>
      <c r="L1582">
        <v>0.368965914942712</v>
      </c>
      <c r="M1582">
        <v>2.17</v>
      </c>
      <c r="N1582">
        <v>0.6924</v>
      </c>
    </row>
    <row r="1583" spans="1:14">
      <c r="A1583" s="1" t="s">
        <v>1595</v>
      </c>
      <c r="B1583">
        <f>HYPERLINK("https://www.suredividend.com/sure-analysis-research-database/","Kirkland`s Inc")</f>
        <v>0</v>
      </c>
      <c r="C1583" t="s">
        <v>3186</v>
      </c>
      <c r="D1583">
        <v>1.62</v>
      </c>
      <c r="E1583">
        <v>0</v>
      </c>
      <c r="F1583" t="s">
        <v>3182</v>
      </c>
      <c r="G1583" t="s">
        <v>3182</v>
      </c>
      <c r="H1583">
        <v>0</v>
      </c>
      <c r="I1583">
        <v>20.926144</v>
      </c>
      <c r="J1583" t="s">
        <v>3182</v>
      </c>
      <c r="K1583">
        <v>-0</v>
      </c>
      <c r="L1583">
        <v>0.691547926570097</v>
      </c>
      <c r="M1583">
        <v>4.87</v>
      </c>
      <c r="N1583">
        <v>1.53</v>
      </c>
    </row>
    <row r="1584" spans="1:14">
      <c r="A1584" s="1" t="s">
        <v>1596</v>
      </c>
      <c r="B1584">
        <f>HYPERLINK("https://www.suredividend.com/sure-analysis-KKR/","KKR &amp; Co. Inc")</f>
        <v>0</v>
      </c>
      <c r="C1584" t="s">
        <v>3184</v>
      </c>
      <c r="D1584">
        <v>58.72</v>
      </c>
      <c r="E1584">
        <v>0.01123978201634878</v>
      </c>
      <c r="F1584">
        <v>0.06451612903225823</v>
      </c>
      <c r="G1584">
        <v>0.05709686837461603</v>
      </c>
      <c r="H1584">
        <v>0.636854590839329</v>
      </c>
      <c r="I1584">
        <v>50489.419832</v>
      </c>
      <c r="J1584">
        <v>43.46201840064688</v>
      </c>
      <c r="K1584">
        <v>0.4824655991207038</v>
      </c>
      <c r="L1584">
        <v>1.759505298998298</v>
      </c>
      <c r="M1584">
        <v>64.77</v>
      </c>
      <c r="N1584">
        <v>44.64</v>
      </c>
    </row>
    <row r="1585" spans="1:14">
      <c r="A1585" s="1" t="s">
        <v>1597</v>
      </c>
      <c r="B1585">
        <f>HYPERLINK("https://www.suredividend.com/sure-analysis-KLAC/","KLA Corp.")</f>
        <v>0</v>
      </c>
      <c r="C1585" t="s">
        <v>3185</v>
      </c>
      <c r="D1585">
        <v>489.34</v>
      </c>
      <c r="E1585">
        <v>0.01185269955450198</v>
      </c>
      <c r="F1585">
        <v>0</v>
      </c>
      <c r="G1585">
        <v>0.1162884154841741</v>
      </c>
      <c r="H1585">
        <v>5.166008102617838</v>
      </c>
      <c r="I1585">
        <v>66517.119511</v>
      </c>
      <c r="J1585">
        <v>21.43873259484036</v>
      </c>
      <c r="K1585">
        <v>0.2312447673508433</v>
      </c>
      <c r="L1585">
        <v>1.617132775689522</v>
      </c>
      <c r="M1585">
        <v>520.1900000000001</v>
      </c>
      <c r="N1585">
        <v>313.87</v>
      </c>
    </row>
    <row r="1586" spans="1:14">
      <c r="A1586" s="1" t="s">
        <v>1598</v>
      </c>
      <c r="B1586">
        <f>HYPERLINK("https://www.suredividend.com/sure-analysis-KLIC/","Kulicke &amp; Soffa Industries, Inc.")</f>
        <v>0</v>
      </c>
      <c r="C1586" t="s">
        <v>3185</v>
      </c>
      <c r="D1586">
        <v>43.81</v>
      </c>
      <c r="E1586">
        <v>0.01734763752567907</v>
      </c>
      <c r="F1586">
        <v>0.1176470588235294</v>
      </c>
      <c r="G1586">
        <v>0.09626227935295417</v>
      </c>
      <c r="H1586">
        <v>0.7545163863748</v>
      </c>
      <c r="I1586">
        <v>2474.095142</v>
      </c>
      <c r="J1586">
        <v>25.06808999007042</v>
      </c>
      <c r="K1586">
        <v>0.4438331684557646</v>
      </c>
      <c r="L1586">
        <v>1.454163424739366</v>
      </c>
      <c r="M1586">
        <v>59.96</v>
      </c>
      <c r="N1586">
        <v>40.2</v>
      </c>
    </row>
    <row r="1587" spans="1:14">
      <c r="A1587" s="1" t="s">
        <v>1599</v>
      </c>
      <c r="B1587">
        <f>HYPERLINK("https://www.suredividend.com/sure-analysis-research-database/","KLX Energy Services Holdings Inc")</f>
        <v>0</v>
      </c>
      <c r="C1587" t="s">
        <v>3189</v>
      </c>
      <c r="D1587">
        <v>10.46</v>
      </c>
      <c r="E1587">
        <v>0</v>
      </c>
      <c r="F1587" t="s">
        <v>3182</v>
      </c>
      <c r="G1587" t="s">
        <v>3182</v>
      </c>
      <c r="H1587">
        <v>0</v>
      </c>
      <c r="I1587">
        <v>171.621624</v>
      </c>
      <c r="J1587">
        <v>3.805357509090909</v>
      </c>
      <c r="K1587">
        <v>0</v>
      </c>
      <c r="L1587">
        <v>1.456546910662229</v>
      </c>
      <c r="M1587">
        <v>18.63</v>
      </c>
      <c r="N1587">
        <v>7.7</v>
      </c>
    </row>
    <row r="1588" spans="1:14">
      <c r="A1588" s="1" t="s">
        <v>1600</v>
      </c>
      <c r="B1588">
        <f>HYPERLINK("https://www.suredividend.com/sure-analysis-KMB/","Kimberly-Clark Corp.")</f>
        <v>0</v>
      </c>
      <c r="C1588" t="s">
        <v>3188</v>
      </c>
      <c r="D1588">
        <v>121.05</v>
      </c>
      <c r="E1588">
        <v>0.03899215200330442</v>
      </c>
      <c r="F1588">
        <v>0.01724137931034475</v>
      </c>
      <c r="G1588">
        <v>0.03365688434519343</v>
      </c>
      <c r="H1588">
        <v>4.636068188756996</v>
      </c>
      <c r="I1588">
        <v>40907.760592</v>
      </c>
      <c r="J1588">
        <v>23.21666321909761</v>
      </c>
      <c r="K1588">
        <v>0.8915515747609607</v>
      </c>
      <c r="L1588">
        <v>0.375002249762163</v>
      </c>
      <c r="M1588">
        <v>145.21</v>
      </c>
      <c r="N1588">
        <v>116.32</v>
      </c>
    </row>
    <row r="1589" spans="1:14">
      <c r="A1589" s="1" t="s">
        <v>1601</v>
      </c>
      <c r="B1589">
        <f>HYPERLINK("https://www.suredividend.com/sure-analysis-KMI/","Kinder Morgan Inc")</f>
        <v>0</v>
      </c>
      <c r="C1589" t="s">
        <v>3189</v>
      </c>
      <c r="D1589">
        <v>16.9</v>
      </c>
      <c r="E1589">
        <v>0.06686390532544378</v>
      </c>
      <c r="F1589">
        <v>0.01801801801801806</v>
      </c>
      <c r="G1589">
        <v>0.0715136090752686</v>
      </c>
      <c r="H1589">
        <v>1.097349437369441</v>
      </c>
      <c r="I1589">
        <v>37564.879468</v>
      </c>
      <c r="J1589">
        <v>15.32009766219413</v>
      </c>
      <c r="K1589">
        <v>1.00674260309123</v>
      </c>
      <c r="L1589">
        <v>0.7472494642632901</v>
      </c>
      <c r="M1589">
        <v>18.14</v>
      </c>
      <c r="N1589">
        <v>15.36</v>
      </c>
    </row>
    <row r="1590" spans="1:14">
      <c r="A1590" s="1" t="s">
        <v>1602</v>
      </c>
      <c r="B1590">
        <f>HYPERLINK("https://www.suredividend.com/sure-analysis-research-database/","Zevra Therapeutics Inc")</f>
        <v>0</v>
      </c>
      <c r="C1590" t="s">
        <v>3180</v>
      </c>
      <c r="D1590">
        <v>5.46</v>
      </c>
      <c r="E1590">
        <v>0</v>
      </c>
      <c r="F1590" t="s">
        <v>3182</v>
      </c>
      <c r="G1590" t="s">
        <v>3182</v>
      </c>
      <c r="H1590">
        <v>0</v>
      </c>
      <c r="I1590">
        <v>198.057908</v>
      </c>
      <c r="J1590">
        <v>0</v>
      </c>
      <c r="K1590" t="s">
        <v>3182</v>
      </c>
      <c r="L1590">
        <v>0.7818515600498671</v>
      </c>
      <c r="M1590">
        <v>6.92</v>
      </c>
      <c r="N1590">
        <v>4</v>
      </c>
    </row>
    <row r="1591" spans="1:14">
      <c r="A1591" s="1" t="s">
        <v>1603</v>
      </c>
      <c r="B1591">
        <f>HYPERLINK("https://www.suredividend.com/sure-analysis-research-database/","Kemper Corporation")</f>
        <v>0</v>
      </c>
      <c r="C1591" t="s">
        <v>3184</v>
      </c>
      <c r="D1591">
        <v>41.24</v>
      </c>
      <c r="E1591">
        <v>0.029784914082457</v>
      </c>
      <c r="F1591">
        <v>0</v>
      </c>
      <c r="G1591">
        <v>0.05251935381426631</v>
      </c>
      <c r="H1591">
        <v>1.22832985676053</v>
      </c>
      <c r="I1591">
        <v>2642.953984</v>
      </c>
      <c r="J1591" t="s">
        <v>3182</v>
      </c>
      <c r="K1591" t="s">
        <v>3182</v>
      </c>
      <c r="L1591">
        <v>0.9369820867513221</v>
      </c>
      <c r="M1591">
        <v>66.92</v>
      </c>
      <c r="N1591">
        <v>38.32</v>
      </c>
    </row>
    <row r="1592" spans="1:14">
      <c r="A1592" s="1" t="s">
        <v>1604</v>
      </c>
      <c r="B1592">
        <f>HYPERLINK("https://www.suredividend.com/sure-analysis-research-database/","Kennametal Inc.")</f>
        <v>0</v>
      </c>
      <c r="C1592" t="s">
        <v>3183</v>
      </c>
      <c r="D1592">
        <v>23.35</v>
      </c>
      <c r="E1592">
        <v>0.033888499831943</v>
      </c>
      <c r="F1592">
        <v>0</v>
      </c>
      <c r="G1592">
        <v>0</v>
      </c>
      <c r="H1592">
        <v>0.7912964710758711</v>
      </c>
      <c r="I1592">
        <v>1861.256987</v>
      </c>
      <c r="J1592">
        <v>15.71224632151208</v>
      </c>
      <c r="K1592">
        <v>0.5419838842985418</v>
      </c>
      <c r="L1592">
        <v>1.268001144967319</v>
      </c>
      <c r="M1592">
        <v>30.38</v>
      </c>
      <c r="N1592">
        <v>22.08</v>
      </c>
    </row>
    <row r="1593" spans="1:14">
      <c r="A1593" s="1" t="s">
        <v>1605</v>
      </c>
      <c r="B1593">
        <f>HYPERLINK("https://www.suredividend.com/sure-analysis-research-database/","Carmax Inc")</f>
        <v>0</v>
      </c>
      <c r="C1593" t="s">
        <v>3186</v>
      </c>
      <c r="D1593">
        <v>63.64</v>
      </c>
      <c r="E1593">
        <v>0</v>
      </c>
      <c r="F1593" t="s">
        <v>3182</v>
      </c>
      <c r="G1593" t="s">
        <v>3182</v>
      </c>
      <c r="H1593">
        <v>0</v>
      </c>
      <c r="I1593">
        <v>10097.646094</v>
      </c>
      <c r="J1593">
        <v>22.26480589506643</v>
      </c>
      <c r="K1593">
        <v>0</v>
      </c>
      <c r="L1593">
        <v>1.498371309378551</v>
      </c>
      <c r="M1593">
        <v>87.5</v>
      </c>
      <c r="N1593">
        <v>52.1</v>
      </c>
    </row>
    <row r="1594" spans="1:14">
      <c r="A1594" s="1" t="s">
        <v>1606</v>
      </c>
      <c r="B1594">
        <f>HYPERLINK("https://www.suredividend.com/sure-analysis-research-database/","Knowles Corp")</f>
        <v>0</v>
      </c>
      <c r="C1594" t="s">
        <v>3185</v>
      </c>
      <c r="D1594">
        <v>13.51</v>
      </c>
      <c r="E1594">
        <v>0</v>
      </c>
      <c r="F1594" t="s">
        <v>3182</v>
      </c>
      <c r="G1594" t="s">
        <v>3182</v>
      </c>
      <c r="H1594">
        <v>0</v>
      </c>
      <c r="I1594">
        <v>1231.357007</v>
      </c>
      <c r="J1594" t="s">
        <v>3182</v>
      </c>
      <c r="K1594">
        <v>-0</v>
      </c>
      <c r="L1594">
        <v>0.9751139896130381</v>
      </c>
      <c r="M1594">
        <v>20.25</v>
      </c>
      <c r="N1594">
        <v>12.78</v>
      </c>
    </row>
    <row r="1595" spans="1:14">
      <c r="A1595" s="1" t="s">
        <v>1607</v>
      </c>
      <c r="B1595">
        <f>HYPERLINK("https://www.suredividend.com/sure-analysis-research-database/","Knoll Inc")</f>
        <v>0</v>
      </c>
      <c r="C1595" t="s">
        <v>3183</v>
      </c>
      <c r="D1595">
        <v>24.81</v>
      </c>
      <c r="E1595">
        <v>0.009631375487900001</v>
      </c>
      <c r="F1595" t="s">
        <v>3182</v>
      </c>
      <c r="G1595" t="s">
        <v>3182</v>
      </c>
      <c r="H1595">
        <v>0.238954425854811</v>
      </c>
      <c r="I1595">
        <v>1226.625305</v>
      </c>
      <c r="J1595" t="s">
        <v>3182</v>
      </c>
      <c r="K1595" t="s">
        <v>3182</v>
      </c>
      <c r="L1595">
        <v>0.872901923019448</v>
      </c>
      <c r="M1595">
        <v>27.24</v>
      </c>
      <c r="N1595">
        <v>10.75</v>
      </c>
    </row>
    <row r="1596" spans="1:14">
      <c r="A1596" s="1" t="s">
        <v>1608</v>
      </c>
      <c r="B1596">
        <f>HYPERLINK("https://www.suredividend.com/sure-analysis-research-database/","Kiniksa Pharmaceuticals Ltd")</f>
        <v>0</v>
      </c>
      <c r="C1596" t="s">
        <v>3180</v>
      </c>
      <c r="D1596">
        <v>15.95</v>
      </c>
      <c r="E1596">
        <v>0</v>
      </c>
      <c r="F1596" t="s">
        <v>3182</v>
      </c>
      <c r="G1596" t="s">
        <v>3182</v>
      </c>
      <c r="H1596">
        <v>0</v>
      </c>
      <c r="I1596">
        <v>562.050151</v>
      </c>
      <c r="J1596">
        <v>2.430424081104922</v>
      </c>
      <c r="K1596">
        <v>0</v>
      </c>
      <c r="L1596">
        <v>0.649516805967274</v>
      </c>
      <c r="M1596">
        <v>20.65</v>
      </c>
      <c r="N1596">
        <v>10.29</v>
      </c>
    </row>
    <row r="1597" spans="1:14">
      <c r="A1597" s="1" t="s">
        <v>1609</v>
      </c>
      <c r="B1597">
        <f>HYPERLINK("https://www.suredividend.com/sure-analysis-research-database/","Kinsale Capital Group Inc")</f>
        <v>0</v>
      </c>
      <c r="C1597" t="s">
        <v>3184</v>
      </c>
      <c r="D1597">
        <v>344.35</v>
      </c>
      <c r="E1597">
        <v>0.001596253020806</v>
      </c>
      <c r="F1597">
        <v>0.07692307692307709</v>
      </c>
      <c r="G1597">
        <v>0.1486983549970351</v>
      </c>
      <c r="H1597">
        <v>0.5496697277147461</v>
      </c>
      <c r="I1597">
        <v>7979.783706</v>
      </c>
      <c r="J1597">
        <v>29.34229451857844</v>
      </c>
      <c r="K1597">
        <v>0.04706076435913922</v>
      </c>
      <c r="L1597">
        <v>0.789288181261094</v>
      </c>
      <c r="M1597">
        <v>457.73</v>
      </c>
      <c r="N1597">
        <v>250.58</v>
      </c>
    </row>
    <row r="1598" spans="1:14">
      <c r="A1598" s="1" t="s">
        <v>1610</v>
      </c>
      <c r="B1598">
        <f>HYPERLINK("https://www.suredividend.com/sure-analysis-research-database/","Knight-Swift Transportation Holdings Inc")</f>
        <v>0</v>
      </c>
      <c r="C1598" t="s">
        <v>3183</v>
      </c>
      <c r="D1598">
        <v>49.08</v>
      </c>
      <c r="E1598">
        <v>0.010962008285402</v>
      </c>
      <c r="F1598">
        <v>0.1666666666666667</v>
      </c>
      <c r="G1598">
        <v>0.1846644525422441</v>
      </c>
      <c r="H1598">
        <v>0.538015366647532</v>
      </c>
      <c r="I1598">
        <v>7916.30952</v>
      </c>
      <c r="J1598">
        <v>15.48858655543077</v>
      </c>
      <c r="K1598">
        <v>0.1702580274201051</v>
      </c>
      <c r="L1598">
        <v>1.115358115624459</v>
      </c>
      <c r="M1598">
        <v>63.87</v>
      </c>
      <c r="N1598">
        <v>45.73</v>
      </c>
    </row>
    <row r="1599" spans="1:14">
      <c r="A1599" s="1" t="s">
        <v>1611</v>
      </c>
      <c r="B1599">
        <f>HYPERLINK("https://www.suredividend.com/sure-analysis-KO/","Coca-Cola Co")</f>
        <v>0</v>
      </c>
      <c r="C1599" t="s">
        <v>3188</v>
      </c>
      <c r="D1599">
        <v>57.09</v>
      </c>
      <c r="E1599">
        <v>0.03222981257663338</v>
      </c>
      <c r="F1599">
        <v>0.04545454545454541</v>
      </c>
      <c r="G1599">
        <v>0.03356702457817873</v>
      </c>
      <c r="H1599">
        <v>1.799247808957871</v>
      </c>
      <c r="I1599">
        <v>246823.694413</v>
      </c>
      <c r="J1599">
        <v>22.91345102236353</v>
      </c>
      <c r="K1599">
        <v>0.7255031487733351</v>
      </c>
      <c r="L1599">
        <v>0.451317557195906</v>
      </c>
      <c r="M1599">
        <v>63.99</v>
      </c>
      <c r="N1599">
        <v>51.55</v>
      </c>
    </row>
    <row r="1600" spans="1:14">
      <c r="A1600" s="1" t="s">
        <v>1612</v>
      </c>
      <c r="B1600">
        <f>HYPERLINK("https://www.suredividend.com/sure-analysis-research-database/","Kodiak Sciences Inc")</f>
        <v>0</v>
      </c>
      <c r="C1600" t="s">
        <v>3180</v>
      </c>
      <c r="D1600">
        <v>2.11</v>
      </c>
      <c r="E1600">
        <v>0</v>
      </c>
      <c r="F1600" t="s">
        <v>3182</v>
      </c>
      <c r="G1600" t="s">
        <v>3182</v>
      </c>
      <c r="H1600">
        <v>0</v>
      </c>
      <c r="I1600">
        <v>110.676174</v>
      </c>
      <c r="J1600">
        <v>0</v>
      </c>
      <c r="K1600" t="s">
        <v>3182</v>
      </c>
      <c r="L1600">
        <v>1.85442703505076</v>
      </c>
      <c r="M1600">
        <v>9.800000000000001</v>
      </c>
      <c r="N1600">
        <v>1.37</v>
      </c>
    </row>
    <row r="1601" spans="1:14">
      <c r="A1601" s="1" t="s">
        <v>1613</v>
      </c>
      <c r="B1601">
        <f>HYPERLINK("https://www.suredividend.com/sure-analysis-research-database/","Eastman Kodak Co.")</f>
        <v>0</v>
      </c>
      <c r="C1601" t="s">
        <v>3183</v>
      </c>
      <c r="D1601">
        <v>3.8</v>
      </c>
      <c r="E1601">
        <v>0</v>
      </c>
      <c r="F1601" t="s">
        <v>3182</v>
      </c>
      <c r="G1601" t="s">
        <v>3182</v>
      </c>
      <c r="H1601">
        <v>0</v>
      </c>
      <c r="I1601">
        <v>301.999517</v>
      </c>
      <c r="J1601">
        <v>0</v>
      </c>
      <c r="K1601" t="s">
        <v>3182</v>
      </c>
      <c r="L1601">
        <v>1.492955345908537</v>
      </c>
      <c r="M1601">
        <v>6.34</v>
      </c>
      <c r="N1601">
        <v>2.78</v>
      </c>
    </row>
    <row r="1602" spans="1:14">
      <c r="A1602" s="1" t="s">
        <v>1614</v>
      </c>
      <c r="B1602">
        <f>HYPERLINK("https://www.suredividend.com/sure-analysis-research-database/","Koppers Holdings Inc")</f>
        <v>0</v>
      </c>
      <c r="C1602" t="s">
        <v>3181</v>
      </c>
      <c r="D1602">
        <v>37.38</v>
      </c>
      <c r="E1602">
        <v>0.006137815668721001</v>
      </c>
      <c r="F1602" t="s">
        <v>3182</v>
      </c>
      <c r="G1602" t="s">
        <v>3182</v>
      </c>
      <c r="H1602">
        <v>0.229431549696801</v>
      </c>
      <c r="I1602">
        <v>780.204481</v>
      </c>
      <c r="J1602">
        <v>9.411393012303982</v>
      </c>
      <c r="K1602">
        <v>0.05882860248635924</v>
      </c>
      <c r="L1602">
        <v>1.101133847060249</v>
      </c>
      <c r="M1602">
        <v>41.91</v>
      </c>
      <c r="N1602">
        <v>24.75</v>
      </c>
    </row>
    <row r="1603" spans="1:14">
      <c r="A1603" s="1" t="s">
        <v>1615</v>
      </c>
      <c r="B1603">
        <f>HYPERLINK("https://www.suredividend.com/sure-analysis-research-database/","Kopin Corp.")</f>
        <v>0</v>
      </c>
      <c r="C1603" t="s">
        <v>3185</v>
      </c>
      <c r="D1603">
        <v>1.285</v>
      </c>
      <c r="E1603">
        <v>0</v>
      </c>
      <c r="F1603" t="s">
        <v>3182</v>
      </c>
      <c r="G1603" t="s">
        <v>3182</v>
      </c>
      <c r="H1603">
        <v>0</v>
      </c>
      <c r="I1603">
        <v>146.869269</v>
      </c>
      <c r="J1603" t="s">
        <v>3182</v>
      </c>
      <c r="K1603">
        <v>-0</v>
      </c>
      <c r="L1603">
        <v>1.7435237397893</v>
      </c>
      <c r="M1603">
        <v>2.5</v>
      </c>
      <c r="N1603">
        <v>0.9400000000000001</v>
      </c>
    </row>
    <row r="1604" spans="1:14">
      <c r="A1604" s="1" t="s">
        <v>1616</v>
      </c>
      <c r="B1604">
        <f>HYPERLINK("https://www.suredividend.com/sure-analysis-research-database/","Kosmos Energy Ltd")</f>
        <v>0</v>
      </c>
      <c r="C1604" t="s">
        <v>3189</v>
      </c>
      <c r="D1604">
        <v>7.62</v>
      </c>
      <c r="E1604">
        <v>0</v>
      </c>
      <c r="F1604" t="s">
        <v>3182</v>
      </c>
      <c r="G1604" t="s">
        <v>3182</v>
      </c>
      <c r="H1604">
        <v>0</v>
      </c>
      <c r="I1604">
        <v>3506.033605</v>
      </c>
      <c r="J1604">
        <v>16.33509264760147</v>
      </c>
      <c r="K1604">
        <v>0</v>
      </c>
      <c r="L1604">
        <v>1.286187073377904</v>
      </c>
      <c r="M1604">
        <v>8.550000000000001</v>
      </c>
      <c r="N1604">
        <v>5.28</v>
      </c>
    </row>
    <row r="1605" spans="1:14">
      <c r="A1605" s="1" t="s">
        <v>1617</v>
      </c>
      <c r="B1605">
        <f>HYPERLINK("https://www.suredividend.com/sure-analysis-research-database/","Karyopharm Therapeutics Inc")</f>
        <v>0</v>
      </c>
      <c r="C1605" t="s">
        <v>3180</v>
      </c>
      <c r="D1605">
        <v>0.7613000000000001</v>
      </c>
      <c r="E1605">
        <v>0</v>
      </c>
      <c r="F1605" t="s">
        <v>3182</v>
      </c>
      <c r="G1605" t="s">
        <v>3182</v>
      </c>
      <c r="H1605">
        <v>0</v>
      </c>
      <c r="I1605">
        <v>87.058111</v>
      </c>
      <c r="J1605">
        <v>0</v>
      </c>
      <c r="K1605" t="s">
        <v>3182</v>
      </c>
      <c r="L1605">
        <v>1.339590525816442</v>
      </c>
      <c r="M1605">
        <v>5.97</v>
      </c>
      <c r="N1605">
        <v>0.748</v>
      </c>
    </row>
    <row r="1606" spans="1:14">
      <c r="A1606" s="1" t="s">
        <v>1618</v>
      </c>
      <c r="B1606">
        <f>HYPERLINK("https://www.suredividend.com/sure-analysis-KR/","Kroger Co.")</f>
        <v>0</v>
      </c>
      <c r="C1606" t="s">
        <v>3188</v>
      </c>
      <c r="D1606">
        <v>45.4</v>
      </c>
      <c r="E1606">
        <v>0.02555066079295154</v>
      </c>
      <c r="F1606">
        <v>0.1153846153846152</v>
      </c>
      <c r="G1606">
        <v>0.1567885797240671</v>
      </c>
      <c r="H1606">
        <v>1.061158854900889</v>
      </c>
      <c r="I1606">
        <v>32656.936321</v>
      </c>
      <c r="J1606">
        <v>20.02264642624157</v>
      </c>
      <c r="K1606">
        <v>0.469539316327827</v>
      </c>
      <c r="L1606">
        <v>0.195570321640379</v>
      </c>
      <c r="M1606">
        <v>50.06</v>
      </c>
      <c r="N1606">
        <v>42.33</v>
      </c>
    </row>
    <row r="1607" spans="1:14">
      <c r="A1607" s="1" t="s">
        <v>1619</v>
      </c>
      <c r="B1607">
        <f>HYPERLINK("https://www.suredividend.com/sure-analysis-research-database/","Kraton Corp")</f>
        <v>0</v>
      </c>
      <c r="C1607" t="s">
        <v>3181</v>
      </c>
      <c r="D1607">
        <v>46.49</v>
      </c>
      <c r="E1607">
        <v>0</v>
      </c>
      <c r="F1607" t="s">
        <v>3182</v>
      </c>
      <c r="G1607" t="s">
        <v>3182</v>
      </c>
      <c r="H1607">
        <v>0</v>
      </c>
      <c r="I1607">
        <v>1498.066854</v>
      </c>
      <c r="J1607">
        <v>8.800458531129205</v>
      </c>
      <c r="K1607">
        <v>0</v>
      </c>
      <c r="L1607">
        <v>0.5972292481504621</v>
      </c>
      <c r="M1607">
        <v>46.74</v>
      </c>
      <c r="N1607">
        <v>30.48</v>
      </c>
    </row>
    <row r="1608" spans="1:14">
      <c r="A1608" s="1" t="s">
        <v>1620</v>
      </c>
      <c r="B1608">
        <f>HYPERLINK("https://www.suredividend.com/sure-analysis-KRC/","Kilroy Realty Corp.")</f>
        <v>0</v>
      </c>
      <c r="C1608" t="s">
        <v>3187</v>
      </c>
      <c r="D1608">
        <v>30.36</v>
      </c>
      <c r="E1608">
        <v>0.07114624505928854</v>
      </c>
      <c r="F1608">
        <v>0</v>
      </c>
      <c r="G1608">
        <v>0.03484778070796524</v>
      </c>
      <c r="H1608">
        <v>2.103911217930889</v>
      </c>
      <c r="I1608">
        <v>3559.392981</v>
      </c>
      <c r="J1608">
        <v>16.45345780715662</v>
      </c>
      <c r="K1608">
        <v>1.143430009745048</v>
      </c>
      <c r="L1608">
        <v>1.379937627855014</v>
      </c>
      <c r="M1608">
        <v>42.1</v>
      </c>
      <c r="N1608">
        <v>25.08</v>
      </c>
    </row>
    <row r="1609" spans="1:14">
      <c r="A1609" s="1" t="s">
        <v>1621</v>
      </c>
      <c r="B1609">
        <f>HYPERLINK("https://www.suredividend.com/sure-analysis-KREF/","KKR Real Estate Finance Trust Inc")</f>
        <v>0</v>
      </c>
      <c r="C1609" t="s">
        <v>3187</v>
      </c>
      <c r="D1609">
        <v>11.38</v>
      </c>
      <c r="E1609">
        <v>0.1511423550087873</v>
      </c>
      <c r="F1609">
        <v>0</v>
      </c>
      <c r="G1609">
        <v>0</v>
      </c>
      <c r="H1609">
        <v>1.630292762114032</v>
      </c>
      <c r="I1609">
        <v>788.791727</v>
      </c>
      <c r="J1609" t="s">
        <v>3182</v>
      </c>
      <c r="K1609" t="s">
        <v>3182</v>
      </c>
      <c r="L1609">
        <v>1.208197851758873</v>
      </c>
      <c r="M1609">
        <v>15.3</v>
      </c>
      <c r="N1609">
        <v>9.050000000000001</v>
      </c>
    </row>
    <row r="1610" spans="1:14">
      <c r="A1610" s="1" t="s">
        <v>1622</v>
      </c>
      <c r="B1610">
        <f>HYPERLINK("https://www.suredividend.com/sure-analysis-KRG/","Kite Realty Group Trust")</f>
        <v>0</v>
      </c>
      <c r="C1610" t="s">
        <v>3187</v>
      </c>
      <c r="D1610">
        <v>21.79</v>
      </c>
      <c r="E1610">
        <v>0.04589261128958238</v>
      </c>
      <c r="F1610">
        <v>0.09090909090909083</v>
      </c>
      <c r="G1610">
        <v>-0.05443039740052658</v>
      </c>
      <c r="H1610">
        <v>0.9439133099951631</v>
      </c>
      <c r="I1610">
        <v>4780.1395</v>
      </c>
      <c r="J1610">
        <v>167.8066243193147</v>
      </c>
      <c r="K1610">
        <v>7.272059399038237</v>
      </c>
      <c r="L1610">
        <v>1.002210456562953</v>
      </c>
      <c r="M1610">
        <v>23.98</v>
      </c>
      <c r="N1610">
        <v>18.14</v>
      </c>
    </row>
    <row r="1611" spans="1:14">
      <c r="A1611" s="1" t="s">
        <v>1623</v>
      </c>
      <c r="B1611">
        <f>HYPERLINK("https://www.suredividend.com/sure-analysis-research-database/","Kearny Financial Corp.")</f>
        <v>0</v>
      </c>
      <c r="C1611" t="s">
        <v>3184</v>
      </c>
      <c r="D1611">
        <v>7.42</v>
      </c>
      <c r="E1611">
        <v>0.057684841467849</v>
      </c>
      <c r="F1611">
        <v>0</v>
      </c>
      <c r="G1611">
        <v>0.1708049129648923</v>
      </c>
      <c r="H1611">
        <v>0.428021523691441</v>
      </c>
      <c r="I1611">
        <v>483.380641</v>
      </c>
      <c r="J1611">
        <v>11.84437140427826</v>
      </c>
      <c r="K1611">
        <v>0.6796149947466513</v>
      </c>
      <c r="L1611">
        <v>1.031832903564001</v>
      </c>
      <c r="M1611">
        <v>10.01</v>
      </c>
      <c r="N1611">
        <v>6.45</v>
      </c>
    </row>
    <row r="1612" spans="1:14">
      <c r="A1612" s="1" t="s">
        <v>1624</v>
      </c>
      <c r="B1612">
        <f>HYPERLINK("https://www.suredividend.com/sure-analysis-KRO/","Kronos Worldwide, Inc.")</f>
        <v>0</v>
      </c>
      <c r="C1612" t="s">
        <v>3181</v>
      </c>
      <c r="D1612">
        <v>7.3</v>
      </c>
      <c r="E1612">
        <v>0.1041095890410959</v>
      </c>
      <c r="F1612">
        <v>0</v>
      </c>
      <c r="G1612">
        <v>0.02249439475955151</v>
      </c>
      <c r="H1612">
        <v>0.7360858941748361</v>
      </c>
      <c r="I1612">
        <v>839.697217</v>
      </c>
      <c r="J1612" t="s">
        <v>3182</v>
      </c>
      <c r="K1612" t="s">
        <v>3182</v>
      </c>
      <c r="L1612">
        <v>1.171294223782014</v>
      </c>
      <c r="M1612">
        <v>11.29</v>
      </c>
      <c r="N1612">
        <v>6.16</v>
      </c>
    </row>
    <row r="1613" spans="1:14">
      <c r="A1613" s="1" t="s">
        <v>1625</v>
      </c>
      <c r="B1613">
        <f>HYPERLINK("https://www.suredividend.com/sure-analysis-research-database/","Krystal Biotech Inc")</f>
        <v>0</v>
      </c>
      <c r="C1613" t="s">
        <v>3180</v>
      </c>
      <c r="D1613">
        <v>119.05</v>
      </c>
      <c r="E1613">
        <v>0</v>
      </c>
      <c r="F1613" t="s">
        <v>3182</v>
      </c>
      <c r="G1613" t="s">
        <v>3182</v>
      </c>
      <c r="H1613">
        <v>0</v>
      </c>
      <c r="I1613">
        <v>3332.706772</v>
      </c>
      <c r="J1613">
        <v>0</v>
      </c>
      <c r="K1613" t="s">
        <v>3182</v>
      </c>
      <c r="L1613">
        <v>0.6541938980145771</v>
      </c>
      <c r="M1613">
        <v>132.68</v>
      </c>
      <c r="N1613">
        <v>69.81</v>
      </c>
    </row>
    <row r="1614" spans="1:14">
      <c r="A1614" s="1" t="s">
        <v>1626</v>
      </c>
      <c r="B1614">
        <f>HYPERLINK("https://www.suredividend.com/sure-analysis-KSS/","Kohl`s Corp.")</f>
        <v>0</v>
      </c>
      <c r="C1614" t="s">
        <v>3186</v>
      </c>
      <c r="D1614">
        <v>23.61</v>
      </c>
      <c r="E1614">
        <v>0.08470986869970351</v>
      </c>
      <c r="F1614" t="s">
        <v>3182</v>
      </c>
      <c r="G1614" t="s">
        <v>3182</v>
      </c>
      <c r="H1614">
        <v>1.937032336090113</v>
      </c>
      <c r="I1614">
        <v>2613.362356</v>
      </c>
      <c r="J1614" t="s">
        <v>3182</v>
      </c>
      <c r="K1614" t="s">
        <v>3182</v>
      </c>
      <c r="L1614">
        <v>1.710338049713126</v>
      </c>
      <c r="M1614">
        <v>33.48</v>
      </c>
      <c r="N1614">
        <v>17.12</v>
      </c>
    </row>
    <row r="1615" spans="1:14">
      <c r="A1615" s="1" t="s">
        <v>1627</v>
      </c>
      <c r="B1615">
        <f>HYPERLINK("https://www.suredividend.com/sure-analysis-research-database/","Kansas City Southern")</f>
        <v>0</v>
      </c>
      <c r="C1615" t="s">
        <v>3183</v>
      </c>
      <c r="D1615">
        <v>293.59</v>
      </c>
      <c r="E1615">
        <v>0.006996623579219</v>
      </c>
      <c r="F1615" t="s">
        <v>3182</v>
      </c>
      <c r="G1615" t="s">
        <v>3182</v>
      </c>
      <c r="H1615">
        <v>2.054138716623186</v>
      </c>
      <c r="I1615">
        <v>26710.94738</v>
      </c>
      <c r="J1615">
        <v>277.6605756715177</v>
      </c>
      <c r="K1615">
        <v>1.956322587260177</v>
      </c>
      <c r="L1615">
        <v>0.9391559309247631</v>
      </c>
      <c r="M1615">
        <v>314.21</v>
      </c>
      <c r="N1615">
        <v>189</v>
      </c>
    </row>
    <row r="1616" spans="1:14">
      <c r="A1616" s="1" t="s">
        <v>1628</v>
      </c>
      <c r="B1616">
        <f>HYPERLINK("https://www.suredividend.com/sure-analysis-KTB/","Kontoor Brands Inc")</f>
        <v>0</v>
      </c>
      <c r="C1616" t="s">
        <v>3186</v>
      </c>
      <c r="D1616">
        <v>47.64</v>
      </c>
      <c r="E1616">
        <v>0.04030226700251889</v>
      </c>
      <c r="F1616" t="s">
        <v>3182</v>
      </c>
      <c r="G1616" t="s">
        <v>3182</v>
      </c>
      <c r="H1616">
        <v>1.88917391678654</v>
      </c>
      <c r="I1616">
        <v>2673.762891</v>
      </c>
      <c r="J1616">
        <v>13.01861374349985</v>
      </c>
      <c r="K1616">
        <v>0.5218712477310884</v>
      </c>
      <c r="L1616">
        <v>1.085381959759674</v>
      </c>
      <c r="M1616">
        <v>52.16</v>
      </c>
      <c r="N1616">
        <v>33.85</v>
      </c>
    </row>
    <row r="1617" spans="1:14">
      <c r="A1617" s="1" t="s">
        <v>1629</v>
      </c>
      <c r="B1617">
        <f>HYPERLINK("https://www.suredividend.com/sure-analysis-research-database/","Key Tronic Corp.")</f>
        <v>0</v>
      </c>
      <c r="C1617" t="s">
        <v>3185</v>
      </c>
      <c r="D1617">
        <v>3.9449</v>
      </c>
      <c r="E1617">
        <v>0</v>
      </c>
      <c r="F1617" t="s">
        <v>3182</v>
      </c>
      <c r="G1617" t="s">
        <v>3182</v>
      </c>
      <c r="H1617">
        <v>0</v>
      </c>
      <c r="I1617">
        <v>42.454505</v>
      </c>
      <c r="J1617">
        <v>8.232403511324414</v>
      </c>
      <c r="K1617">
        <v>0</v>
      </c>
      <c r="L1617">
        <v>0.678720946667833</v>
      </c>
      <c r="M1617">
        <v>7.53</v>
      </c>
      <c r="N1617">
        <v>3.72</v>
      </c>
    </row>
    <row r="1618" spans="1:14">
      <c r="A1618" s="1" t="s">
        <v>1630</v>
      </c>
      <c r="B1618">
        <f>HYPERLINK("https://www.suredividend.com/sure-analysis-research-database/","Kratos Defense &amp; Security Solutions Inc")</f>
        <v>0</v>
      </c>
      <c r="C1618" t="s">
        <v>3183</v>
      </c>
      <c r="D1618">
        <v>17.95</v>
      </c>
      <c r="E1618">
        <v>0</v>
      </c>
      <c r="F1618" t="s">
        <v>3182</v>
      </c>
      <c r="G1618" t="s">
        <v>3182</v>
      </c>
      <c r="H1618">
        <v>0</v>
      </c>
      <c r="I1618">
        <v>2298.662389</v>
      </c>
      <c r="J1618" t="s">
        <v>3182</v>
      </c>
      <c r="K1618">
        <v>-0</v>
      </c>
      <c r="L1618">
        <v>1.067797342419176</v>
      </c>
      <c r="M1618">
        <v>18.04</v>
      </c>
      <c r="N1618">
        <v>8.9</v>
      </c>
    </row>
    <row r="1619" spans="1:14">
      <c r="A1619" s="1" t="s">
        <v>1631</v>
      </c>
      <c r="B1619">
        <f>HYPERLINK("https://www.suredividend.com/sure-analysis-research-database/","Kura Oncology Inc")</f>
        <v>0</v>
      </c>
      <c r="C1619" t="s">
        <v>3180</v>
      </c>
      <c r="D1619">
        <v>8.42</v>
      </c>
      <c r="E1619">
        <v>0</v>
      </c>
      <c r="F1619" t="s">
        <v>3182</v>
      </c>
      <c r="G1619" t="s">
        <v>3182</v>
      </c>
      <c r="H1619">
        <v>0</v>
      </c>
      <c r="I1619">
        <v>625.070092</v>
      </c>
      <c r="J1619">
        <v>0</v>
      </c>
      <c r="K1619" t="s">
        <v>3182</v>
      </c>
      <c r="L1619">
        <v>0.8213286143734391</v>
      </c>
      <c r="M1619">
        <v>16.37</v>
      </c>
      <c r="N1619">
        <v>7.41</v>
      </c>
    </row>
    <row r="1620" spans="1:14">
      <c r="A1620" s="1" t="s">
        <v>1632</v>
      </c>
      <c r="B1620">
        <f>HYPERLINK("https://www.suredividend.com/sure-analysis-research-database/","KVH Industries, Inc.")</f>
        <v>0</v>
      </c>
      <c r="C1620" t="s">
        <v>3185</v>
      </c>
      <c r="D1620">
        <v>4.75</v>
      </c>
      <c r="E1620">
        <v>0</v>
      </c>
      <c r="F1620" t="s">
        <v>3182</v>
      </c>
      <c r="G1620" t="s">
        <v>3182</v>
      </c>
      <c r="H1620">
        <v>0</v>
      </c>
      <c r="I1620">
        <v>92.79373</v>
      </c>
      <c r="J1620">
        <v>2.978931926163724</v>
      </c>
      <c r="K1620">
        <v>0</v>
      </c>
      <c r="L1620">
        <v>0.535886838513134</v>
      </c>
      <c r="M1620">
        <v>12.1</v>
      </c>
      <c r="N1620">
        <v>4.47</v>
      </c>
    </row>
    <row r="1621" spans="1:14">
      <c r="A1621" s="1" t="s">
        <v>1633</v>
      </c>
      <c r="B1621">
        <f>HYPERLINK("https://www.suredividend.com/sure-analysis-research-database/","Kennedy-Wilson Holdings Inc")</f>
        <v>0</v>
      </c>
      <c r="C1621" t="s">
        <v>3187</v>
      </c>
      <c r="D1621">
        <v>12.36</v>
      </c>
      <c r="E1621">
        <v>0.07588771466196101</v>
      </c>
      <c r="F1621">
        <v>0</v>
      </c>
      <c r="G1621">
        <v>0.02706608708935176</v>
      </c>
      <c r="H1621">
        <v>0.9379721532218471</v>
      </c>
      <c r="I1621">
        <v>1722.870745</v>
      </c>
      <c r="J1621">
        <v>46.31372971290322</v>
      </c>
      <c r="K1621">
        <v>3.432023978126042</v>
      </c>
      <c r="L1621">
        <v>1.207912452555237</v>
      </c>
      <c r="M1621">
        <v>18.05</v>
      </c>
      <c r="N1621">
        <v>11.91</v>
      </c>
    </row>
    <row r="1622" spans="1:14">
      <c r="A1622" s="1" t="s">
        <v>1634</v>
      </c>
      <c r="B1622">
        <f>HYPERLINK("https://www.suredividend.com/sure-analysis-KWR/","Quaker Houghton")</f>
        <v>0</v>
      </c>
      <c r="C1622" t="s">
        <v>3181</v>
      </c>
      <c r="D1622">
        <v>145.04</v>
      </c>
      <c r="E1622">
        <v>0.01254826254826255</v>
      </c>
      <c r="F1622">
        <v>0.04597701149425282</v>
      </c>
      <c r="G1622">
        <v>0.04222607530470412</v>
      </c>
      <c r="H1622">
        <v>1.753038222761074</v>
      </c>
      <c r="I1622">
        <v>2610.43021</v>
      </c>
      <c r="J1622">
        <v>299.3955969813052</v>
      </c>
      <c r="K1622">
        <v>3.596713628972249</v>
      </c>
      <c r="L1622">
        <v>1.486718013371463</v>
      </c>
      <c r="M1622">
        <v>214.81</v>
      </c>
      <c r="N1622">
        <v>138.67</v>
      </c>
    </row>
    <row r="1623" spans="1:14">
      <c r="A1623" s="1" t="s">
        <v>1635</v>
      </c>
      <c r="B1623">
        <f>HYPERLINK("https://www.suredividend.com/sure-analysis-research-database/","Kezar Life Sciences Inc")</f>
        <v>0</v>
      </c>
      <c r="C1623" t="s">
        <v>3180</v>
      </c>
      <c r="D1623">
        <v>0.7948000000000001</v>
      </c>
      <c r="E1623">
        <v>0</v>
      </c>
      <c r="F1623" t="s">
        <v>3182</v>
      </c>
      <c r="G1623" t="s">
        <v>3182</v>
      </c>
      <c r="H1623">
        <v>0</v>
      </c>
      <c r="I1623">
        <v>57.776367</v>
      </c>
      <c r="J1623">
        <v>0</v>
      </c>
      <c r="K1623" t="s">
        <v>3182</v>
      </c>
      <c r="L1623">
        <v>1.569347339649802</v>
      </c>
      <c r="M1623">
        <v>8.25</v>
      </c>
      <c r="N1623">
        <v>0.7001000000000001</v>
      </c>
    </row>
    <row r="1624" spans="1:14">
      <c r="A1624" s="1" t="s">
        <v>1636</v>
      </c>
      <c r="B1624">
        <f>HYPERLINK("https://www.suredividend.com/sure-analysis-research-database/","Loews Corp.")</f>
        <v>0</v>
      </c>
      <c r="C1624" t="s">
        <v>3184</v>
      </c>
      <c r="D1624">
        <v>65.14</v>
      </c>
      <c r="E1624">
        <v>0.003832014390671</v>
      </c>
      <c r="F1624">
        <v>0</v>
      </c>
      <c r="G1624">
        <v>0</v>
      </c>
      <c r="H1624">
        <v>0.24961741740836</v>
      </c>
      <c r="I1624">
        <v>14542.54682</v>
      </c>
      <c r="J1624">
        <v>10.75632161233728</v>
      </c>
      <c r="K1624">
        <v>0.04266964400142906</v>
      </c>
      <c r="L1624">
        <v>0.6790564778407321</v>
      </c>
      <c r="M1624">
        <v>65.8</v>
      </c>
      <c r="N1624">
        <v>52.74</v>
      </c>
    </row>
    <row r="1625" spans="1:14">
      <c r="A1625" s="1" t="s">
        <v>1637</v>
      </c>
      <c r="B1625">
        <f>HYPERLINK("https://www.suredividend.com/sure-analysis-LAD/","Lithia Motors, Inc.")</f>
        <v>0</v>
      </c>
      <c r="C1625" t="s">
        <v>3186</v>
      </c>
      <c r="D1625">
        <v>254.63</v>
      </c>
      <c r="E1625">
        <v>0.007854534029768684</v>
      </c>
      <c r="F1625">
        <v>0.1904761904761905</v>
      </c>
      <c r="G1625">
        <v>0.1151015032663814</v>
      </c>
      <c r="H1625">
        <v>1.834358588095513</v>
      </c>
      <c r="I1625">
        <v>7007.299961</v>
      </c>
      <c r="J1625">
        <v>6.768376278315464</v>
      </c>
      <c r="K1625">
        <v>0.04877316107672196</v>
      </c>
      <c r="L1625">
        <v>1.356603876661738</v>
      </c>
      <c r="M1625">
        <v>328.46</v>
      </c>
      <c r="N1625">
        <v>183.98</v>
      </c>
    </row>
    <row r="1626" spans="1:14">
      <c r="A1626" s="1" t="s">
        <v>1638</v>
      </c>
      <c r="B1626">
        <f>HYPERLINK("https://www.suredividend.com/sure-analysis-LADR/","Ladder Capital Corp")</f>
        <v>0</v>
      </c>
      <c r="C1626" t="s">
        <v>3187</v>
      </c>
      <c r="D1626">
        <v>10.5</v>
      </c>
      <c r="E1626">
        <v>0.08761904761904762</v>
      </c>
      <c r="F1626">
        <v>0</v>
      </c>
      <c r="G1626">
        <v>-0.07519582051729612</v>
      </c>
      <c r="H1626">
        <v>1.104313127298183</v>
      </c>
      <c r="I1626">
        <v>1332.572735</v>
      </c>
      <c r="J1626">
        <v>9.421203688385511</v>
      </c>
      <c r="K1626">
        <v>0.9772682542461797</v>
      </c>
      <c r="L1626">
        <v>1.079731086545439</v>
      </c>
      <c r="M1626">
        <v>11.5</v>
      </c>
      <c r="N1626">
        <v>8.18</v>
      </c>
    </row>
    <row r="1627" spans="1:14">
      <c r="A1627" s="1" t="s">
        <v>1639</v>
      </c>
      <c r="B1627">
        <f>HYPERLINK("https://www.suredividend.com/sure-analysis-research-database/","Lakeland Industries, Inc.")</f>
        <v>0</v>
      </c>
      <c r="C1627" t="s">
        <v>3186</v>
      </c>
      <c r="D1627">
        <v>14.49</v>
      </c>
      <c r="E1627">
        <v>0.006188849683708001</v>
      </c>
      <c r="F1627" t="s">
        <v>3182</v>
      </c>
      <c r="G1627" t="s">
        <v>3182</v>
      </c>
      <c r="H1627">
        <v>0.08967643191694301</v>
      </c>
      <c r="I1627">
        <v>106.715329</v>
      </c>
      <c r="J1627">
        <v>19.7657582756066</v>
      </c>
      <c r="K1627">
        <v>0.1269664900423942</v>
      </c>
      <c r="L1627">
        <v>0.426660094083796</v>
      </c>
      <c r="M1627">
        <v>15.96</v>
      </c>
      <c r="N1627">
        <v>10.56</v>
      </c>
    </row>
    <row r="1628" spans="1:14">
      <c r="A1628" s="1" t="s">
        <v>1640</v>
      </c>
      <c r="B1628">
        <f>HYPERLINK("https://www.suredividend.com/sure-analysis-LAMR/","Lamar Advertising Co")</f>
        <v>0</v>
      </c>
      <c r="C1628" t="s">
        <v>3187</v>
      </c>
      <c r="D1628">
        <v>92.17</v>
      </c>
      <c r="E1628">
        <v>0.05424758598242378</v>
      </c>
      <c r="F1628">
        <v>3.166666666666666</v>
      </c>
      <c r="G1628">
        <v>0.054211515856875</v>
      </c>
      <c r="H1628">
        <v>4.79947309283403</v>
      </c>
      <c r="I1628">
        <v>8068.584843</v>
      </c>
      <c r="J1628">
        <v>19.27576547408305</v>
      </c>
      <c r="K1628">
        <v>1.167755010421905</v>
      </c>
      <c r="L1628">
        <v>1.286041005782926</v>
      </c>
      <c r="M1628">
        <v>105.55</v>
      </c>
      <c r="N1628">
        <v>77.20999999999999</v>
      </c>
    </row>
    <row r="1629" spans="1:14">
      <c r="A1629" s="1" t="s">
        <v>1641</v>
      </c>
      <c r="B1629">
        <f>HYPERLINK("https://www.suredividend.com/sure-analysis-LANC/","Lancaster Colony Corp.")</f>
        <v>0</v>
      </c>
      <c r="C1629" t="s">
        <v>3188</v>
      </c>
      <c r="D1629">
        <v>167.49</v>
      </c>
      <c r="E1629">
        <v>0.02029971938623201</v>
      </c>
      <c r="F1629">
        <v>0.0625</v>
      </c>
      <c r="G1629">
        <v>0.05511819868320456</v>
      </c>
      <c r="H1629">
        <v>3.355691523718419</v>
      </c>
      <c r="I1629">
        <v>4609.057653</v>
      </c>
      <c r="J1629">
        <v>41.51219639418531</v>
      </c>
      <c r="K1629">
        <v>0.8306167137916879</v>
      </c>
      <c r="L1629">
        <v>0.283751542443633</v>
      </c>
      <c r="M1629">
        <v>216.52</v>
      </c>
      <c r="N1629">
        <v>157.36</v>
      </c>
    </row>
    <row r="1630" spans="1:14">
      <c r="A1630" s="1" t="s">
        <v>1642</v>
      </c>
      <c r="B1630">
        <f>HYPERLINK("https://www.suredividend.com/sure-analysis-LAND/","Gladstone Land Corp")</f>
        <v>0</v>
      </c>
      <c r="C1630" t="s">
        <v>3187</v>
      </c>
      <c r="D1630">
        <v>14.33</v>
      </c>
      <c r="E1630">
        <v>0.03838101884159107</v>
      </c>
      <c r="F1630">
        <v>0.008695652173913215</v>
      </c>
      <c r="G1630">
        <v>0.004810016516133331</v>
      </c>
      <c r="H1630">
        <v>0.53906017817117</v>
      </c>
      <c r="I1630">
        <v>513.564874</v>
      </c>
      <c r="J1630">
        <v>0</v>
      </c>
      <c r="K1630" t="s">
        <v>3182</v>
      </c>
      <c r="L1630">
        <v>1.055580515634607</v>
      </c>
      <c r="M1630">
        <v>21.16</v>
      </c>
      <c r="N1630">
        <v>13.35</v>
      </c>
    </row>
    <row r="1631" spans="1:14">
      <c r="A1631" s="1" t="s">
        <v>1643</v>
      </c>
      <c r="B1631">
        <f>HYPERLINK("https://www.suredividend.com/sure-analysis-LARK/","Landmark Bancorp Inc")</f>
        <v>0</v>
      </c>
      <c r="C1631" t="s">
        <v>3184</v>
      </c>
      <c r="D1631">
        <v>16.9952</v>
      </c>
      <c r="E1631">
        <v>0.04942572020335153</v>
      </c>
      <c r="F1631">
        <v>0</v>
      </c>
      <c r="G1631">
        <v>0.009805797673485328</v>
      </c>
      <c r="H1631">
        <v>0.8075350162980961</v>
      </c>
      <c r="I1631">
        <v>88.727979</v>
      </c>
      <c r="J1631">
        <v>0</v>
      </c>
      <c r="K1631" t="s">
        <v>3182</v>
      </c>
      <c r="M1631">
        <v>24.39</v>
      </c>
      <c r="N1631">
        <v>16.49</v>
      </c>
    </row>
    <row r="1632" spans="1:14">
      <c r="A1632" s="1" t="s">
        <v>1644</v>
      </c>
      <c r="B1632">
        <f>HYPERLINK("https://www.suredividend.com/sure-analysis-research-database/","nLIGHT Inc")</f>
        <v>0</v>
      </c>
      <c r="C1632" t="s">
        <v>3185</v>
      </c>
      <c r="D1632">
        <v>8.67</v>
      </c>
      <c r="E1632">
        <v>0</v>
      </c>
      <c r="F1632" t="s">
        <v>3182</v>
      </c>
      <c r="G1632" t="s">
        <v>3182</v>
      </c>
      <c r="H1632">
        <v>0</v>
      </c>
      <c r="I1632">
        <v>403.245758</v>
      </c>
      <c r="J1632" t="s">
        <v>3182</v>
      </c>
      <c r="K1632">
        <v>-0</v>
      </c>
      <c r="L1632">
        <v>1.667794434922973</v>
      </c>
      <c r="M1632">
        <v>15.91</v>
      </c>
      <c r="N1632">
        <v>8.130000000000001</v>
      </c>
    </row>
    <row r="1633" spans="1:14">
      <c r="A1633" s="1" t="s">
        <v>1645</v>
      </c>
      <c r="B1633">
        <f>HYPERLINK("https://www.suredividend.com/sure-analysis-research-database/","Laureate Education Inc")</f>
        <v>0</v>
      </c>
      <c r="C1633" t="s">
        <v>3188</v>
      </c>
      <c r="D1633">
        <v>13.09</v>
      </c>
      <c r="E1633">
        <v>0</v>
      </c>
      <c r="F1633" t="s">
        <v>3182</v>
      </c>
      <c r="G1633" t="s">
        <v>3182</v>
      </c>
      <c r="H1633">
        <v>0</v>
      </c>
      <c r="I1633">
        <v>2058.015036</v>
      </c>
      <c r="J1633">
        <v>20.59436046872342</v>
      </c>
      <c r="K1633">
        <v>0</v>
      </c>
      <c r="L1633">
        <v>0.5121929354914651</v>
      </c>
      <c r="M1633">
        <v>14.81</v>
      </c>
      <c r="N1633">
        <v>9.24</v>
      </c>
    </row>
    <row r="1634" spans="1:14">
      <c r="A1634" s="1" t="s">
        <v>1646</v>
      </c>
      <c r="B1634">
        <f>HYPERLINK("https://www.suredividend.com/sure-analysis-LAZ/","Lazard Ltd.")</f>
        <v>0</v>
      </c>
      <c r="C1634" t="s">
        <v>3184</v>
      </c>
      <c r="D1634">
        <v>28.18</v>
      </c>
      <c r="E1634">
        <v>0.07097232079488999</v>
      </c>
      <c r="F1634">
        <v>0</v>
      </c>
      <c r="G1634">
        <v>0</v>
      </c>
      <c r="H1634">
        <v>1.954770147959184</v>
      </c>
      <c r="I1634">
        <v>3177.748444</v>
      </c>
      <c r="J1634" t="s">
        <v>3182</v>
      </c>
      <c r="K1634" t="s">
        <v>3182</v>
      </c>
      <c r="L1634">
        <v>1.245621241902776</v>
      </c>
      <c r="M1634">
        <v>41.52</v>
      </c>
      <c r="N1634">
        <v>27.16</v>
      </c>
    </row>
    <row r="1635" spans="1:14">
      <c r="A1635" s="1" t="s">
        <v>1647</v>
      </c>
      <c r="B1635">
        <f>HYPERLINK("https://www.suredividend.com/sure-analysis-research-database/","L Brands Inc")</f>
        <v>0</v>
      </c>
      <c r="C1635" t="s">
        <v>3186</v>
      </c>
      <c r="D1635">
        <v>79.92</v>
      </c>
      <c r="E1635">
        <v>0.001876876951457</v>
      </c>
      <c r="F1635" t="s">
        <v>3182</v>
      </c>
      <c r="G1635" t="s">
        <v>3182</v>
      </c>
      <c r="H1635">
        <v>0.150000005960464</v>
      </c>
      <c r="I1635">
        <v>21957.908112</v>
      </c>
      <c r="J1635">
        <v>15.48512560789845</v>
      </c>
      <c r="K1635">
        <v>0.02988047927499283</v>
      </c>
      <c r="L1635">
        <v>1.323418425797631</v>
      </c>
      <c r="M1635">
        <v>82</v>
      </c>
      <c r="N1635">
        <v>24.53</v>
      </c>
    </row>
    <row r="1636" spans="1:14">
      <c r="A1636" s="1" t="s">
        <v>1648</v>
      </c>
      <c r="B1636">
        <f>HYPERLINK("https://www.suredividend.com/sure-analysis-research-database/","Lakeland Bancorp, Inc.")</f>
        <v>0</v>
      </c>
      <c r="C1636" t="s">
        <v>3184</v>
      </c>
      <c r="D1636">
        <v>12.19</v>
      </c>
      <c r="E1636">
        <v>0.04626613493162701</v>
      </c>
      <c r="F1636" t="s">
        <v>3182</v>
      </c>
      <c r="G1636" t="s">
        <v>3182</v>
      </c>
      <c r="H1636">
        <v>0.563984184816542</v>
      </c>
      <c r="I1636">
        <v>792.709386</v>
      </c>
      <c r="J1636">
        <v>7.651561139178193</v>
      </c>
      <c r="K1636">
        <v>0.3547070344758126</v>
      </c>
      <c r="L1636">
        <v>1.091313517312428</v>
      </c>
      <c r="M1636">
        <v>19.18</v>
      </c>
      <c r="N1636">
        <v>10.65</v>
      </c>
    </row>
    <row r="1637" spans="1:14">
      <c r="A1637" s="1" t="s">
        <v>1649</v>
      </c>
      <c r="B1637">
        <f>HYPERLINK("https://www.suredividend.com/sure-analysis-research-database/","Luther Burbank Corp")</f>
        <v>0</v>
      </c>
      <c r="C1637" t="s">
        <v>3184</v>
      </c>
      <c r="D1637">
        <v>8.67</v>
      </c>
      <c r="E1637">
        <v>0</v>
      </c>
      <c r="F1637" t="s">
        <v>3182</v>
      </c>
      <c r="G1637" t="s">
        <v>3182</v>
      </c>
      <c r="H1637">
        <v>0</v>
      </c>
      <c r="I1637">
        <v>442.411702</v>
      </c>
      <c r="J1637">
        <v>0</v>
      </c>
      <c r="K1637" t="s">
        <v>3182</v>
      </c>
      <c r="L1637">
        <v>1.243148801070039</v>
      </c>
      <c r="M1637">
        <v>12.66</v>
      </c>
      <c r="N1637">
        <v>7.73</v>
      </c>
    </row>
    <row r="1638" spans="1:14">
      <c r="A1638" s="1" t="s">
        <v>1650</v>
      </c>
      <c r="B1638">
        <f>HYPERLINK("https://www.suredividend.com/sure-analysis-research-database/","Liberty Broadband Corp")</f>
        <v>0</v>
      </c>
      <c r="C1638" t="s">
        <v>3191</v>
      </c>
      <c r="D1638">
        <v>85.66</v>
      </c>
      <c r="E1638">
        <v>0</v>
      </c>
      <c r="F1638" t="s">
        <v>3182</v>
      </c>
      <c r="G1638" t="s">
        <v>3182</v>
      </c>
      <c r="H1638">
        <v>0</v>
      </c>
      <c r="I1638">
        <v>12352.101243</v>
      </c>
      <c r="J1638">
        <v>15.17457155111794</v>
      </c>
      <c r="K1638">
        <v>0</v>
      </c>
      <c r="L1638">
        <v>1.34347119696252</v>
      </c>
      <c r="M1638">
        <v>97.05</v>
      </c>
      <c r="N1638">
        <v>68.15000000000001</v>
      </c>
    </row>
    <row r="1639" spans="1:14">
      <c r="A1639" s="1" t="s">
        <v>1651</v>
      </c>
      <c r="B1639">
        <f>HYPERLINK("https://www.suredividend.com/sure-analysis-research-database/","Liberty Broadband Corp")</f>
        <v>0</v>
      </c>
      <c r="C1639" t="s">
        <v>3191</v>
      </c>
      <c r="D1639">
        <v>85.67</v>
      </c>
      <c r="E1639">
        <v>0</v>
      </c>
      <c r="F1639" t="s">
        <v>3182</v>
      </c>
      <c r="G1639" t="s">
        <v>3182</v>
      </c>
      <c r="H1639">
        <v>0</v>
      </c>
      <c r="I1639">
        <v>12352.101243</v>
      </c>
      <c r="J1639">
        <v>15.17457155111794</v>
      </c>
      <c r="K1639">
        <v>0</v>
      </c>
      <c r="L1639">
        <v>1.329757152421285</v>
      </c>
      <c r="M1639">
        <v>96.88</v>
      </c>
      <c r="N1639">
        <v>68.67</v>
      </c>
    </row>
    <row r="1640" spans="1:14">
      <c r="A1640" s="1" t="s">
        <v>1652</v>
      </c>
      <c r="B1640">
        <f>HYPERLINK("https://www.suredividend.com/sure-analysis-research-database/","Liberty Energy Inc")</f>
        <v>0</v>
      </c>
      <c r="C1640" t="s">
        <v>3189</v>
      </c>
      <c r="D1640">
        <v>20.24</v>
      </c>
      <c r="E1640">
        <v>0.009851485375666</v>
      </c>
      <c r="F1640" t="s">
        <v>3182</v>
      </c>
      <c r="G1640" t="s">
        <v>3182</v>
      </c>
      <c r="H1640">
        <v>0.199394064003485</v>
      </c>
      <c r="I1640">
        <v>3412.632538</v>
      </c>
      <c r="J1640">
        <v>5.532775519055517</v>
      </c>
      <c r="K1640">
        <v>0.05847333255234165</v>
      </c>
      <c r="L1640">
        <v>1.172393824116054</v>
      </c>
      <c r="M1640">
        <v>21.25</v>
      </c>
      <c r="N1640">
        <v>11.15</v>
      </c>
    </row>
    <row r="1641" spans="1:14">
      <c r="A1641" s="1" t="s">
        <v>1653</v>
      </c>
      <c r="B1641">
        <f>HYPERLINK("https://www.suredividend.com/sure-analysis-research-database/","Liberty Global plc")</f>
        <v>0</v>
      </c>
      <c r="C1641" t="s">
        <v>3191</v>
      </c>
      <c r="D1641">
        <v>15.64</v>
      </c>
      <c r="E1641">
        <v>0</v>
      </c>
      <c r="F1641" t="s">
        <v>3182</v>
      </c>
      <c r="G1641" t="s">
        <v>3182</v>
      </c>
      <c r="H1641">
        <v>0</v>
      </c>
      <c r="I1641">
        <v>6958.324985</v>
      </c>
      <c r="J1641" t="s">
        <v>3182</v>
      </c>
      <c r="K1641">
        <v>-0</v>
      </c>
      <c r="L1641">
        <v>0.9178729898648851</v>
      </c>
      <c r="M1641">
        <v>22.09</v>
      </c>
      <c r="N1641">
        <v>15.01</v>
      </c>
    </row>
    <row r="1642" spans="1:14">
      <c r="A1642" s="1" t="s">
        <v>1654</v>
      </c>
      <c r="B1642">
        <f>HYPERLINK("https://www.suredividend.com/sure-analysis-research-database/","Liberty Global plc")</f>
        <v>0</v>
      </c>
      <c r="C1642" t="s">
        <v>3191</v>
      </c>
      <c r="D1642">
        <v>16.98</v>
      </c>
      <c r="E1642">
        <v>0</v>
      </c>
      <c r="F1642" t="s">
        <v>3182</v>
      </c>
      <c r="G1642" t="s">
        <v>3182</v>
      </c>
      <c r="H1642">
        <v>0</v>
      </c>
      <c r="I1642">
        <v>6958.324985</v>
      </c>
      <c r="J1642" t="s">
        <v>3182</v>
      </c>
      <c r="K1642">
        <v>-0</v>
      </c>
      <c r="L1642">
        <v>0.9212617261945911</v>
      </c>
      <c r="M1642">
        <v>22.78</v>
      </c>
      <c r="N1642">
        <v>16.27</v>
      </c>
    </row>
    <row r="1643" spans="1:14">
      <c r="A1643" s="1" t="s">
        <v>1655</v>
      </c>
      <c r="B1643">
        <f>HYPERLINK("https://www.suredividend.com/sure-analysis-research-database/","LendingClub Corp")</f>
        <v>0</v>
      </c>
      <c r="C1643" t="s">
        <v>3184</v>
      </c>
      <c r="D1643">
        <v>5.56</v>
      </c>
      <c r="E1643">
        <v>0</v>
      </c>
      <c r="F1643" t="s">
        <v>3182</v>
      </c>
      <c r="G1643" t="s">
        <v>3182</v>
      </c>
      <c r="H1643">
        <v>0</v>
      </c>
      <c r="I1643">
        <v>609.647156</v>
      </c>
      <c r="J1643">
        <v>11.6400411578043</v>
      </c>
      <c r="K1643">
        <v>0</v>
      </c>
      <c r="L1643">
        <v>1.951036150752399</v>
      </c>
      <c r="M1643">
        <v>11.78</v>
      </c>
      <c r="N1643">
        <v>4.73</v>
      </c>
    </row>
    <row r="1644" spans="1:14">
      <c r="A1644" s="1" t="s">
        <v>1656</v>
      </c>
      <c r="B1644">
        <f>HYPERLINK("https://www.suredividend.com/sure-analysis-research-database/","Lannett Co., Inc.")</f>
        <v>0</v>
      </c>
      <c r="C1644" t="s">
        <v>3180</v>
      </c>
      <c r="D1644">
        <v>0.6855</v>
      </c>
      <c r="E1644">
        <v>0</v>
      </c>
      <c r="F1644" t="s">
        <v>3182</v>
      </c>
      <c r="G1644" t="s">
        <v>3182</v>
      </c>
      <c r="H1644">
        <v>0</v>
      </c>
      <c r="I1644">
        <v>29.521925</v>
      </c>
      <c r="J1644" t="s">
        <v>3182</v>
      </c>
      <c r="K1644">
        <v>-0</v>
      </c>
      <c r="L1644">
        <v>0.9512701405210311</v>
      </c>
      <c r="M1644">
        <v>3.72</v>
      </c>
      <c r="N1644">
        <v>0.6375000000000001</v>
      </c>
    </row>
    <row r="1645" spans="1:14">
      <c r="A1645" s="1" t="s">
        <v>1657</v>
      </c>
      <c r="B1645">
        <f>HYPERLINK("https://www.suredividend.com/sure-analysis-research-database/","LCI Industries")</f>
        <v>0</v>
      </c>
      <c r="C1645" t="s">
        <v>3186</v>
      </c>
      <c r="D1645">
        <v>113.27</v>
      </c>
      <c r="E1645">
        <v>0.036586825950023</v>
      </c>
      <c r="F1645">
        <v>0</v>
      </c>
      <c r="G1645">
        <v>0.1184269147201447</v>
      </c>
      <c r="H1645">
        <v>4.144189775359186</v>
      </c>
      <c r="I1645">
        <v>2868.498526</v>
      </c>
      <c r="J1645">
        <v>33.76769936796629</v>
      </c>
      <c r="K1645">
        <v>1.240775381844068</v>
      </c>
      <c r="L1645">
        <v>1.240632477283798</v>
      </c>
      <c r="M1645">
        <v>135.94</v>
      </c>
      <c r="N1645">
        <v>87.28</v>
      </c>
    </row>
    <row r="1646" spans="1:14">
      <c r="A1646" s="1" t="s">
        <v>1658</v>
      </c>
      <c r="B1646">
        <f>HYPERLINK("https://www.suredividend.com/sure-analysis-research-database/","LCNB Corp")</f>
        <v>0</v>
      </c>
      <c r="C1646" t="s">
        <v>3184</v>
      </c>
      <c r="D1646">
        <v>14.24</v>
      </c>
      <c r="E1646">
        <v>0.056813735859917</v>
      </c>
      <c r="F1646">
        <v>0.04999999999999982</v>
      </c>
      <c r="G1646">
        <v>0.04316756381013498</v>
      </c>
      <c r="H1646">
        <v>0.8090275986452191</v>
      </c>
      <c r="I1646">
        <v>158.302734</v>
      </c>
      <c r="J1646">
        <v>7.642306343535774</v>
      </c>
      <c r="K1646">
        <v>0.4373122154839022</v>
      </c>
      <c r="L1646">
        <v>0.3943006622887431</v>
      </c>
      <c r="M1646">
        <v>17.85</v>
      </c>
      <c r="N1646">
        <v>12.78</v>
      </c>
    </row>
    <row r="1647" spans="1:14">
      <c r="A1647" s="1" t="s">
        <v>1659</v>
      </c>
      <c r="B1647">
        <f>HYPERLINK("https://www.suredividend.com/sure-analysis-research-database/","Lineage Cell Therapeutics Inc")</f>
        <v>0</v>
      </c>
      <c r="C1647" t="s">
        <v>3180</v>
      </c>
      <c r="D1647">
        <v>1.13</v>
      </c>
      <c r="E1647">
        <v>0</v>
      </c>
      <c r="F1647" t="s">
        <v>3182</v>
      </c>
      <c r="G1647" t="s">
        <v>3182</v>
      </c>
      <c r="H1647">
        <v>0</v>
      </c>
      <c r="I1647">
        <v>197.734938</v>
      </c>
      <c r="J1647" t="s">
        <v>3182</v>
      </c>
      <c r="K1647">
        <v>-0</v>
      </c>
      <c r="L1647">
        <v>1.014554658446231</v>
      </c>
      <c r="M1647">
        <v>1.58</v>
      </c>
      <c r="N1647">
        <v>1</v>
      </c>
    </row>
    <row r="1648" spans="1:14">
      <c r="A1648" s="1" t="s">
        <v>1660</v>
      </c>
      <c r="B1648">
        <f>HYPERLINK("https://www.suredividend.com/sure-analysis-research-database/","Lifetime Brands, Inc.")</f>
        <v>0</v>
      </c>
      <c r="C1648" t="s">
        <v>3186</v>
      </c>
      <c r="D1648">
        <v>5.37</v>
      </c>
      <c r="E1648">
        <v>0.030973874335037</v>
      </c>
      <c r="F1648">
        <v>0</v>
      </c>
      <c r="G1648">
        <v>0</v>
      </c>
      <c r="H1648">
        <v>0.166329705179151</v>
      </c>
      <c r="I1648">
        <v>117.142447</v>
      </c>
      <c r="J1648" t="s">
        <v>3182</v>
      </c>
      <c r="K1648" t="s">
        <v>3182</v>
      </c>
      <c r="L1648">
        <v>0.7011763803406541</v>
      </c>
      <c r="M1648">
        <v>9.800000000000001</v>
      </c>
      <c r="N1648">
        <v>4.18</v>
      </c>
    </row>
    <row r="1649" spans="1:14">
      <c r="A1649" s="1" t="s">
        <v>1661</v>
      </c>
      <c r="B1649">
        <f>HYPERLINK("https://www.suredividend.com/sure-analysis-research-database/","Lydall, Inc.")</f>
        <v>0</v>
      </c>
      <c r="C1649" t="s">
        <v>3183</v>
      </c>
      <c r="D1649">
        <v>62.09</v>
      </c>
      <c r="E1649">
        <v>0</v>
      </c>
      <c r="F1649" t="s">
        <v>3182</v>
      </c>
      <c r="G1649" t="s">
        <v>3182</v>
      </c>
      <c r="H1649">
        <v>0</v>
      </c>
      <c r="I1649">
        <v>1119.929872</v>
      </c>
      <c r="J1649" t="s">
        <v>3182</v>
      </c>
      <c r="K1649">
        <v>-0</v>
      </c>
      <c r="M1649">
        <v>62.12</v>
      </c>
      <c r="N1649">
        <v>16.75</v>
      </c>
    </row>
    <row r="1650" spans="1:14">
      <c r="A1650" s="1" t="s">
        <v>1662</v>
      </c>
      <c r="B1650">
        <f>HYPERLINK("https://www.suredividend.com/sure-analysis-research-database/","Leidos Holdings Inc")</f>
        <v>0</v>
      </c>
      <c r="C1650" t="s">
        <v>3185</v>
      </c>
      <c r="D1650">
        <v>103.18</v>
      </c>
      <c r="E1650">
        <v>0.013873147764502</v>
      </c>
      <c r="F1650">
        <v>0</v>
      </c>
      <c r="G1650">
        <v>0.02383625553960966</v>
      </c>
      <c r="H1650">
        <v>1.431431386341366</v>
      </c>
      <c r="I1650">
        <v>14187.913241</v>
      </c>
      <c r="J1650">
        <v>96.5164166057143</v>
      </c>
      <c r="K1650">
        <v>1.337786342375108</v>
      </c>
      <c r="L1650">
        <v>0.5541269692318961</v>
      </c>
      <c r="M1650">
        <v>109.22</v>
      </c>
      <c r="N1650">
        <v>75.95999999999999</v>
      </c>
    </row>
    <row r="1651" spans="1:14">
      <c r="A1651" s="1" t="s">
        <v>1663</v>
      </c>
      <c r="B1651">
        <f>HYPERLINK("https://www.suredividend.com/sure-analysis-research-database/","Lands` End, Inc.")</f>
        <v>0</v>
      </c>
      <c r="C1651" t="s">
        <v>3186</v>
      </c>
      <c r="D1651">
        <v>6.64</v>
      </c>
      <c r="E1651">
        <v>0</v>
      </c>
      <c r="F1651" t="s">
        <v>3182</v>
      </c>
      <c r="G1651" t="s">
        <v>3182</v>
      </c>
      <c r="H1651">
        <v>0</v>
      </c>
      <c r="I1651">
        <v>211.990141</v>
      </c>
      <c r="J1651">
        <v>0</v>
      </c>
      <c r="K1651" t="s">
        <v>3182</v>
      </c>
      <c r="L1651">
        <v>1.56991655536783</v>
      </c>
      <c r="M1651">
        <v>11.93</v>
      </c>
      <c r="N1651">
        <v>5.98</v>
      </c>
    </row>
    <row r="1652" spans="1:14">
      <c r="A1652" s="1" t="s">
        <v>1664</v>
      </c>
      <c r="B1652">
        <f>HYPERLINK("https://www.suredividend.com/sure-analysis-research-database/","Lear Corp.")</f>
        <v>0</v>
      </c>
      <c r="C1652" t="s">
        <v>3186</v>
      </c>
      <c r="D1652">
        <v>127.79</v>
      </c>
      <c r="E1652">
        <v>0.023906154713966</v>
      </c>
      <c r="F1652" t="s">
        <v>3182</v>
      </c>
      <c r="G1652" t="s">
        <v>3182</v>
      </c>
      <c r="H1652">
        <v>3.054967510897738</v>
      </c>
      <c r="I1652">
        <v>7445.028915</v>
      </c>
      <c r="J1652">
        <v>13.23090263922161</v>
      </c>
      <c r="K1652">
        <v>0.3225942461349248</v>
      </c>
      <c r="L1652">
        <v>1.046663578175174</v>
      </c>
      <c r="M1652">
        <v>157.07</v>
      </c>
      <c r="N1652">
        <v>116.51</v>
      </c>
    </row>
    <row r="1653" spans="1:14">
      <c r="A1653" s="1" t="s">
        <v>1665</v>
      </c>
      <c r="B1653">
        <f>HYPERLINK("https://www.suredividend.com/sure-analysis-research-database/","Leaf Group Ltd")</f>
        <v>0</v>
      </c>
      <c r="C1653" t="s">
        <v>3191</v>
      </c>
      <c r="D1653">
        <v>8.49</v>
      </c>
      <c r="E1653">
        <v>0</v>
      </c>
      <c r="F1653" t="s">
        <v>3182</v>
      </c>
      <c r="G1653" t="s">
        <v>3182</v>
      </c>
      <c r="H1653">
        <v>0</v>
      </c>
      <c r="I1653">
        <v>305.912487</v>
      </c>
      <c r="J1653" t="s">
        <v>3182</v>
      </c>
      <c r="K1653">
        <v>-0</v>
      </c>
      <c r="L1653">
        <v>0.4975602515426951</v>
      </c>
      <c r="M1653">
        <v>9.5</v>
      </c>
      <c r="N1653">
        <v>2.48</v>
      </c>
    </row>
    <row r="1654" spans="1:14">
      <c r="A1654" s="1" t="s">
        <v>1666</v>
      </c>
      <c r="B1654">
        <f>HYPERLINK("https://www.suredividend.com/sure-analysis-LECO/","Lincoln Electric Holdings, Inc.")</f>
        <v>0</v>
      </c>
      <c r="C1654" t="s">
        <v>3183</v>
      </c>
      <c r="D1654">
        <v>180.5</v>
      </c>
      <c r="E1654">
        <v>0.01573407202216066</v>
      </c>
      <c r="F1654" t="s">
        <v>3182</v>
      </c>
      <c r="G1654" t="s">
        <v>3182</v>
      </c>
      <c r="H1654">
        <v>2.535606844690298</v>
      </c>
      <c r="I1654">
        <v>10324.552348</v>
      </c>
      <c r="J1654">
        <v>20.7424040293239</v>
      </c>
      <c r="K1654">
        <v>0.2972575433400115</v>
      </c>
      <c r="L1654">
        <v>0.9682350209456201</v>
      </c>
      <c r="M1654">
        <v>209.36</v>
      </c>
      <c r="N1654">
        <v>136.87</v>
      </c>
    </row>
    <row r="1655" spans="1:14">
      <c r="A1655" s="1" t="s">
        <v>1667</v>
      </c>
      <c r="B1655">
        <f>HYPERLINK("https://www.suredividend.com/sure-analysis-research-database/","Lee Enterprises, Inc.")</f>
        <v>0</v>
      </c>
      <c r="C1655" t="s">
        <v>3191</v>
      </c>
      <c r="D1655">
        <v>9.449999999999999</v>
      </c>
      <c r="E1655">
        <v>0</v>
      </c>
      <c r="F1655" t="s">
        <v>3182</v>
      </c>
      <c r="G1655" t="s">
        <v>3182</v>
      </c>
      <c r="H1655">
        <v>0</v>
      </c>
      <c r="I1655">
        <v>57.384104</v>
      </c>
      <c r="J1655" t="s">
        <v>3182</v>
      </c>
      <c r="K1655">
        <v>-0</v>
      </c>
      <c r="L1655">
        <v>0.633904093915292</v>
      </c>
      <c r="M1655">
        <v>23.51</v>
      </c>
      <c r="N1655">
        <v>8.5</v>
      </c>
    </row>
    <row r="1656" spans="1:14">
      <c r="A1656" s="1" t="s">
        <v>1668</v>
      </c>
      <c r="B1656">
        <f>HYPERLINK("https://www.suredividend.com/sure-analysis-LEG/","Leggett &amp; Platt, Inc.")</f>
        <v>0</v>
      </c>
      <c r="C1656" t="s">
        <v>3186</v>
      </c>
      <c r="D1656">
        <v>23.76</v>
      </c>
      <c r="E1656">
        <v>0.07744107744107744</v>
      </c>
      <c r="F1656">
        <v>0.04545454545454541</v>
      </c>
      <c r="G1656">
        <v>0.03895047748988278</v>
      </c>
      <c r="H1656">
        <v>1.757944874496789</v>
      </c>
      <c r="I1656">
        <v>3164.700845</v>
      </c>
      <c r="J1656">
        <v>13.64683417335058</v>
      </c>
      <c r="K1656">
        <v>1.034085220292229</v>
      </c>
      <c r="L1656">
        <v>0.8804259475899091</v>
      </c>
      <c r="M1656">
        <v>36.8</v>
      </c>
      <c r="N1656">
        <v>22.65</v>
      </c>
    </row>
    <row r="1657" spans="1:14">
      <c r="A1657" s="1" t="s">
        <v>1669</v>
      </c>
      <c r="B1657">
        <f>HYPERLINK("https://www.suredividend.com/sure-analysis-research-database/","Legacy Housing Corp")</f>
        <v>0</v>
      </c>
      <c r="C1657" t="s">
        <v>3186</v>
      </c>
      <c r="D1657">
        <v>18.67</v>
      </c>
      <c r="E1657">
        <v>0</v>
      </c>
      <c r="F1657" t="s">
        <v>3182</v>
      </c>
      <c r="G1657" t="s">
        <v>3182</v>
      </c>
      <c r="H1657">
        <v>0</v>
      </c>
      <c r="I1657">
        <v>455.391097</v>
      </c>
      <c r="J1657">
        <v>6.929683750076086</v>
      </c>
      <c r="K1657">
        <v>0</v>
      </c>
      <c r="L1657">
        <v>0.9103909062594241</v>
      </c>
      <c r="M1657">
        <v>25.3</v>
      </c>
      <c r="N1657">
        <v>16.13</v>
      </c>
    </row>
    <row r="1658" spans="1:14">
      <c r="A1658" s="1" t="s">
        <v>1670</v>
      </c>
      <c r="B1658">
        <f>HYPERLINK("https://www.suredividend.com/sure-analysis-LEN/","Lennar Corp.")</f>
        <v>0</v>
      </c>
      <c r="C1658" t="s">
        <v>3186</v>
      </c>
      <c r="D1658">
        <v>115.86</v>
      </c>
      <c r="E1658">
        <v>0.01294665976178146</v>
      </c>
      <c r="F1658">
        <v>0</v>
      </c>
      <c r="G1658">
        <v>0.5645673222659491</v>
      </c>
      <c r="H1658">
        <v>1.492767267299777</v>
      </c>
      <c r="I1658">
        <v>32647.796491</v>
      </c>
      <c r="J1658">
        <v>8.473812980432088</v>
      </c>
      <c r="K1658">
        <v>0.1105753531333168</v>
      </c>
      <c r="L1658">
        <v>1.138617875488821</v>
      </c>
      <c r="M1658">
        <v>132.8</v>
      </c>
      <c r="N1658">
        <v>75.76000000000001</v>
      </c>
    </row>
    <row r="1659" spans="1:14">
      <c r="A1659" s="1" t="s">
        <v>1671</v>
      </c>
      <c r="B1659">
        <f>HYPERLINK("https://www.suredividend.com/sure-analysis-research-database/","Centrus Energy Corp")</f>
        <v>0</v>
      </c>
      <c r="C1659" t="s">
        <v>3189</v>
      </c>
      <c r="D1659">
        <v>54.57</v>
      </c>
      <c r="E1659">
        <v>0</v>
      </c>
      <c r="F1659" t="s">
        <v>3182</v>
      </c>
      <c r="G1659" t="s">
        <v>3182</v>
      </c>
      <c r="H1659">
        <v>0</v>
      </c>
      <c r="I1659">
        <v>807.9873219999999</v>
      </c>
      <c r="J1659">
        <v>24.04724171607142</v>
      </c>
      <c r="K1659">
        <v>0</v>
      </c>
      <c r="L1659">
        <v>1.988412362584251</v>
      </c>
      <c r="M1659">
        <v>61.35</v>
      </c>
      <c r="N1659">
        <v>24.88</v>
      </c>
    </row>
    <row r="1660" spans="1:14">
      <c r="A1660" s="1" t="s">
        <v>1672</v>
      </c>
      <c r="B1660">
        <f>HYPERLINK("https://www.suredividend.com/sure-analysis-research-database/","Levi Strauss &amp; Co.")</f>
        <v>0</v>
      </c>
      <c r="C1660" t="s">
        <v>3186</v>
      </c>
      <c r="D1660">
        <v>14.04</v>
      </c>
      <c r="E1660">
        <v>0.033763410327837</v>
      </c>
      <c r="F1660" t="s">
        <v>3182</v>
      </c>
      <c r="G1660" t="s">
        <v>3182</v>
      </c>
      <c r="H1660">
        <v>0.4740382810028441</v>
      </c>
      <c r="I1660">
        <v>1404.576117</v>
      </c>
      <c r="J1660">
        <v>5.140109776694552</v>
      </c>
      <c r="K1660">
        <v>0.6941547532623283</v>
      </c>
      <c r="L1660">
        <v>1.104668648475155</v>
      </c>
      <c r="M1660">
        <v>18.75</v>
      </c>
      <c r="N1660">
        <v>12.31</v>
      </c>
    </row>
    <row r="1661" spans="1:14">
      <c r="A1661" s="1" t="s">
        <v>1673</v>
      </c>
      <c r="B1661">
        <f>HYPERLINK("https://www.suredividend.com/sure-analysis-LFUS/","Littelfuse, Inc.")</f>
        <v>0</v>
      </c>
      <c r="C1661" t="s">
        <v>3185</v>
      </c>
      <c r="D1661">
        <v>228.02</v>
      </c>
      <c r="E1661">
        <v>0.01140250855188141</v>
      </c>
      <c r="F1661">
        <v>0.08333333333333326</v>
      </c>
      <c r="G1661">
        <v>0.08614793340566318</v>
      </c>
      <c r="H1661">
        <v>2.434269694548253</v>
      </c>
      <c r="I1661">
        <v>5675.761882</v>
      </c>
      <c r="J1661">
        <v>17.3259151195404</v>
      </c>
      <c r="K1661">
        <v>0.1859640713940606</v>
      </c>
      <c r="L1661">
        <v>1.263296566515366</v>
      </c>
      <c r="M1661">
        <v>308.4</v>
      </c>
      <c r="N1661">
        <v>204.95</v>
      </c>
    </row>
    <row r="1662" spans="1:14">
      <c r="A1662" s="1" t="s">
        <v>1674</v>
      </c>
      <c r="B1662">
        <f>HYPERLINK("https://www.suredividend.com/sure-analysis-research-database/","Lifevantage Corporation")</f>
        <v>0</v>
      </c>
      <c r="C1662" t="s">
        <v>3188</v>
      </c>
      <c r="D1662">
        <v>7.79</v>
      </c>
      <c r="E1662">
        <v>0.015302623555921</v>
      </c>
      <c r="F1662" t="s">
        <v>3182</v>
      </c>
      <c r="G1662" t="s">
        <v>3182</v>
      </c>
      <c r="H1662">
        <v>0.11920743750063</v>
      </c>
      <c r="I1662">
        <v>98.98444499999999</v>
      </c>
      <c r="J1662">
        <v>38.970254</v>
      </c>
      <c r="K1662">
        <v>0.5898438273163286</v>
      </c>
      <c r="L1662">
        <v>0.8900329096834171</v>
      </c>
      <c r="M1662">
        <v>8.69</v>
      </c>
      <c r="N1662">
        <v>2.69</v>
      </c>
    </row>
    <row r="1663" spans="1:14">
      <c r="A1663" s="1" t="s">
        <v>1675</v>
      </c>
      <c r="B1663">
        <f>HYPERLINK("https://www.suredividend.com/sure-analysis-research-database/","LGI Homes Inc")</f>
        <v>0</v>
      </c>
      <c r="C1663" t="s">
        <v>3186</v>
      </c>
      <c r="D1663">
        <v>106.6</v>
      </c>
      <c r="E1663">
        <v>0</v>
      </c>
      <c r="F1663" t="s">
        <v>3182</v>
      </c>
      <c r="G1663" t="s">
        <v>3182</v>
      </c>
      <c r="H1663">
        <v>0</v>
      </c>
      <c r="I1663">
        <v>2511.908329</v>
      </c>
      <c r="J1663">
        <v>13.85857518937618</v>
      </c>
      <c r="K1663">
        <v>0</v>
      </c>
      <c r="L1663">
        <v>1.765371851641034</v>
      </c>
      <c r="M1663">
        <v>141.91</v>
      </c>
      <c r="N1663">
        <v>80.3</v>
      </c>
    </row>
    <row r="1664" spans="1:14">
      <c r="A1664" s="1" t="s">
        <v>1676</v>
      </c>
      <c r="B1664">
        <f>HYPERLINK("https://www.suredividend.com/sure-analysis-research-database/","LGL Group Inc")</f>
        <v>0</v>
      </c>
      <c r="C1664" t="s">
        <v>3185</v>
      </c>
      <c r="D1664">
        <v>4.55</v>
      </c>
      <c r="E1664">
        <v>0</v>
      </c>
      <c r="F1664" t="s">
        <v>3182</v>
      </c>
      <c r="G1664" t="s">
        <v>3182</v>
      </c>
      <c r="H1664">
        <v>0</v>
      </c>
      <c r="I1664">
        <v>24.355863</v>
      </c>
      <c r="J1664">
        <v>0</v>
      </c>
      <c r="K1664" t="s">
        <v>3182</v>
      </c>
      <c r="M1664">
        <v>5.32</v>
      </c>
      <c r="N1664">
        <v>3.88</v>
      </c>
    </row>
    <row r="1665" spans="1:14">
      <c r="A1665" s="1" t="s">
        <v>1677</v>
      </c>
      <c r="B1665">
        <f>HYPERLINK("https://www.suredividend.com/sure-analysis-research-database/","Ligand Pharmaceuticals, Inc.")</f>
        <v>0</v>
      </c>
      <c r="C1665" t="s">
        <v>3180</v>
      </c>
      <c r="D1665">
        <v>51.81</v>
      </c>
      <c r="E1665">
        <v>0</v>
      </c>
      <c r="F1665" t="s">
        <v>3182</v>
      </c>
      <c r="G1665" t="s">
        <v>3182</v>
      </c>
      <c r="H1665">
        <v>0</v>
      </c>
      <c r="I1665">
        <v>899.175865</v>
      </c>
      <c r="J1665">
        <v>33.1090605040872</v>
      </c>
      <c r="K1665">
        <v>0</v>
      </c>
      <c r="L1665">
        <v>0.7833032951670741</v>
      </c>
      <c r="M1665">
        <v>85.7</v>
      </c>
      <c r="N1665">
        <v>49.24</v>
      </c>
    </row>
    <row r="1666" spans="1:14">
      <c r="A1666" s="1" t="s">
        <v>1678</v>
      </c>
      <c r="B1666">
        <f>HYPERLINK("https://www.suredividend.com/sure-analysis-research-database/","Laboratory Corp. Of America Holdings")</f>
        <v>0</v>
      </c>
      <c r="C1666" t="s">
        <v>3180</v>
      </c>
      <c r="D1666">
        <v>205.16</v>
      </c>
      <c r="E1666">
        <v>0.013969308920822</v>
      </c>
      <c r="F1666" t="s">
        <v>3182</v>
      </c>
      <c r="G1666" t="s">
        <v>3182</v>
      </c>
      <c r="H1666">
        <v>2.865943418195909</v>
      </c>
      <c r="I1666">
        <v>17418.084</v>
      </c>
      <c r="J1666">
        <v>26.34313974591652</v>
      </c>
      <c r="K1666">
        <v>0.430968935067054</v>
      </c>
      <c r="L1666">
        <v>0.664113451500564</v>
      </c>
      <c r="M1666">
        <v>256.43</v>
      </c>
      <c r="N1666">
        <v>195.01</v>
      </c>
    </row>
    <row r="1667" spans="1:14">
      <c r="A1667" s="1" t="s">
        <v>1679</v>
      </c>
      <c r="B1667">
        <f>HYPERLINK("https://www.suredividend.com/sure-analysis-research-database/","LHC Group Inc")</f>
        <v>0</v>
      </c>
      <c r="C1667" t="s">
        <v>3180</v>
      </c>
      <c r="D1667">
        <v>169.81</v>
      </c>
      <c r="E1667">
        <v>0</v>
      </c>
      <c r="F1667" t="s">
        <v>3182</v>
      </c>
      <c r="G1667" t="s">
        <v>3182</v>
      </c>
      <c r="H1667">
        <v>0</v>
      </c>
      <c r="I1667">
        <v>0</v>
      </c>
      <c r="J1667">
        <v>0</v>
      </c>
      <c r="K1667">
        <v>0</v>
      </c>
    </row>
    <row r="1668" spans="1:14">
      <c r="A1668" s="1" t="s">
        <v>1680</v>
      </c>
      <c r="B1668">
        <f>HYPERLINK("https://www.suredividend.com/sure-analysis-LHX/","L3Harris Technologies Inc")</f>
        <v>0</v>
      </c>
      <c r="C1668" t="s">
        <v>3183</v>
      </c>
      <c r="D1668">
        <v>183.06</v>
      </c>
      <c r="E1668">
        <v>0.02490986561783022</v>
      </c>
      <c r="F1668">
        <v>0.01785714285714279</v>
      </c>
      <c r="G1668">
        <v>0.1072427772148894</v>
      </c>
      <c r="H1668">
        <v>4.497622392564358</v>
      </c>
      <c r="I1668">
        <v>34697.237982</v>
      </c>
      <c r="J1668">
        <v>23.36514342218182</v>
      </c>
      <c r="K1668">
        <v>0.5795905145057162</v>
      </c>
      <c r="L1668">
        <v>0.5063008464698681</v>
      </c>
      <c r="M1668">
        <v>236.97</v>
      </c>
      <c r="N1668">
        <v>160.25</v>
      </c>
    </row>
    <row r="1669" spans="1:14">
      <c r="A1669" s="1" t="s">
        <v>1681</v>
      </c>
      <c r="B1669">
        <f>HYPERLINK("https://www.suredividend.com/sure-analysis-research-database/","Atyr Pharma Inc")</f>
        <v>0</v>
      </c>
      <c r="C1669" t="s">
        <v>3180</v>
      </c>
      <c r="D1669">
        <v>1.29</v>
      </c>
      <c r="E1669">
        <v>0</v>
      </c>
      <c r="F1669" t="s">
        <v>3182</v>
      </c>
      <c r="G1669" t="s">
        <v>3182</v>
      </c>
      <c r="H1669">
        <v>0</v>
      </c>
      <c r="I1669">
        <v>73.589562</v>
      </c>
      <c r="J1669" t="s">
        <v>3182</v>
      </c>
      <c r="K1669">
        <v>-0</v>
      </c>
      <c r="L1669">
        <v>0.8288500502794931</v>
      </c>
      <c r="M1669">
        <v>2.7</v>
      </c>
      <c r="N1669">
        <v>1.18</v>
      </c>
    </row>
    <row r="1670" spans="1:14">
      <c r="A1670" s="1" t="s">
        <v>1682</v>
      </c>
      <c r="B1670">
        <f>HYPERLINK("https://www.suredividend.com/sure-analysis-LII/","Lennox International Inc")</f>
        <v>0</v>
      </c>
      <c r="C1670" t="s">
        <v>3183</v>
      </c>
      <c r="D1670">
        <v>382.41</v>
      </c>
      <c r="E1670">
        <v>0.01150597526215319</v>
      </c>
      <c r="F1670">
        <v>0.03773584905660377</v>
      </c>
      <c r="G1670">
        <v>0.1144036920167593</v>
      </c>
      <c r="H1670">
        <v>4.29868216252528</v>
      </c>
      <c r="I1670">
        <v>13590.746237</v>
      </c>
      <c r="J1670">
        <v>25.1680485875</v>
      </c>
      <c r="K1670">
        <v>0.283367314602853</v>
      </c>
      <c r="L1670">
        <v>1.402473038341624</v>
      </c>
      <c r="M1670">
        <v>395.08</v>
      </c>
      <c r="N1670">
        <v>226.5</v>
      </c>
    </row>
    <row r="1671" spans="1:14">
      <c r="A1671" s="1" t="s">
        <v>1683</v>
      </c>
      <c r="B1671">
        <f>HYPERLINK("https://www.suredividend.com/sure-analysis-research-database/","Liberty Latin America Ltd")</f>
        <v>0</v>
      </c>
      <c r="C1671" t="s">
        <v>3191</v>
      </c>
      <c r="D1671">
        <v>6.74</v>
      </c>
      <c r="E1671">
        <v>0</v>
      </c>
      <c r="F1671" t="s">
        <v>3182</v>
      </c>
      <c r="G1671" t="s">
        <v>3182</v>
      </c>
      <c r="H1671">
        <v>0</v>
      </c>
      <c r="I1671">
        <v>1388.827558</v>
      </c>
      <c r="J1671">
        <v>0</v>
      </c>
      <c r="K1671" t="s">
        <v>3182</v>
      </c>
      <c r="L1671">
        <v>1.195640951779615</v>
      </c>
      <c r="M1671">
        <v>10.01</v>
      </c>
      <c r="N1671">
        <v>6.57</v>
      </c>
    </row>
    <row r="1672" spans="1:14">
      <c r="A1672" s="1" t="s">
        <v>1684</v>
      </c>
      <c r="B1672">
        <f>HYPERLINK("https://www.suredividend.com/sure-analysis-research-database/","Liberty Latin America Ltd")</f>
        <v>0</v>
      </c>
      <c r="C1672" t="s">
        <v>3191</v>
      </c>
      <c r="D1672">
        <v>6.76</v>
      </c>
      <c r="E1672">
        <v>0</v>
      </c>
      <c r="F1672" t="s">
        <v>3182</v>
      </c>
      <c r="G1672" t="s">
        <v>3182</v>
      </c>
      <c r="H1672">
        <v>0</v>
      </c>
      <c r="I1672">
        <v>1388.827558</v>
      </c>
      <c r="J1672">
        <v>0</v>
      </c>
      <c r="K1672" t="s">
        <v>3182</v>
      </c>
      <c r="L1672">
        <v>1.231359133619363</v>
      </c>
      <c r="M1672">
        <v>9.98</v>
      </c>
      <c r="N1672">
        <v>6.62</v>
      </c>
    </row>
    <row r="1673" spans="1:14">
      <c r="A1673" s="1" t="s">
        <v>1685</v>
      </c>
      <c r="B1673">
        <f>HYPERLINK("https://www.suredividend.com/sure-analysis-LIN/","Linde Plc.")</f>
        <v>0</v>
      </c>
      <c r="C1673" t="s">
        <v>3181</v>
      </c>
      <c r="D1673">
        <v>389.66</v>
      </c>
      <c r="E1673">
        <v>0.01308833341887799</v>
      </c>
      <c r="F1673">
        <v>0.08974358974358965</v>
      </c>
      <c r="G1673">
        <v>0.07820272807754569</v>
      </c>
      <c r="H1673">
        <v>0</v>
      </c>
      <c r="I1673">
        <v>0</v>
      </c>
      <c r="J1673">
        <v>0</v>
      </c>
      <c r="K1673">
        <v>0</v>
      </c>
      <c r="L1673">
        <v>0.5909984215704011</v>
      </c>
    </row>
    <row r="1674" spans="1:14">
      <c r="A1674" s="1" t="s">
        <v>1686</v>
      </c>
      <c r="B1674">
        <f>HYPERLINK("https://www.suredividend.com/sure-analysis-research-database/","Lincoln Educational Services Corp")</f>
        <v>0</v>
      </c>
      <c r="C1674" t="s">
        <v>3188</v>
      </c>
      <c r="D1674">
        <v>8.75</v>
      </c>
      <c r="E1674">
        <v>0</v>
      </c>
      <c r="F1674" t="s">
        <v>3182</v>
      </c>
      <c r="G1674" t="s">
        <v>3182</v>
      </c>
      <c r="H1674">
        <v>0</v>
      </c>
      <c r="I1674">
        <v>274.392213</v>
      </c>
      <c r="J1674">
        <v>10.37949056211227</v>
      </c>
      <c r="K1674">
        <v>0</v>
      </c>
      <c r="L1674">
        <v>0.7260907401180791</v>
      </c>
      <c r="M1674">
        <v>9.25</v>
      </c>
      <c r="N1674">
        <v>5.05</v>
      </c>
    </row>
    <row r="1675" spans="1:14">
      <c r="A1675" s="1" t="s">
        <v>1687</v>
      </c>
      <c r="B1675">
        <f>HYPERLINK("https://www.suredividend.com/sure-analysis-research-database/","Lindblad Expeditions Holdings Inc")</f>
        <v>0</v>
      </c>
      <c r="C1675" t="s">
        <v>3186</v>
      </c>
      <c r="D1675">
        <v>6</v>
      </c>
      <c r="E1675">
        <v>0</v>
      </c>
      <c r="F1675" t="s">
        <v>3182</v>
      </c>
      <c r="G1675" t="s">
        <v>3182</v>
      </c>
      <c r="H1675">
        <v>0</v>
      </c>
      <c r="I1675">
        <v>319.974432</v>
      </c>
      <c r="J1675">
        <v>0</v>
      </c>
      <c r="K1675" t="s">
        <v>3182</v>
      </c>
      <c r="L1675">
        <v>1.588572848703336</v>
      </c>
      <c r="M1675">
        <v>12.46</v>
      </c>
      <c r="N1675">
        <v>5.47</v>
      </c>
    </row>
    <row r="1676" spans="1:14">
      <c r="A1676" s="1" t="s">
        <v>1688</v>
      </c>
      <c r="B1676">
        <f>HYPERLINK("https://www.suredividend.com/sure-analysis-research-database/","LiqTech International Inc")</f>
        <v>0</v>
      </c>
      <c r="C1676" t="s">
        <v>3183</v>
      </c>
      <c r="D1676">
        <v>3.78</v>
      </c>
      <c r="E1676">
        <v>0</v>
      </c>
      <c r="F1676" t="s">
        <v>3182</v>
      </c>
      <c r="G1676" t="s">
        <v>3182</v>
      </c>
      <c r="H1676">
        <v>0</v>
      </c>
      <c r="I1676">
        <v>21.649232</v>
      </c>
      <c r="J1676">
        <v>0</v>
      </c>
      <c r="K1676" t="s">
        <v>3182</v>
      </c>
      <c r="L1676">
        <v>0.205001898163978</v>
      </c>
      <c r="M1676">
        <v>4.66</v>
      </c>
      <c r="N1676">
        <v>2.8</v>
      </c>
    </row>
    <row r="1677" spans="1:14">
      <c r="A1677" s="1" t="s">
        <v>1689</v>
      </c>
      <c r="B1677">
        <f>HYPERLINK("https://www.suredividend.com/sure-analysis-research-database/","Lumentum Holdings Inc")</f>
        <v>0</v>
      </c>
      <c r="C1677" t="s">
        <v>3185</v>
      </c>
      <c r="D1677">
        <v>40.45</v>
      </c>
      <c r="E1677">
        <v>0</v>
      </c>
      <c r="F1677" t="s">
        <v>3182</v>
      </c>
      <c r="G1677" t="s">
        <v>3182</v>
      </c>
      <c r="H1677">
        <v>0</v>
      </c>
      <c r="I1677">
        <v>2710.142517</v>
      </c>
      <c r="J1677" t="s">
        <v>3182</v>
      </c>
      <c r="K1677">
        <v>-0</v>
      </c>
      <c r="L1677">
        <v>1.254559306843017</v>
      </c>
      <c r="M1677">
        <v>73.63</v>
      </c>
      <c r="N1677">
        <v>35.35</v>
      </c>
    </row>
    <row r="1678" spans="1:14">
      <c r="A1678" s="1" t="s">
        <v>1690</v>
      </c>
      <c r="B1678">
        <f>HYPERLINK("https://www.suredividend.com/sure-analysis-research-database/","Live Ventures Inc")</f>
        <v>0</v>
      </c>
      <c r="C1678" t="s">
        <v>3186</v>
      </c>
      <c r="D1678">
        <v>27.2</v>
      </c>
      <c r="E1678">
        <v>0</v>
      </c>
      <c r="F1678" t="s">
        <v>3182</v>
      </c>
      <c r="G1678" t="s">
        <v>3182</v>
      </c>
      <c r="H1678">
        <v>0</v>
      </c>
      <c r="I1678">
        <v>86.069776</v>
      </c>
      <c r="J1678">
        <v>0</v>
      </c>
      <c r="K1678" t="s">
        <v>3182</v>
      </c>
      <c r="M1678">
        <v>40.38</v>
      </c>
      <c r="N1678">
        <v>22.81</v>
      </c>
    </row>
    <row r="1679" spans="1:14">
      <c r="A1679" s="1" t="s">
        <v>1691</v>
      </c>
      <c r="B1679">
        <f>HYPERLINK("https://www.suredividend.com/sure-analysis-research-database/","LivaNova PLC")</f>
        <v>0</v>
      </c>
      <c r="C1679" t="s">
        <v>3180</v>
      </c>
      <c r="D1679">
        <v>48.67</v>
      </c>
      <c r="E1679">
        <v>0</v>
      </c>
      <c r="F1679" t="s">
        <v>3182</v>
      </c>
      <c r="G1679" t="s">
        <v>3182</v>
      </c>
      <c r="H1679">
        <v>0</v>
      </c>
      <c r="I1679">
        <v>2622.484442</v>
      </c>
      <c r="J1679" t="s">
        <v>3182</v>
      </c>
      <c r="K1679">
        <v>-0</v>
      </c>
      <c r="L1679">
        <v>0.7650245856350151</v>
      </c>
      <c r="M1679">
        <v>59.86</v>
      </c>
      <c r="N1679">
        <v>40.26</v>
      </c>
    </row>
    <row r="1680" spans="1:14">
      <c r="A1680" s="1" t="s">
        <v>1692</v>
      </c>
      <c r="B1680">
        <f>HYPERLINK("https://www.suredividend.com/sure-analysis-research-database/","LiveXLive Media Inc")</f>
        <v>0</v>
      </c>
      <c r="C1680" t="s">
        <v>3191</v>
      </c>
      <c r="D1680">
        <v>3.01</v>
      </c>
      <c r="E1680">
        <v>0</v>
      </c>
      <c r="F1680" t="s">
        <v>3182</v>
      </c>
      <c r="G1680" t="s">
        <v>3182</v>
      </c>
      <c r="H1680">
        <v>0</v>
      </c>
      <c r="I1680">
        <v>240.518751</v>
      </c>
      <c r="J1680" t="s">
        <v>3182</v>
      </c>
      <c r="K1680">
        <v>-0</v>
      </c>
      <c r="L1680">
        <v>1.49641861883758</v>
      </c>
      <c r="M1680">
        <v>6.95</v>
      </c>
      <c r="N1680">
        <v>1.78</v>
      </c>
    </row>
    <row r="1681" spans="1:14">
      <c r="A1681" s="1" t="s">
        <v>1693</v>
      </c>
      <c r="B1681">
        <f>HYPERLINK("https://www.suredividend.com/sure-analysis-research-database/","La Jolla Pharmaceutical Co.")</f>
        <v>0</v>
      </c>
      <c r="C1681" t="s">
        <v>3180</v>
      </c>
      <c r="D1681">
        <v>6.22</v>
      </c>
      <c r="E1681">
        <v>0</v>
      </c>
      <c r="F1681" t="s">
        <v>3182</v>
      </c>
      <c r="G1681" t="s">
        <v>3182</v>
      </c>
      <c r="H1681">
        <v>0</v>
      </c>
      <c r="I1681">
        <v>0</v>
      </c>
      <c r="J1681">
        <v>0</v>
      </c>
      <c r="K1681" t="s">
        <v>3182</v>
      </c>
    </row>
    <row r="1682" spans="1:14">
      <c r="A1682" s="1" t="s">
        <v>1694</v>
      </c>
      <c r="B1682">
        <f>HYPERLINK("https://www.suredividend.com/sure-analysis-research-database/","Lakeland Financial Corp.")</f>
        <v>0</v>
      </c>
      <c r="C1682" t="s">
        <v>3184</v>
      </c>
      <c r="D1682">
        <v>51.36</v>
      </c>
      <c r="E1682">
        <v>0.034889679231965</v>
      </c>
      <c r="F1682">
        <v>0.1499999999999999</v>
      </c>
      <c r="G1682">
        <v>0.08924936491294377</v>
      </c>
      <c r="H1682">
        <v>1.791933925353765</v>
      </c>
      <c r="I1682">
        <v>1306.173345</v>
      </c>
      <c r="J1682">
        <v>13.98607301174631</v>
      </c>
      <c r="K1682">
        <v>0.4936457094638471</v>
      </c>
      <c r="L1682">
        <v>0.7504484857454821</v>
      </c>
      <c r="M1682">
        <v>77.84999999999999</v>
      </c>
      <c r="N1682">
        <v>41.54</v>
      </c>
    </row>
    <row r="1683" spans="1:14">
      <c r="A1683" s="1" t="s">
        <v>1695</v>
      </c>
      <c r="B1683">
        <f>HYPERLINK("https://www.suredividend.com/sure-analysis-research-database/","LKQ Corp")</f>
        <v>0</v>
      </c>
      <c r="C1683" t="s">
        <v>3186</v>
      </c>
      <c r="D1683">
        <v>43.45</v>
      </c>
      <c r="E1683">
        <v>0.025124166392336</v>
      </c>
      <c r="F1683" t="s">
        <v>3182</v>
      </c>
      <c r="G1683" t="s">
        <v>3182</v>
      </c>
      <c r="H1683">
        <v>1.091645029747006</v>
      </c>
      <c r="I1683">
        <v>11627.146961</v>
      </c>
      <c r="J1683">
        <v>12.18778507395178</v>
      </c>
      <c r="K1683">
        <v>0.3066418622884848</v>
      </c>
      <c r="L1683">
        <v>0.8777555376859271</v>
      </c>
      <c r="M1683">
        <v>59.07</v>
      </c>
      <c r="N1683">
        <v>41.49</v>
      </c>
    </row>
    <row r="1684" spans="1:14">
      <c r="A1684" s="1" t="s">
        <v>1696</v>
      </c>
      <c r="B1684">
        <f>HYPERLINK("https://www.suredividend.com/sure-analysis-research-database/","LL Flooring Holdings Inc")</f>
        <v>0</v>
      </c>
      <c r="C1684" t="s">
        <v>3186</v>
      </c>
      <c r="D1684">
        <v>3.34</v>
      </c>
      <c r="E1684">
        <v>0</v>
      </c>
      <c r="F1684" t="s">
        <v>3182</v>
      </c>
      <c r="G1684" t="s">
        <v>3182</v>
      </c>
      <c r="H1684">
        <v>0</v>
      </c>
      <c r="I1684">
        <v>102.620301</v>
      </c>
      <c r="J1684" t="s">
        <v>3182</v>
      </c>
      <c r="K1684">
        <v>-0</v>
      </c>
      <c r="L1684">
        <v>0.955601815262146</v>
      </c>
      <c r="M1684">
        <v>8.550000000000001</v>
      </c>
      <c r="N1684">
        <v>2.6</v>
      </c>
    </row>
    <row r="1685" spans="1:14">
      <c r="A1685" s="1" t="s">
        <v>1697</v>
      </c>
      <c r="B1685">
        <f>HYPERLINK("https://www.suredividend.com/sure-analysis-LLY/","Lilly(Eli) &amp; Co")</f>
        <v>0</v>
      </c>
      <c r="C1685" t="s">
        <v>3180</v>
      </c>
      <c r="D1685">
        <v>580.29</v>
      </c>
      <c r="E1685">
        <v>0.007789208843853935</v>
      </c>
      <c r="F1685">
        <v>0.1530612244897958</v>
      </c>
      <c r="G1685">
        <v>0.149717609800043</v>
      </c>
      <c r="H1685">
        <v>4.354461682879396</v>
      </c>
      <c r="I1685">
        <v>550866.4959400001</v>
      </c>
      <c r="J1685">
        <v>84.78129987536283</v>
      </c>
      <c r="K1685">
        <v>0.6056274941417797</v>
      </c>
      <c r="L1685">
        <v>0.380186108269601</v>
      </c>
      <c r="M1685">
        <v>629.97</v>
      </c>
      <c r="N1685">
        <v>299.74</v>
      </c>
    </row>
    <row r="1686" spans="1:14">
      <c r="A1686" s="1" t="s">
        <v>1698</v>
      </c>
      <c r="B1686">
        <f>HYPERLINK("https://www.suredividend.com/sure-analysis-research-database/","Lemaitre Vascular Inc")</f>
        <v>0</v>
      </c>
      <c r="C1686" t="s">
        <v>3180</v>
      </c>
      <c r="D1686">
        <v>46.65</v>
      </c>
      <c r="E1686">
        <v>0.011629298201411</v>
      </c>
      <c r="F1686">
        <v>0.1200000000000001</v>
      </c>
      <c r="G1686">
        <v>0.1486983549970351</v>
      </c>
      <c r="H1686">
        <v>0.5425067610958261</v>
      </c>
      <c r="I1686">
        <v>1038.575621</v>
      </c>
      <c r="J1686">
        <v>41.17900245628643</v>
      </c>
      <c r="K1686">
        <v>0.4800944788458638</v>
      </c>
      <c r="L1686">
        <v>0.6992257957608321</v>
      </c>
      <c r="M1686">
        <v>68.5</v>
      </c>
      <c r="N1686">
        <v>42.82</v>
      </c>
    </row>
    <row r="1687" spans="1:14">
      <c r="A1687" s="1" t="s">
        <v>1699</v>
      </c>
      <c r="B1687">
        <f>HYPERLINK("https://www.suredividend.com/sure-analysis-research-database/","LM Funding America Inc")</f>
        <v>0</v>
      </c>
      <c r="C1687" t="s">
        <v>3184</v>
      </c>
      <c r="D1687">
        <v>0.4</v>
      </c>
      <c r="E1687">
        <v>0</v>
      </c>
      <c r="F1687" t="s">
        <v>3182</v>
      </c>
      <c r="G1687" t="s">
        <v>3182</v>
      </c>
      <c r="H1687">
        <v>0</v>
      </c>
      <c r="I1687">
        <v>5.860753</v>
      </c>
      <c r="J1687">
        <v>0</v>
      </c>
      <c r="K1687" t="s">
        <v>3182</v>
      </c>
      <c r="L1687">
        <v>0.369061697364214</v>
      </c>
      <c r="M1687">
        <v>1.48</v>
      </c>
      <c r="N1687">
        <v>0.33</v>
      </c>
    </row>
    <row r="1688" spans="1:14">
      <c r="A1688" s="1" t="s">
        <v>1700</v>
      </c>
      <c r="B1688">
        <f>HYPERLINK("https://www.suredividend.com/sure-analysis-research-database/","Limoneira Co")</f>
        <v>0</v>
      </c>
      <c r="C1688" t="s">
        <v>3188</v>
      </c>
      <c r="D1688">
        <v>14.39</v>
      </c>
      <c r="E1688">
        <v>0.020545331209436</v>
      </c>
      <c r="F1688">
        <v>0</v>
      </c>
      <c r="G1688">
        <v>0</v>
      </c>
      <c r="H1688">
        <v>0.295647316103794</v>
      </c>
      <c r="I1688">
        <v>258.716515</v>
      </c>
      <c r="J1688">
        <v>26.81555917288557</v>
      </c>
      <c r="K1688">
        <v>0.5390106036532252</v>
      </c>
      <c r="L1688">
        <v>0.471224658721465</v>
      </c>
      <c r="M1688">
        <v>17.55</v>
      </c>
      <c r="N1688">
        <v>11.6</v>
      </c>
    </row>
    <row r="1689" spans="1:14">
      <c r="A1689" s="1" t="s">
        <v>1701</v>
      </c>
      <c r="B1689">
        <f>HYPERLINK("https://www.suredividend.com/sure-analysis-research-database/","Luminex Corp")</f>
        <v>0</v>
      </c>
      <c r="C1689" t="s">
        <v>3180</v>
      </c>
      <c r="D1689">
        <v>36.99</v>
      </c>
      <c r="E1689">
        <v>0</v>
      </c>
      <c r="F1689" t="s">
        <v>3182</v>
      </c>
      <c r="G1689" t="s">
        <v>3182</v>
      </c>
      <c r="H1689">
        <v>0.390000008046627</v>
      </c>
      <c r="I1689">
        <v>0</v>
      </c>
      <c r="J1689">
        <v>0</v>
      </c>
      <c r="K1689">
        <v>0.7792207952979561</v>
      </c>
    </row>
    <row r="1690" spans="1:14">
      <c r="A1690" s="1" t="s">
        <v>1702</v>
      </c>
      <c r="B1690">
        <f>HYPERLINK("https://www.suredividend.com/sure-analysis-research-database/","Limestone Bancorp Inc")</f>
        <v>0</v>
      </c>
      <c r="C1690" t="s">
        <v>3184</v>
      </c>
      <c r="D1690">
        <v>23.42</v>
      </c>
      <c r="E1690">
        <v>0</v>
      </c>
      <c r="F1690" t="s">
        <v>3182</v>
      </c>
      <c r="G1690" t="s">
        <v>3182</v>
      </c>
      <c r="H1690">
        <v>0.200000002980232</v>
      </c>
      <c r="I1690">
        <v>0</v>
      </c>
      <c r="J1690">
        <v>0</v>
      </c>
      <c r="K1690">
        <v>0.08474576397467459</v>
      </c>
    </row>
    <row r="1691" spans="1:14">
      <c r="A1691" s="1" t="s">
        <v>1703</v>
      </c>
      <c r="B1691">
        <f>HYPERLINK("https://www.suredividend.com/sure-analysis-LMT/","Lockheed Martin Corp.")</f>
        <v>0</v>
      </c>
      <c r="C1691" t="s">
        <v>3183</v>
      </c>
      <c r="D1691">
        <v>458.04</v>
      </c>
      <c r="E1691">
        <v>0.02750851454021483</v>
      </c>
      <c r="F1691">
        <v>0.0714285714285714</v>
      </c>
      <c r="G1691">
        <v>0.06399531281508364</v>
      </c>
      <c r="H1691">
        <v>11.8818842438061</v>
      </c>
      <c r="I1691">
        <v>113639.135419</v>
      </c>
      <c r="J1691">
        <v>16.31339871068045</v>
      </c>
      <c r="K1691">
        <v>0.4336454103578869</v>
      </c>
      <c r="L1691">
        <v>0.312675176156532</v>
      </c>
      <c r="M1691">
        <v>501.35</v>
      </c>
      <c r="N1691">
        <v>393.77</v>
      </c>
    </row>
    <row r="1692" spans="1:14">
      <c r="A1692" s="1" t="s">
        <v>1704</v>
      </c>
      <c r="B1692">
        <f>HYPERLINK("https://www.suredividend.com/sure-analysis-LNC/","Lincoln National Corp.")</f>
        <v>0</v>
      </c>
      <c r="C1692" t="s">
        <v>3184</v>
      </c>
      <c r="D1692">
        <v>23.12</v>
      </c>
      <c r="E1692">
        <v>0.07785467128027682</v>
      </c>
      <c r="F1692">
        <v>0</v>
      </c>
      <c r="G1692">
        <v>0.03992533304330625</v>
      </c>
      <c r="H1692">
        <v>1.749105911689687</v>
      </c>
      <c r="I1692">
        <v>3922.033358</v>
      </c>
      <c r="J1692" t="s">
        <v>3182</v>
      </c>
      <c r="K1692" t="s">
        <v>3182</v>
      </c>
      <c r="L1692">
        <v>1.805952584848492</v>
      </c>
      <c r="M1692">
        <v>36.62</v>
      </c>
      <c r="N1692">
        <v>17.82</v>
      </c>
    </row>
    <row r="1693" spans="1:14">
      <c r="A1693" s="1" t="s">
        <v>1705</v>
      </c>
      <c r="B1693">
        <f>HYPERLINK("https://www.suredividend.com/sure-analysis-research-database/","Cheniere Energy Inc.")</f>
        <v>0</v>
      </c>
      <c r="C1693" t="s">
        <v>3189</v>
      </c>
      <c r="D1693">
        <v>176.92</v>
      </c>
      <c r="E1693">
        <v>0.008868647184630001</v>
      </c>
      <c r="F1693" t="s">
        <v>3182</v>
      </c>
      <c r="G1693" t="s">
        <v>3182</v>
      </c>
      <c r="H1693">
        <v>1.569041059904897</v>
      </c>
      <c r="I1693">
        <v>42571.058667</v>
      </c>
      <c r="J1693">
        <v>5.095279313828844</v>
      </c>
      <c r="K1693">
        <v>0.04662826329583646</v>
      </c>
      <c r="L1693">
        <v>0.740061887255373</v>
      </c>
      <c r="M1693">
        <v>177.55</v>
      </c>
      <c r="N1693">
        <v>133.28</v>
      </c>
    </row>
    <row r="1694" spans="1:14">
      <c r="A1694" s="1" t="s">
        <v>1706</v>
      </c>
      <c r="B1694">
        <f>HYPERLINK("https://www.suredividend.com/sure-analysis-LNN/","Lindsay Corporation")</f>
        <v>0</v>
      </c>
      <c r="C1694" t="s">
        <v>3183</v>
      </c>
      <c r="D1694">
        <v>127</v>
      </c>
      <c r="E1694">
        <v>0.01102362204724409</v>
      </c>
      <c r="F1694" t="s">
        <v>3182</v>
      </c>
      <c r="G1694" t="s">
        <v>3182</v>
      </c>
      <c r="H1694">
        <v>1.364478229591803</v>
      </c>
      <c r="I1694">
        <v>1398.308989</v>
      </c>
      <c r="J1694">
        <v>19.31926372290305</v>
      </c>
      <c r="K1694">
        <v>0.208635814922294</v>
      </c>
      <c r="L1694">
        <v>0.884461583310548</v>
      </c>
      <c r="M1694">
        <v>181.65</v>
      </c>
      <c r="N1694">
        <v>106.46</v>
      </c>
    </row>
    <row r="1695" spans="1:14">
      <c r="A1695" s="1" t="s">
        <v>1707</v>
      </c>
      <c r="B1695">
        <f>HYPERLINK("https://www.suredividend.com/sure-analysis-LNT/","Alliant Energy Corp.")</f>
        <v>0</v>
      </c>
      <c r="C1695" t="s">
        <v>3190</v>
      </c>
      <c r="D1695">
        <v>50.26</v>
      </c>
      <c r="E1695">
        <v>0.03601273378432153</v>
      </c>
      <c r="F1695">
        <v>0.05847953216374258</v>
      </c>
      <c r="G1695">
        <v>0.049731056540673</v>
      </c>
      <c r="H1695">
        <v>1.763140002643015</v>
      </c>
      <c r="I1695">
        <v>12701.661564</v>
      </c>
      <c r="J1695">
        <v>19.30343702723404</v>
      </c>
      <c r="K1695">
        <v>0.6729541994820668</v>
      </c>
      <c r="L1695">
        <v>0.5782852855137961</v>
      </c>
      <c r="M1695">
        <v>54.31</v>
      </c>
      <c r="N1695">
        <v>44.32</v>
      </c>
    </row>
    <row r="1696" spans="1:14">
      <c r="A1696" s="1" t="s">
        <v>1708</v>
      </c>
      <c r="B1696">
        <f>HYPERLINK("https://www.suredividend.com/sure-analysis-research-database/","Lantheus Holdings Inc")</f>
        <v>0</v>
      </c>
      <c r="C1696" t="s">
        <v>3180</v>
      </c>
      <c r="D1696">
        <v>62.16</v>
      </c>
      <c r="E1696">
        <v>0</v>
      </c>
      <c r="F1696" t="s">
        <v>3182</v>
      </c>
      <c r="G1696" t="s">
        <v>3182</v>
      </c>
      <c r="H1696">
        <v>0</v>
      </c>
      <c r="I1696">
        <v>4253.652126</v>
      </c>
      <c r="J1696">
        <v>127.4655277192772</v>
      </c>
      <c r="K1696">
        <v>0</v>
      </c>
      <c r="L1696">
        <v>0.7962213459015011</v>
      </c>
      <c r="M1696">
        <v>100.85</v>
      </c>
      <c r="N1696">
        <v>47.46</v>
      </c>
    </row>
    <row r="1697" spans="1:14">
      <c r="A1697" s="1" t="s">
        <v>1709</v>
      </c>
      <c r="B1697">
        <f>HYPERLINK("https://www.suredividend.com/sure-analysis-research-database/","Manhattan Bridge Capital Inc")</f>
        <v>0</v>
      </c>
      <c r="C1697" t="s">
        <v>3187</v>
      </c>
      <c r="D1697">
        <v>4.63</v>
      </c>
      <c r="E1697">
        <v>0.09369146431846201</v>
      </c>
      <c r="F1697">
        <v>-0.09999999999999998</v>
      </c>
      <c r="G1697">
        <v>-0.01282475708259001</v>
      </c>
      <c r="H1697">
        <v>0.433791479794481</v>
      </c>
      <c r="I1697">
        <v>53.011579</v>
      </c>
      <c r="J1697">
        <v>9.961290714459397</v>
      </c>
      <c r="K1697">
        <v>0.935903947776658</v>
      </c>
      <c r="L1697">
        <v>0.210500210740403</v>
      </c>
      <c r="M1697">
        <v>5.27</v>
      </c>
      <c r="N1697">
        <v>4.2</v>
      </c>
    </row>
    <row r="1698" spans="1:14">
      <c r="A1698" s="1" t="s">
        <v>1710</v>
      </c>
      <c r="B1698">
        <f>HYPERLINK("https://www.suredividend.com/sure-analysis-research-database/","Live Oak Bancshares Inc")</f>
        <v>0</v>
      </c>
      <c r="C1698" t="s">
        <v>3184</v>
      </c>
      <c r="D1698">
        <v>30.56</v>
      </c>
      <c r="E1698">
        <v>0.002941912856618</v>
      </c>
      <c r="F1698">
        <v>0</v>
      </c>
      <c r="G1698">
        <v>0</v>
      </c>
      <c r="H1698">
        <v>0.089904856898274</v>
      </c>
      <c r="I1698">
        <v>1355.738322</v>
      </c>
      <c r="J1698">
        <v>21.65646979968691</v>
      </c>
      <c r="K1698">
        <v>0.06421775492733858</v>
      </c>
      <c r="L1698">
        <v>1.766723776978561</v>
      </c>
      <c r="M1698">
        <v>38.33</v>
      </c>
      <c r="N1698">
        <v>17.27</v>
      </c>
    </row>
    <row r="1699" spans="1:14">
      <c r="A1699" s="1" t="s">
        <v>1711</v>
      </c>
      <c r="B1699">
        <f>HYPERLINK("https://www.suredividend.com/sure-analysis-research-database/","El Pollo Loco Holdings Inc")</f>
        <v>0</v>
      </c>
      <c r="C1699" t="s">
        <v>3186</v>
      </c>
      <c r="D1699">
        <v>8.710000000000001</v>
      </c>
      <c r="E1699">
        <v>0</v>
      </c>
      <c r="F1699" t="s">
        <v>3182</v>
      </c>
      <c r="G1699" t="s">
        <v>3182</v>
      </c>
      <c r="H1699">
        <v>0</v>
      </c>
      <c r="I1699">
        <v>308.894863</v>
      </c>
      <c r="J1699">
        <v>13.13384340448148</v>
      </c>
      <c r="K1699">
        <v>0</v>
      </c>
      <c r="L1699">
        <v>0.8642916778937141</v>
      </c>
      <c r="M1699">
        <v>13</v>
      </c>
      <c r="N1699">
        <v>8.109999999999999</v>
      </c>
    </row>
    <row r="1700" spans="1:14">
      <c r="A1700" s="1" t="s">
        <v>1712</v>
      </c>
      <c r="B1700">
        <f>HYPERLINK("https://www.suredividend.com/sure-analysis-research-database/","Comstock Inc")</f>
        <v>0</v>
      </c>
      <c r="C1700" t="s">
        <v>3187</v>
      </c>
      <c r="D1700">
        <v>0.4351</v>
      </c>
      <c r="E1700">
        <v>0</v>
      </c>
      <c r="F1700" t="s">
        <v>3182</v>
      </c>
      <c r="G1700" t="s">
        <v>3182</v>
      </c>
      <c r="H1700">
        <v>0</v>
      </c>
      <c r="I1700">
        <v>50.963361</v>
      </c>
      <c r="J1700">
        <v>0</v>
      </c>
      <c r="K1700" t="s">
        <v>3182</v>
      </c>
      <c r="L1700">
        <v>1.498033429769228</v>
      </c>
      <c r="M1700">
        <v>0.989</v>
      </c>
      <c r="N1700">
        <v>0.2402</v>
      </c>
    </row>
    <row r="1701" spans="1:14">
      <c r="A1701" s="1" t="s">
        <v>1713</v>
      </c>
      <c r="B1701">
        <f>HYPERLINK("https://www.suredividend.com/sure-analysis-research-database/","Lonestar Resources US Inc")</f>
        <v>0</v>
      </c>
      <c r="C1701" t="s">
        <v>3189</v>
      </c>
      <c r="D1701">
        <v>16</v>
      </c>
      <c r="E1701">
        <v>0</v>
      </c>
      <c r="F1701" t="s">
        <v>3182</v>
      </c>
      <c r="G1701" t="s">
        <v>3182</v>
      </c>
      <c r="H1701">
        <v>0</v>
      </c>
      <c r="I1701">
        <v>161.713296</v>
      </c>
      <c r="J1701">
        <v>0</v>
      </c>
      <c r="K1701" t="s">
        <v>3182</v>
      </c>
      <c r="M1701">
        <v>20.99</v>
      </c>
      <c r="N1701">
        <v>4.01</v>
      </c>
    </row>
    <row r="1702" spans="1:14">
      <c r="A1702" s="1" t="s">
        <v>1714</v>
      </c>
      <c r="B1702">
        <f>HYPERLINK("https://www.suredividend.com/sure-analysis-research-database/","Loop Industries Inc")</f>
        <v>0</v>
      </c>
      <c r="C1702" t="s">
        <v>3181</v>
      </c>
      <c r="D1702">
        <v>3.41</v>
      </c>
      <c r="E1702">
        <v>0</v>
      </c>
      <c r="F1702" t="s">
        <v>3182</v>
      </c>
      <c r="G1702" t="s">
        <v>3182</v>
      </c>
      <c r="H1702">
        <v>0</v>
      </c>
      <c r="I1702">
        <v>162.047248</v>
      </c>
      <c r="J1702">
        <v>0</v>
      </c>
      <c r="K1702" t="s">
        <v>3182</v>
      </c>
      <c r="L1702">
        <v>0.656822989291829</v>
      </c>
      <c r="M1702">
        <v>3.8</v>
      </c>
      <c r="N1702">
        <v>1.85</v>
      </c>
    </row>
    <row r="1703" spans="1:14">
      <c r="A1703" s="1" t="s">
        <v>1715</v>
      </c>
      <c r="B1703">
        <f>HYPERLINK("https://www.suredividend.com/sure-analysis-research-database/","Grand Canyon Education Inc")</f>
        <v>0</v>
      </c>
      <c r="C1703" t="s">
        <v>3188</v>
      </c>
      <c r="D1703">
        <v>121.8</v>
      </c>
      <c r="E1703">
        <v>0</v>
      </c>
      <c r="F1703" t="s">
        <v>3182</v>
      </c>
      <c r="G1703" t="s">
        <v>3182</v>
      </c>
      <c r="H1703">
        <v>0</v>
      </c>
      <c r="I1703">
        <v>3687.481115</v>
      </c>
      <c r="J1703">
        <v>19.45161265798746</v>
      </c>
      <c r="K1703">
        <v>0</v>
      </c>
      <c r="L1703">
        <v>0.4699872623699921</v>
      </c>
      <c r="M1703">
        <v>124.53</v>
      </c>
      <c r="N1703">
        <v>99.65000000000001</v>
      </c>
    </row>
    <row r="1704" spans="1:14">
      <c r="A1704" s="1" t="s">
        <v>1716</v>
      </c>
      <c r="B1704">
        <f>HYPERLINK("https://www.suredividend.com/sure-analysis-research-database/","Loral Space &amp; Communications Inc")</f>
        <v>0</v>
      </c>
      <c r="C1704" t="s">
        <v>3191</v>
      </c>
      <c r="D1704">
        <v>41.52</v>
      </c>
      <c r="E1704">
        <v>0</v>
      </c>
      <c r="F1704" t="s">
        <v>3182</v>
      </c>
      <c r="G1704" t="s">
        <v>3182</v>
      </c>
      <c r="H1704">
        <v>0</v>
      </c>
      <c r="I1704">
        <v>0</v>
      </c>
      <c r="J1704">
        <v>0</v>
      </c>
      <c r="K1704" t="s">
        <v>3182</v>
      </c>
    </row>
    <row r="1705" spans="1:14">
      <c r="A1705" s="1" t="s">
        <v>1717</v>
      </c>
      <c r="B1705">
        <f>HYPERLINK("https://www.suredividend.com/sure-analysis-research-database/","Lovesac Company")</f>
        <v>0</v>
      </c>
      <c r="C1705" t="s">
        <v>3186</v>
      </c>
      <c r="D1705">
        <v>17.75</v>
      </c>
      <c r="E1705">
        <v>0</v>
      </c>
      <c r="F1705" t="s">
        <v>3182</v>
      </c>
      <c r="G1705" t="s">
        <v>3182</v>
      </c>
      <c r="H1705">
        <v>0</v>
      </c>
      <c r="I1705">
        <v>270.101537</v>
      </c>
      <c r="J1705">
        <v>12.21239485463671</v>
      </c>
      <c r="K1705">
        <v>0</v>
      </c>
      <c r="L1705">
        <v>1.856601282953763</v>
      </c>
      <c r="M1705">
        <v>30.94</v>
      </c>
      <c r="N1705">
        <v>14.18</v>
      </c>
    </row>
    <row r="1706" spans="1:14">
      <c r="A1706" s="1" t="s">
        <v>1718</v>
      </c>
      <c r="B1706">
        <f>HYPERLINK("https://www.suredividend.com/sure-analysis-LOW/","Lowe`s Cos., Inc.")</f>
        <v>0</v>
      </c>
      <c r="C1706" t="s">
        <v>3186</v>
      </c>
      <c r="D1706">
        <v>194.32</v>
      </c>
      <c r="E1706">
        <v>0.02264306298888432</v>
      </c>
      <c r="F1706">
        <v>0.04761904761904767</v>
      </c>
      <c r="G1706">
        <v>0.1804029591369694</v>
      </c>
      <c r="H1706">
        <v>4.266331310509471</v>
      </c>
      <c r="I1706">
        <v>112145.029356</v>
      </c>
      <c r="J1706">
        <v>18.6040194684937</v>
      </c>
      <c r="K1706">
        <v>0.4253570598713331</v>
      </c>
      <c r="L1706">
        <v>1.099624300335136</v>
      </c>
      <c r="M1706">
        <v>235.82</v>
      </c>
      <c r="N1706">
        <v>174.65</v>
      </c>
    </row>
    <row r="1707" spans="1:14">
      <c r="A1707" s="1" t="s">
        <v>1719</v>
      </c>
      <c r="B1707">
        <f>HYPERLINK("https://www.suredividend.com/sure-analysis-research-database/","Lipocine Inc")</f>
        <v>0</v>
      </c>
      <c r="C1707" t="s">
        <v>3180</v>
      </c>
      <c r="D1707">
        <v>2.58</v>
      </c>
      <c r="E1707">
        <v>0</v>
      </c>
      <c r="F1707" t="s">
        <v>3182</v>
      </c>
      <c r="G1707" t="s">
        <v>3182</v>
      </c>
      <c r="H1707">
        <v>0</v>
      </c>
      <c r="I1707">
        <v>13.714841</v>
      </c>
      <c r="J1707">
        <v>0</v>
      </c>
      <c r="K1707" t="s">
        <v>3182</v>
      </c>
      <c r="L1707">
        <v>1.009661494130335</v>
      </c>
      <c r="M1707">
        <v>10.33</v>
      </c>
      <c r="N1707">
        <v>2.31</v>
      </c>
    </row>
    <row r="1708" spans="1:14">
      <c r="A1708" s="1" t="s">
        <v>1720</v>
      </c>
      <c r="B1708">
        <f>HYPERLINK("https://www.suredividend.com/sure-analysis-research-database/","Dorian LPG Ltd")</f>
        <v>0</v>
      </c>
      <c r="C1708" t="s">
        <v>3189</v>
      </c>
      <c r="D1708">
        <v>38.79</v>
      </c>
      <c r="E1708">
        <v>0</v>
      </c>
      <c r="F1708" t="s">
        <v>3182</v>
      </c>
      <c r="G1708" t="s">
        <v>3182</v>
      </c>
      <c r="H1708">
        <v>0</v>
      </c>
      <c r="I1708">
        <v>1566.816619</v>
      </c>
      <c r="J1708">
        <v>7.860914478156284</v>
      </c>
      <c r="K1708">
        <v>0</v>
      </c>
      <c r="L1708">
        <v>1.121970116982467</v>
      </c>
      <c r="M1708">
        <v>39.15</v>
      </c>
      <c r="N1708">
        <v>13.49</v>
      </c>
    </row>
    <row r="1709" spans="1:14">
      <c r="A1709" s="1" t="s">
        <v>1721</v>
      </c>
      <c r="B1709">
        <f>HYPERLINK("https://www.suredividend.com/sure-analysis-research-database/","LPL Financial Holdings Inc")</f>
        <v>0</v>
      </c>
      <c r="C1709" t="s">
        <v>3184</v>
      </c>
      <c r="D1709">
        <v>219.57</v>
      </c>
      <c r="E1709">
        <v>0.005221773429867</v>
      </c>
      <c r="F1709">
        <v>0.2000000000000002</v>
      </c>
      <c r="G1709">
        <v>0.03713728933664817</v>
      </c>
      <c r="H1709">
        <v>1.146544791996043</v>
      </c>
      <c r="I1709">
        <v>16604.004822</v>
      </c>
      <c r="J1709">
        <v>14.21847221019938</v>
      </c>
      <c r="K1709">
        <v>0.07762659390629946</v>
      </c>
      <c r="L1709">
        <v>0.5397957055954581</v>
      </c>
      <c r="M1709">
        <v>269.81</v>
      </c>
      <c r="N1709">
        <v>178.24</v>
      </c>
    </row>
    <row r="1710" spans="1:14">
      <c r="A1710" s="1" t="s">
        <v>1722</v>
      </c>
      <c r="B1710">
        <f>HYPERLINK("https://www.suredividend.com/sure-analysis-research-database/","Liveperson Inc")</f>
        <v>0</v>
      </c>
      <c r="C1710" t="s">
        <v>3185</v>
      </c>
      <c r="D1710">
        <v>2.75</v>
      </c>
      <c r="E1710">
        <v>0</v>
      </c>
      <c r="F1710" t="s">
        <v>3182</v>
      </c>
      <c r="G1710" t="s">
        <v>3182</v>
      </c>
      <c r="H1710">
        <v>0</v>
      </c>
      <c r="I1710">
        <v>214.528333</v>
      </c>
      <c r="J1710" t="s">
        <v>3182</v>
      </c>
      <c r="K1710">
        <v>-0</v>
      </c>
      <c r="L1710">
        <v>2.444571817025767</v>
      </c>
      <c r="M1710">
        <v>18.17</v>
      </c>
      <c r="N1710">
        <v>2.33</v>
      </c>
    </row>
    <row r="1711" spans="1:14">
      <c r="A1711" s="1" t="s">
        <v>1723</v>
      </c>
      <c r="B1711">
        <f>HYPERLINK("https://www.suredividend.com/sure-analysis-research-database/","Lightpath Technologies, Inc.")</f>
        <v>0</v>
      </c>
      <c r="C1711" t="s">
        <v>3185</v>
      </c>
      <c r="D1711">
        <v>1.57</v>
      </c>
      <c r="E1711">
        <v>0</v>
      </c>
      <c r="F1711" t="s">
        <v>3182</v>
      </c>
      <c r="G1711" t="s">
        <v>3182</v>
      </c>
      <c r="H1711">
        <v>0</v>
      </c>
      <c r="I1711">
        <v>58.805038</v>
      </c>
      <c r="J1711">
        <v>0</v>
      </c>
      <c r="K1711" t="s">
        <v>3182</v>
      </c>
      <c r="L1711">
        <v>0.838099337802737</v>
      </c>
      <c r="M1711">
        <v>2</v>
      </c>
      <c r="N1711">
        <v>0.9901000000000001</v>
      </c>
    </row>
    <row r="1712" spans="1:14">
      <c r="A1712" s="1" t="s">
        <v>1724</v>
      </c>
      <c r="B1712">
        <f>HYPERLINK("https://www.suredividend.com/sure-analysis-research-database/","Louisiana-Pacific Corp.")</f>
        <v>0</v>
      </c>
      <c r="C1712" t="s">
        <v>3183</v>
      </c>
      <c r="D1712">
        <v>57.28</v>
      </c>
      <c r="E1712">
        <v>0.016318721928949</v>
      </c>
      <c r="F1712">
        <v>0.09090909090909083</v>
      </c>
      <c r="G1712">
        <v>0.1304557777866477</v>
      </c>
      <c r="H1712">
        <v>0.9347363920902381</v>
      </c>
      <c r="I1712">
        <v>4130.260664</v>
      </c>
      <c r="J1712">
        <v>18.85963773369863</v>
      </c>
      <c r="K1712">
        <v>0.3084938587756562</v>
      </c>
      <c r="L1712">
        <v>1.504267111779139</v>
      </c>
      <c r="M1712">
        <v>79.26000000000001</v>
      </c>
      <c r="N1712">
        <v>49.47</v>
      </c>
    </row>
    <row r="1713" spans="1:14">
      <c r="A1713" s="1" t="s">
        <v>1725</v>
      </c>
      <c r="B1713">
        <f>HYPERLINK("https://www.suredividend.com/sure-analysis-research-database/","Liquidia Corp")</f>
        <v>0</v>
      </c>
      <c r="C1713" t="s">
        <v>3180</v>
      </c>
      <c r="D1713">
        <v>6.46</v>
      </c>
      <c r="E1713">
        <v>0</v>
      </c>
      <c r="F1713" t="s">
        <v>3182</v>
      </c>
      <c r="G1713" t="s">
        <v>3182</v>
      </c>
      <c r="H1713">
        <v>0</v>
      </c>
      <c r="I1713">
        <v>418.22748</v>
      </c>
      <c r="J1713" t="s">
        <v>3182</v>
      </c>
      <c r="K1713">
        <v>-0</v>
      </c>
      <c r="L1713">
        <v>0.587922769381198</v>
      </c>
      <c r="M1713">
        <v>9.949999999999999</v>
      </c>
      <c r="N1713">
        <v>4.48</v>
      </c>
    </row>
    <row r="1714" spans="1:14">
      <c r="A1714" s="1" t="s">
        <v>1726</v>
      </c>
      <c r="B1714">
        <f>HYPERLINK("https://www.suredividend.com/sure-analysis-research-database/","Liquidity Services Inc")</f>
        <v>0</v>
      </c>
      <c r="C1714" t="s">
        <v>3186</v>
      </c>
      <c r="D1714">
        <v>19.26</v>
      </c>
      <c r="E1714">
        <v>0</v>
      </c>
      <c r="F1714" t="s">
        <v>3182</v>
      </c>
      <c r="G1714" t="s">
        <v>3182</v>
      </c>
      <c r="H1714">
        <v>0</v>
      </c>
      <c r="I1714">
        <v>591.11151</v>
      </c>
      <c r="J1714">
        <v>25.6525413565942</v>
      </c>
      <c r="K1714">
        <v>0</v>
      </c>
      <c r="L1714">
        <v>1.066869454295349</v>
      </c>
      <c r="M1714">
        <v>20.83</v>
      </c>
      <c r="N1714">
        <v>11.97</v>
      </c>
    </row>
    <row r="1715" spans="1:14">
      <c r="A1715" s="1" t="s">
        <v>1727</v>
      </c>
      <c r="B1715">
        <f>HYPERLINK("https://www.suredividend.com/sure-analysis-LRCX/","Lam Research Corp.")</f>
        <v>0</v>
      </c>
      <c r="C1715" t="s">
        <v>3185</v>
      </c>
      <c r="D1715">
        <v>623.28</v>
      </c>
      <c r="E1715">
        <v>0.01283532280836863</v>
      </c>
      <c r="F1715">
        <v>0.1594202898550725</v>
      </c>
      <c r="G1715">
        <v>0.1270092020979254</v>
      </c>
      <c r="H1715">
        <v>7.118841354575506</v>
      </c>
      <c r="I1715">
        <v>82143.31776000001</v>
      </c>
      <c r="J1715">
        <v>20.67825089302571</v>
      </c>
      <c r="K1715">
        <v>0.2416443093881706</v>
      </c>
      <c r="L1715">
        <v>1.773210865540122</v>
      </c>
      <c r="M1715">
        <v>722.15</v>
      </c>
      <c r="N1715">
        <v>391.08</v>
      </c>
    </row>
    <row r="1716" spans="1:14">
      <c r="A1716" s="1" t="s">
        <v>1728</v>
      </c>
      <c r="B1716">
        <f>HYPERLINK("https://www.suredividend.com/sure-analysis-research-database/","Stride Inc")</f>
        <v>0</v>
      </c>
      <c r="C1716" t="s">
        <v>3188</v>
      </c>
      <c r="D1716">
        <v>55.04</v>
      </c>
      <c r="E1716">
        <v>0</v>
      </c>
      <c r="F1716" t="s">
        <v>3182</v>
      </c>
      <c r="G1716" t="s">
        <v>3182</v>
      </c>
      <c r="H1716">
        <v>0</v>
      </c>
      <c r="I1716">
        <v>2366.72</v>
      </c>
      <c r="J1716">
        <v>15.32680987197005</v>
      </c>
      <c r="K1716">
        <v>0</v>
      </c>
      <c r="L1716">
        <v>0.211006298374847</v>
      </c>
      <c r="M1716">
        <v>55.94</v>
      </c>
      <c r="N1716">
        <v>30.66</v>
      </c>
    </row>
    <row r="1717" spans="1:14">
      <c r="A1717" s="1" t="s">
        <v>1729</v>
      </c>
      <c r="B1717">
        <f>HYPERLINK("https://www.suredividend.com/sure-analysis-research-database/","Lake Shore Bancorp")</f>
        <v>0</v>
      </c>
      <c r="C1717" t="s">
        <v>3184</v>
      </c>
      <c r="D1717">
        <v>9.699999999999999</v>
      </c>
      <c r="E1717">
        <v>0</v>
      </c>
      <c r="F1717" t="s">
        <v>3182</v>
      </c>
      <c r="G1717" t="s">
        <v>3182</v>
      </c>
      <c r="H1717">
        <v>0</v>
      </c>
      <c r="I1717">
        <v>66.31418600000001</v>
      </c>
      <c r="J1717">
        <v>0</v>
      </c>
      <c r="K1717" t="s">
        <v>3182</v>
      </c>
      <c r="M1717">
        <v>13.15</v>
      </c>
      <c r="N1717">
        <v>9.51</v>
      </c>
    </row>
    <row r="1718" spans="1:14">
      <c r="A1718" s="1" t="s">
        <v>1730</v>
      </c>
      <c r="B1718">
        <f>HYPERLINK("https://www.suredividend.com/sure-analysis-research-database/","Lattice Semiconductor Corp.")</f>
        <v>0</v>
      </c>
      <c r="C1718" t="s">
        <v>3185</v>
      </c>
      <c r="D1718">
        <v>56.45</v>
      </c>
      <c r="E1718">
        <v>0</v>
      </c>
      <c r="F1718" t="s">
        <v>3182</v>
      </c>
      <c r="G1718" t="s">
        <v>3182</v>
      </c>
      <c r="H1718">
        <v>0</v>
      </c>
      <c r="I1718">
        <v>7791.701882</v>
      </c>
      <c r="J1718">
        <v>36.70690769051388</v>
      </c>
      <c r="K1718">
        <v>0</v>
      </c>
      <c r="L1718">
        <v>1.817482567992546</v>
      </c>
      <c r="M1718">
        <v>98.3</v>
      </c>
      <c r="N1718">
        <v>50.51</v>
      </c>
    </row>
    <row r="1719" spans="1:14">
      <c r="A1719" s="1" t="s">
        <v>1731</v>
      </c>
      <c r="B1719">
        <f>HYPERLINK("https://www.suredividend.com/sure-analysis-research-database/","Life Storage Inc")</f>
        <v>0</v>
      </c>
      <c r="C1719" t="s">
        <v>3187</v>
      </c>
      <c r="D1719">
        <v>133.1</v>
      </c>
      <c r="E1719">
        <v>0.032499886804601</v>
      </c>
      <c r="F1719" t="s">
        <v>3182</v>
      </c>
      <c r="G1719" t="s">
        <v>3182</v>
      </c>
      <c r="H1719">
        <v>4.32573493369241</v>
      </c>
      <c r="I1719">
        <v>11325.443329</v>
      </c>
      <c r="J1719">
        <v>30.93022831268213</v>
      </c>
      <c r="K1719">
        <v>1.008329821373522</v>
      </c>
      <c r="M1719">
        <v>144.48</v>
      </c>
      <c r="N1719">
        <v>91.54000000000001</v>
      </c>
    </row>
    <row r="1720" spans="1:14">
      <c r="A1720" s="1" t="s">
        <v>1732</v>
      </c>
      <c r="B1720">
        <f>HYPERLINK("https://www.suredividend.com/sure-analysis-research-database/","Landstar System, Inc.")</f>
        <v>0</v>
      </c>
      <c r="C1720" t="s">
        <v>3183</v>
      </c>
      <c r="D1720">
        <v>166.59</v>
      </c>
      <c r="E1720">
        <v>0.019262789815869</v>
      </c>
      <c r="F1720">
        <v>0.09999999999999987</v>
      </c>
      <c r="G1720">
        <v>0.122712200889364</v>
      </c>
      <c r="H1720">
        <v>3.208988155425698</v>
      </c>
      <c r="I1720">
        <v>5988.32277</v>
      </c>
      <c r="J1720">
        <v>17.70258066088437</v>
      </c>
      <c r="K1720">
        <v>0.3417452774681254</v>
      </c>
      <c r="L1720">
        <v>0.923190016218661</v>
      </c>
      <c r="M1720">
        <v>208.27</v>
      </c>
      <c r="N1720">
        <v>149.77</v>
      </c>
    </row>
    <row r="1721" spans="1:14">
      <c r="A1721" s="1" t="s">
        <v>1733</v>
      </c>
      <c r="B1721">
        <f>HYPERLINK("https://www.suredividend.com/sure-analysis-research-database/","Liberty Media Corp.")</f>
        <v>0</v>
      </c>
      <c r="C1721" t="s">
        <v>3191</v>
      </c>
      <c r="D1721">
        <v>25.64</v>
      </c>
      <c r="E1721">
        <v>0</v>
      </c>
      <c r="F1721" t="s">
        <v>3182</v>
      </c>
      <c r="G1721" t="s">
        <v>3182</v>
      </c>
      <c r="H1721">
        <v>0</v>
      </c>
      <c r="I1721">
        <v>26418.152691</v>
      </c>
      <c r="J1721">
        <v>0</v>
      </c>
      <c r="K1721" t="s">
        <v>3182</v>
      </c>
      <c r="L1721">
        <v>0.6653762569507291</v>
      </c>
      <c r="M1721">
        <v>26.95</v>
      </c>
      <c r="N1721">
        <v>22.01</v>
      </c>
    </row>
    <row r="1722" spans="1:14">
      <c r="A1722" s="1" t="s">
        <v>1734</v>
      </c>
      <c r="B1722">
        <f>HYPERLINK("https://www.suredividend.com/sure-analysis-research-database/","Liberty Media Corp.")</f>
        <v>0</v>
      </c>
      <c r="C1722" t="s">
        <v>3191</v>
      </c>
      <c r="D1722">
        <v>25.75</v>
      </c>
      <c r="E1722">
        <v>0</v>
      </c>
      <c r="F1722" t="s">
        <v>3182</v>
      </c>
      <c r="G1722" t="s">
        <v>3182</v>
      </c>
      <c r="H1722">
        <v>0</v>
      </c>
      <c r="I1722">
        <v>26418.152691</v>
      </c>
      <c r="J1722">
        <v>0</v>
      </c>
      <c r="K1722" t="s">
        <v>3182</v>
      </c>
      <c r="L1722">
        <v>0.7212550619232181</v>
      </c>
      <c r="M1722">
        <v>26.85</v>
      </c>
      <c r="N1722">
        <v>22.24</v>
      </c>
    </row>
    <row r="1723" spans="1:14">
      <c r="A1723" s="1" t="s">
        <v>1735</v>
      </c>
      <c r="B1723">
        <f>HYPERLINK("https://www.suredividend.com/sure-analysis-research-database/","Lightbridge Corp")</f>
        <v>0</v>
      </c>
      <c r="C1723" t="s">
        <v>3183</v>
      </c>
      <c r="D1723">
        <v>4.2</v>
      </c>
      <c r="E1723">
        <v>0</v>
      </c>
      <c r="F1723" t="s">
        <v>3182</v>
      </c>
      <c r="G1723" t="s">
        <v>3182</v>
      </c>
      <c r="H1723">
        <v>0</v>
      </c>
      <c r="I1723">
        <v>54.443638</v>
      </c>
      <c r="J1723">
        <v>0</v>
      </c>
      <c r="K1723" t="s">
        <v>3182</v>
      </c>
      <c r="L1723">
        <v>0.9892659742237541</v>
      </c>
      <c r="M1723">
        <v>6.7</v>
      </c>
      <c r="N1723">
        <v>3.32</v>
      </c>
    </row>
    <row r="1724" spans="1:14">
      <c r="A1724" s="1" t="s">
        <v>1736</v>
      </c>
      <c r="B1724">
        <f>HYPERLINK("https://www.suredividend.com/sure-analysis-LTC/","LTC Properties, Inc.")</f>
        <v>0</v>
      </c>
      <c r="C1724" t="s">
        <v>3187</v>
      </c>
      <c r="D1724">
        <v>32.25</v>
      </c>
      <c r="E1724">
        <v>0.07069767441860464</v>
      </c>
      <c r="F1724">
        <v>0</v>
      </c>
      <c r="G1724">
        <v>0</v>
      </c>
      <c r="H1724">
        <v>2.209556105117788</v>
      </c>
      <c r="I1724">
        <v>1335.527099</v>
      </c>
      <c r="J1724">
        <v>16.91568420369338</v>
      </c>
      <c r="K1724">
        <v>1.150810471415515</v>
      </c>
      <c r="L1724">
        <v>0.616798012060439</v>
      </c>
      <c r="M1724">
        <v>37.92</v>
      </c>
      <c r="N1724">
        <v>29.99</v>
      </c>
    </row>
    <row r="1725" spans="1:14">
      <c r="A1725" s="1" t="s">
        <v>1737</v>
      </c>
      <c r="B1725">
        <f>HYPERLINK("https://www.suredividend.com/sure-analysis-research-database/","Livent Corp")</f>
        <v>0</v>
      </c>
      <c r="C1725" t="s">
        <v>3181</v>
      </c>
      <c r="D1725">
        <v>14.69</v>
      </c>
      <c r="E1725">
        <v>0</v>
      </c>
      <c r="F1725" t="s">
        <v>3182</v>
      </c>
      <c r="G1725" t="s">
        <v>3182</v>
      </c>
      <c r="H1725">
        <v>0</v>
      </c>
      <c r="I1725">
        <v>2640.019064</v>
      </c>
      <c r="J1725">
        <v>7.226988952669039</v>
      </c>
      <c r="K1725">
        <v>0</v>
      </c>
      <c r="L1725">
        <v>1.689797409648641</v>
      </c>
      <c r="M1725">
        <v>35.81</v>
      </c>
      <c r="N1725">
        <v>13.37</v>
      </c>
    </row>
    <row r="1726" spans="1:14">
      <c r="A1726" s="1" t="s">
        <v>1738</v>
      </c>
      <c r="B1726">
        <f>HYPERLINK("https://www.suredividend.com/sure-analysis-research-database/","Liberty TripAdvisor Holdings Inc")</f>
        <v>0</v>
      </c>
      <c r="C1726" t="s">
        <v>3191</v>
      </c>
      <c r="D1726">
        <v>0.224</v>
      </c>
      <c r="E1726">
        <v>0</v>
      </c>
      <c r="F1726" t="s">
        <v>3182</v>
      </c>
      <c r="G1726" t="s">
        <v>3182</v>
      </c>
      <c r="H1726">
        <v>0</v>
      </c>
      <c r="I1726">
        <v>0</v>
      </c>
      <c r="J1726">
        <v>0</v>
      </c>
      <c r="K1726" t="s">
        <v>3182</v>
      </c>
    </row>
    <row r="1727" spans="1:14">
      <c r="A1727" s="1" t="s">
        <v>1739</v>
      </c>
      <c r="B1727">
        <f>HYPERLINK("https://www.suredividend.com/sure-analysis-research-database/","Lantronix Inc")</f>
        <v>0</v>
      </c>
      <c r="C1727" t="s">
        <v>3185</v>
      </c>
      <c r="D1727">
        <v>4.3</v>
      </c>
      <c r="E1727">
        <v>0</v>
      </c>
      <c r="F1727" t="s">
        <v>3182</v>
      </c>
      <c r="G1727" t="s">
        <v>3182</v>
      </c>
      <c r="H1727">
        <v>0</v>
      </c>
      <c r="I1727">
        <v>159.478972</v>
      </c>
      <c r="J1727" t="s">
        <v>3182</v>
      </c>
      <c r="K1727">
        <v>-0</v>
      </c>
      <c r="L1727">
        <v>1.921753460235665</v>
      </c>
      <c r="M1727">
        <v>5.87</v>
      </c>
      <c r="N1727">
        <v>3.52</v>
      </c>
    </row>
    <row r="1728" spans="1:14">
      <c r="A1728" s="1" t="s">
        <v>1740</v>
      </c>
      <c r="B1728">
        <f>HYPERLINK("https://www.suredividend.com/sure-analysis-research-database/","Luby`s, Inc.")</f>
        <v>0</v>
      </c>
      <c r="C1728" t="s">
        <v>3186</v>
      </c>
      <c r="D1728">
        <v>1.78</v>
      </c>
      <c r="E1728">
        <v>0</v>
      </c>
      <c r="F1728" t="s">
        <v>3182</v>
      </c>
      <c r="G1728" t="s">
        <v>3182</v>
      </c>
      <c r="H1728">
        <v>0</v>
      </c>
      <c r="I1728">
        <v>55.327957</v>
      </c>
      <c r="J1728" t="s">
        <v>3182</v>
      </c>
      <c r="K1728">
        <v>-0</v>
      </c>
      <c r="L1728">
        <v>0.197132499239756</v>
      </c>
      <c r="M1728">
        <v>4.2</v>
      </c>
      <c r="N1728">
        <v>1.77</v>
      </c>
    </row>
    <row r="1729" spans="1:14">
      <c r="A1729" s="1" t="s">
        <v>1741</v>
      </c>
      <c r="B1729">
        <f>HYPERLINK("https://www.suredividend.com/sure-analysis-research-database/","Lululemon Athletica inc.")</f>
        <v>0</v>
      </c>
      <c r="C1729" t="s">
        <v>3186</v>
      </c>
      <c r="D1729">
        <v>403.5</v>
      </c>
      <c r="E1729">
        <v>0</v>
      </c>
      <c r="F1729" t="s">
        <v>3182</v>
      </c>
      <c r="G1729" t="s">
        <v>3182</v>
      </c>
      <c r="H1729">
        <v>0</v>
      </c>
      <c r="I1729">
        <v>51059.391954</v>
      </c>
      <c r="J1729">
        <v>50.68991317685391</v>
      </c>
      <c r="K1729">
        <v>0</v>
      </c>
      <c r="L1729">
        <v>1.308978516468586</v>
      </c>
      <c r="M1729">
        <v>419.86</v>
      </c>
      <c r="N1729">
        <v>286.58</v>
      </c>
    </row>
    <row r="1730" spans="1:14">
      <c r="A1730" s="1" t="s">
        <v>1742</v>
      </c>
      <c r="B1730">
        <f>HYPERLINK("https://www.suredividend.com/sure-analysis-research-database/","Luna Innovations Inc")</f>
        <v>0</v>
      </c>
      <c r="C1730" t="s">
        <v>3185</v>
      </c>
      <c r="D1730">
        <v>5.84</v>
      </c>
      <c r="E1730">
        <v>0</v>
      </c>
      <c r="F1730" t="s">
        <v>3182</v>
      </c>
      <c r="G1730" t="s">
        <v>3182</v>
      </c>
      <c r="H1730">
        <v>0</v>
      </c>
      <c r="I1730">
        <v>198.120406</v>
      </c>
      <c r="J1730">
        <v>0</v>
      </c>
      <c r="K1730" t="s">
        <v>3182</v>
      </c>
      <c r="L1730">
        <v>1.187925520390371</v>
      </c>
      <c r="M1730">
        <v>10.97</v>
      </c>
      <c r="N1730">
        <v>4.9</v>
      </c>
    </row>
    <row r="1731" spans="1:14">
      <c r="A1731" s="1" t="s">
        <v>1743</v>
      </c>
      <c r="B1731">
        <f>HYPERLINK("https://www.suredividend.com/sure-analysis-research-database/","Southwest Airlines Co")</f>
        <v>0</v>
      </c>
      <c r="C1731" t="s">
        <v>3183</v>
      </c>
      <c r="D1731">
        <v>23.16</v>
      </c>
      <c r="E1731">
        <v>0.030832297915414</v>
      </c>
      <c r="F1731" t="s">
        <v>3182</v>
      </c>
      <c r="G1731" t="s">
        <v>3182</v>
      </c>
      <c r="H1731">
        <v>0.7140760197210111</v>
      </c>
      <c r="I1731">
        <v>13806.032201</v>
      </c>
      <c r="J1731">
        <v>27.77873682253521</v>
      </c>
      <c r="K1731">
        <v>0.9249689374624496</v>
      </c>
      <c r="L1731">
        <v>0.969840144686225</v>
      </c>
      <c r="M1731">
        <v>39.52</v>
      </c>
      <c r="N1731">
        <v>21.91</v>
      </c>
    </row>
    <row r="1732" spans="1:14">
      <c r="A1732" s="1" t="s">
        <v>1744</v>
      </c>
      <c r="B1732">
        <f>HYPERLINK("https://www.suredividend.com/sure-analysis-research-database/","Las Vegas Sands Corp")</f>
        <v>0</v>
      </c>
      <c r="C1732" t="s">
        <v>3186</v>
      </c>
      <c r="D1732">
        <v>48.69</v>
      </c>
      <c r="E1732">
        <v>0.004107619695630001</v>
      </c>
      <c r="F1732" t="s">
        <v>3182</v>
      </c>
      <c r="G1732" t="s">
        <v>3182</v>
      </c>
      <c r="H1732">
        <v>0.200000002980232</v>
      </c>
      <c r="I1732">
        <v>37223.060655</v>
      </c>
      <c r="J1732">
        <v>55.55680694785074</v>
      </c>
      <c r="K1732">
        <v>0.228571431977408</v>
      </c>
      <c r="L1732">
        <v>0.9020355475635241</v>
      </c>
      <c r="M1732">
        <v>65.34999999999999</v>
      </c>
      <c r="N1732">
        <v>38.87</v>
      </c>
    </row>
    <row r="1733" spans="1:14">
      <c r="A1733" s="1" t="s">
        <v>1745</v>
      </c>
      <c r="B1733">
        <f>HYPERLINK("https://www.suredividend.com/sure-analysis-research-database/","Lamb Weston Holdings Inc")</f>
        <v>0</v>
      </c>
      <c r="C1733" t="s">
        <v>3188</v>
      </c>
      <c r="D1733">
        <v>93.70999999999999</v>
      </c>
      <c r="E1733">
        <v>0.011900428630252</v>
      </c>
      <c r="F1733">
        <v>0.142857142857143</v>
      </c>
      <c r="G1733">
        <v>0.06961037572506878</v>
      </c>
      <c r="H1733">
        <v>1.115189166940951</v>
      </c>
      <c r="I1733">
        <v>13581.113949</v>
      </c>
      <c r="J1733">
        <v>13.42272578494762</v>
      </c>
      <c r="K1733">
        <v>0.1606900816917797</v>
      </c>
      <c r="L1733">
        <v>0.410730858692918</v>
      </c>
      <c r="M1733">
        <v>116.7</v>
      </c>
      <c r="N1733">
        <v>78.51000000000001</v>
      </c>
    </row>
    <row r="1734" spans="1:14">
      <c r="A1734" s="1" t="s">
        <v>1746</v>
      </c>
      <c r="B1734">
        <f>HYPERLINK("https://www.suredividend.com/sure-analysis-research-database/","Lifeway Foods, Inc.")</f>
        <v>0</v>
      </c>
      <c r="C1734" t="s">
        <v>3188</v>
      </c>
      <c r="D1734">
        <v>10.54</v>
      </c>
      <c r="E1734">
        <v>0</v>
      </c>
      <c r="F1734" t="s">
        <v>3182</v>
      </c>
      <c r="G1734" t="s">
        <v>3182</v>
      </c>
      <c r="H1734">
        <v>0</v>
      </c>
      <c r="I1734">
        <v>154.650437</v>
      </c>
      <c r="J1734">
        <v>27.20324312752858</v>
      </c>
      <c r="K1734">
        <v>0</v>
      </c>
      <c r="L1734">
        <v>0.43779488598661</v>
      </c>
      <c r="M1734">
        <v>12.96</v>
      </c>
      <c r="N1734">
        <v>5.26</v>
      </c>
    </row>
    <row r="1735" spans="1:14">
      <c r="A1735" s="1" t="s">
        <v>1747</v>
      </c>
      <c r="B1735">
        <f>HYPERLINK("https://www.suredividend.com/sure-analysis-LXP/","LXP Industrial Trust")</f>
        <v>0</v>
      </c>
      <c r="C1735" t="s">
        <v>3187</v>
      </c>
      <c r="D1735">
        <v>8.15</v>
      </c>
      <c r="E1735">
        <v>0.06380368098159508</v>
      </c>
      <c r="F1735">
        <v>0.04166666666666674</v>
      </c>
      <c r="G1735">
        <v>-0.06772866465473071</v>
      </c>
      <c r="H1735">
        <v>0.490120785801948</v>
      </c>
      <c r="I1735">
        <v>2384.971786</v>
      </c>
      <c r="J1735">
        <v>49.94391527757418</v>
      </c>
      <c r="K1735">
        <v>3.048014837076791</v>
      </c>
      <c r="L1735">
        <v>1.044258619051744</v>
      </c>
      <c r="M1735">
        <v>11.46</v>
      </c>
      <c r="N1735">
        <v>7.75</v>
      </c>
    </row>
    <row r="1736" spans="1:14">
      <c r="A1736" s="1" t="s">
        <v>1748</v>
      </c>
      <c r="B1736">
        <f>HYPERLINK("https://www.suredividend.com/sure-analysis-research-database/","Lexicon Pharmaceuticals Inc")</f>
        <v>0</v>
      </c>
      <c r="C1736" t="s">
        <v>3180</v>
      </c>
      <c r="D1736">
        <v>1.4</v>
      </c>
      <c r="E1736">
        <v>0</v>
      </c>
      <c r="F1736" t="s">
        <v>3182</v>
      </c>
      <c r="G1736" t="s">
        <v>3182</v>
      </c>
      <c r="H1736">
        <v>0</v>
      </c>
      <c r="I1736">
        <v>342.894573</v>
      </c>
      <c r="J1736" t="s">
        <v>3182</v>
      </c>
      <c r="K1736">
        <v>-0</v>
      </c>
      <c r="L1736">
        <v>1.786664637073761</v>
      </c>
      <c r="M1736">
        <v>3.79</v>
      </c>
      <c r="N1736">
        <v>0.9596</v>
      </c>
    </row>
    <row r="1737" spans="1:14">
      <c r="A1737" s="1" t="s">
        <v>1749</v>
      </c>
      <c r="B1737">
        <f>HYPERLINK("https://www.suredividend.com/sure-analysis-research-database/","LSB Industries, Inc.")</f>
        <v>0</v>
      </c>
      <c r="C1737" t="s">
        <v>3181</v>
      </c>
      <c r="D1737">
        <v>8.98</v>
      </c>
      <c r="E1737">
        <v>0</v>
      </c>
      <c r="F1737" t="s">
        <v>3182</v>
      </c>
      <c r="G1737" t="s">
        <v>3182</v>
      </c>
      <c r="H1737">
        <v>0</v>
      </c>
      <c r="I1737">
        <v>667.612137</v>
      </c>
      <c r="J1737">
        <v>6.114896199600653</v>
      </c>
      <c r="K1737">
        <v>0</v>
      </c>
      <c r="L1737">
        <v>0.9688395552277751</v>
      </c>
      <c r="M1737">
        <v>17.27</v>
      </c>
      <c r="N1737">
        <v>8.15</v>
      </c>
    </row>
    <row r="1738" spans="1:14">
      <c r="A1738" s="1" t="s">
        <v>1750</v>
      </c>
      <c r="B1738">
        <f>HYPERLINK("https://www.suredividend.com/sure-analysis-LYB/","LyondellBasell Industries NV")</f>
        <v>0</v>
      </c>
      <c r="C1738" t="s">
        <v>3181</v>
      </c>
      <c r="D1738">
        <v>91.95999999999999</v>
      </c>
      <c r="E1738">
        <v>0.05437146585471945</v>
      </c>
      <c r="F1738">
        <v>0.05042016806722693</v>
      </c>
      <c r="G1738">
        <v>0.04563955259127317</v>
      </c>
      <c r="H1738">
        <v>4.786164285285145</v>
      </c>
      <c r="I1738">
        <v>29828.308645</v>
      </c>
      <c r="J1738">
        <v>13.06540019495401</v>
      </c>
      <c r="K1738">
        <v>0.683737755040735</v>
      </c>
      <c r="L1738">
        <v>0.950832067505436</v>
      </c>
      <c r="M1738">
        <v>102.05</v>
      </c>
      <c r="N1738">
        <v>75.78</v>
      </c>
    </row>
    <row r="1739" spans="1:14">
      <c r="A1739" s="1" t="s">
        <v>1751</v>
      </c>
      <c r="B1739">
        <f>HYPERLINK("https://www.suredividend.com/sure-analysis-research-database/","Lyft Inc")</f>
        <v>0</v>
      </c>
      <c r="C1739" t="s">
        <v>3185</v>
      </c>
      <c r="D1739">
        <v>9.94</v>
      </c>
      <c r="E1739">
        <v>0</v>
      </c>
      <c r="F1739" t="s">
        <v>3182</v>
      </c>
      <c r="G1739" t="s">
        <v>3182</v>
      </c>
      <c r="H1739">
        <v>0</v>
      </c>
      <c r="I1739">
        <v>3753.69524</v>
      </c>
      <c r="J1739" t="s">
        <v>3182</v>
      </c>
      <c r="K1739">
        <v>-0</v>
      </c>
      <c r="L1739">
        <v>1.731927426783311</v>
      </c>
      <c r="M1739">
        <v>18.36</v>
      </c>
      <c r="N1739">
        <v>7.85</v>
      </c>
    </row>
    <row r="1740" spans="1:14">
      <c r="A1740" s="1" t="s">
        <v>1752</v>
      </c>
      <c r="B1740">
        <f>HYPERLINK("https://www.suredividend.com/sure-analysis-research-database/","LSI Industries Inc.")</f>
        <v>0</v>
      </c>
      <c r="C1740" t="s">
        <v>3185</v>
      </c>
      <c r="D1740">
        <v>12.65</v>
      </c>
      <c r="E1740">
        <v>0.015668066011242</v>
      </c>
      <c r="F1740">
        <v>0</v>
      </c>
      <c r="G1740">
        <v>0</v>
      </c>
      <c r="H1740">
        <v>0.198201035042218</v>
      </c>
      <c r="I1740">
        <v>364.650317</v>
      </c>
      <c r="J1740">
        <v>14.15458104184458</v>
      </c>
      <c r="K1740">
        <v>0.2255359979997929</v>
      </c>
      <c r="L1740">
        <v>0.616656962292609</v>
      </c>
      <c r="M1740">
        <v>16.97</v>
      </c>
      <c r="N1740">
        <v>8.82</v>
      </c>
    </row>
    <row r="1741" spans="1:14">
      <c r="A1741" s="1" t="s">
        <v>1753</v>
      </c>
      <c r="B1741">
        <f>HYPERLINK("https://www.suredividend.com/sure-analysis-research-database/","Live Nation Entertainment Inc")</f>
        <v>0</v>
      </c>
      <c r="C1741" t="s">
        <v>3191</v>
      </c>
      <c r="D1741">
        <v>82.45</v>
      </c>
      <c r="E1741">
        <v>0</v>
      </c>
      <c r="F1741" t="s">
        <v>3182</v>
      </c>
      <c r="G1741" t="s">
        <v>3182</v>
      </c>
      <c r="H1741">
        <v>0</v>
      </c>
      <c r="I1741">
        <v>18975.969656</v>
      </c>
      <c r="J1741">
        <v>73.31413028404634</v>
      </c>
      <c r="K1741">
        <v>0</v>
      </c>
      <c r="L1741">
        <v>1.192049082397361</v>
      </c>
      <c r="M1741">
        <v>101.74</v>
      </c>
      <c r="N1741">
        <v>64.25</v>
      </c>
    </row>
    <row r="1742" spans="1:14">
      <c r="A1742" s="1" t="s">
        <v>1754</v>
      </c>
      <c r="B1742">
        <f>HYPERLINK("https://www.suredividend.com/sure-analysis-research-database/","La-Z-Boy Inc.")</f>
        <v>0</v>
      </c>
      <c r="C1742" t="s">
        <v>3186</v>
      </c>
      <c r="D1742">
        <v>29.59</v>
      </c>
      <c r="E1742">
        <v>0.024313653161256</v>
      </c>
      <c r="F1742" t="s">
        <v>3182</v>
      </c>
      <c r="G1742" t="s">
        <v>3182</v>
      </c>
      <c r="H1742">
        <v>0.719440997041574</v>
      </c>
      <c r="I1742">
        <v>1273.895039</v>
      </c>
      <c r="J1742">
        <v>9.121728824675092</v>
      </c>
      <c r="K1742">
        <v>0.222737150786865</v>
      </c>
      <c r="L1742">
        <v>1.117654508464198</v>
      </c>
      <c r="M1742">
        <v>33.73</v>
      </c>
      <c r="N1742">
        <v>22.24</v>
      </c>
    </row>
    <row r="1743" spans="1:14">
      <c r="A1743" s="1" t="s">
        <v>1755</v>
      </c>
      <c r="B1743">
        <f>HYPERLINK("https://www.suredividend.com/sure-analysis-M/","Macy`s Inc")</f>
        <v>0</v>
      </c>
      <c r="C1743" t="s">
        <v>3186</v>
      </c>
      <c r="D1743">
        <v>12.53</v>
      </c>
      <c r="E1743">
        <v>0.05267358339984039</v>
      </c>
      <c r="F1743" t="s">
        <v>3182</v>
      </c>
      <c r="G1743" t="s">
        <v>3182</v>
      </c>
      <c r="H1743">
        <v>0.642009914667904</v>
      </c>
      <c r="I1743">
        <v>3428.636664</v>
      </c>
      <c r="J1743">
        <v>4.577619043831776</v>
      </c>
      <c r="K1743">
        <v>0.2377814498770015</v>
      </c>
      <c r="L1743">
        <v>1.29935739548256</v>
      </c>
      <c r="M1743">
        <v>24.29</v>
      </c>
      <c r="N1743">
        <v>10.54</v>
      </c>
    </row>
    <row r="1744" spans="1:14">
      <c r="A1744" s="1" t="s">
        <v>1756</v>
      </c>
      <c r="B1744">
        <f>HYPERLINK("https://www.suredividend.com/sure-analysis-MA/","Mastercard Incorporated")</f>
        <v>0</v>
      </c>
      <c r="C1744" t="s">
        <v>3184</v>
      </c>
      <c r="D1744">
        <v>382.69</v>
      </c>
      <c r="E1744">
        <v>0.005957824871305756</v>
      </c>
      <c r="F1744">
        <v>0.1632653061224492</v>
      </c>
      <c r="G1744">
        <v>0.115506700140541</v>
      </c>
      <c r="H1744">
        <v>2.274990566739976</v>
      </c>
      <c r="I1744">
        <v>356069.435706</v>
      </c>
      <c r="J1744">
        <v>32.58023933624577</v>
      </c>
      <c r="K1744">
        <v>0.1981699099947714</v>
      </c>
      <c r="L1744">
        <v>0.9885702591115231</v>
      </c>
      <c r="M1744">
        <v>417.99</v>
      </c>
      <c r="N1744">
        <v>311.34</v>
      </c>
    </row>
    <row r="1745" spans="1:14">
      <c r="A1745" s="1" t="s">
        <v>1757</v>
      </c>
      <c r="B1745">
        <f>HYPERLINK("https://www.suredividend.com/sure-analysis-MAA/","Mid-America Apartment Communities, Inc.")</f>
        <v>0</v>
      </c>
      <c r="C1745" t="s">
        <v>3187</v>
      </c>
      <c r="D1745">
        <v>120.78</v>
      </c>
      <c r="E1745">
        <v>0.04636529226693161</v>
      </c>
      <c r="F1745">
        <v>0</v>
      </c>
      <c r="G1745">
        <v>0.07837884744794898</v>
      </c>
      <c r="H1745">
        <v>5.518572493109975</v>
      </c>
      <c r="I1745">
        <v>14093.516371</v>
      </c>
      <c r="J1745">
        <v>24.19857518278329</v>
      </c>
      <c r="K1745">
        <v>1.101511475670654</v>
      </c>
      <c r="L1745">
        <v>0.9992521721313221</v>
      </c>
      <c r="M1745">
        <v>171.34</v>
      </c>
      <c r="N1745">
        <v>115.56</v>
      </c>
    </row>
    <row r="1746" spans="1:14">
      <c r="A1746" s="1" t="s">
        <v>1758</v>
      </c>
      <c r="B1746">
        <f>HYPERLINK("https://www.suredividend.com/sure-analysis-MAC/","Macerich Co.")</f>
        <v>0</v>
      </c>
      <c r="C1746" t="s">
        <v>3187</v>
      </c>
      <c r="D1746">
        <v>10.44</v>
      </c>
      <c r="E1746">
        <v>0.06513409961685825</v>
      </c>
      <c r="F1746">
        <v>0.1333333333333335</v>
      </c>
      <c r="G1746">
        <v>-0.2568482041823844</v>
      </c>
      <c r="H1746">
        <v>0.664714218546761</v>
      </c>
      <c r="I1746">
        <v>2247.271857</v>
      </c>
      <c r="J1746" t="s">
        <v>3182</v>
      </c>
      <c r="K1746" t="s">
        <v>3182</v>
      </c>
      <c r="L1746">
        <v>1.495438932942547</v>
      </c>
      <c r="M1746">
        <v>13.87</v>
      </c>
      <c r="N1746">
        <v>8.49</v>
      </c>
    </row>
    <row r="1747" spans="1:14">
      <c r="A1747" s="1" t="s">
        <v>1759</v>
      </c>
      <c r="B1747">
        <f>HYPERLINK("https://www.suredividend.com/sure-analysis-research-database/","Merrimack Pharmaceuticals Inc")</f>
        <v>0</v>
      </c>
      <c r="C1747" t="s">
        <v>3180</v>
      </c>
      <c r="D1747">
        <v>12.36</v>
      </c>
      <c r="E1747">
        <v>0</v>
      </c>
      <c r="F1747" t="s">
        <v>3182</v>
      </c>
      <c r="G1747" t="s">
        <v>3182</v>
      </c>
      <c r="H1747">
        <v>0</v>
      </c>
      <c r="I1747">
        <v>177.006979</v>
      </c>
      <c r="J1747">
        <v>0</v>
      </c>
      <c r="K1747" t="s">
        <v>3182</v>
      </c>
      <c r="L1747">
        <v>-1.805349955710335</v>
      </c>
      <c r="M1747">
        <v>13.66</v>
      </c>
      <c r="N1747">
        <v>3.65</v>
      </c>
    </row>
    <row r="1748" spans="1:14">
      <c r="A1748" s="1" t="s">
        <v>1760</v>
      </c>
      <c r="B1748">
        <f>HYPERLINK("https://www.suredividend.com/sure-analysis-MAN/","ManpowerGroup")</f>
        <v>0</v>
      </c>
      <c r="C1748" t="s">
        <v>3183</v>
      </c>
      <c r="D1748">
        <v>72.42</v>
      </c>
      <c r="E1748">
        <v>0.04059652029826015</v>
      </c>
      <c r="F1748" t="s">
        <v>3182</v>
      </c>
      <c r="G1748" t="s">
        <v>3182</v>
      </c>
      <c r="H1748">
        <v>2.802240627632498</v>
      </c>
      <c r="I1748">
        <v>3590.5836</v>
      </c>
      <c r="J1748">
        <v>11.85011089108911</v>
      </c>
      <c r="K1748">
        <v>0.4757624155573003</v>
      </c>
      <c r="L1748">
        <v>0.9613737689527281</v>
      </c>
      <c r="M1748">
        <v>90.54000000000001</v>
      </c>
      <c r="N1748">
        <v>67.34999999999999</v>
      </c>
    </row>
    <row r="1749" spans="1:14">
      <c r="A1749" s="1" t="s">
        <v>1761</v>
      </c>
      <c r="B1749">
        <f>HYPERLINK("https://www.suredividend.com/sure-analysis-research-database/","Manhattan Associates, Inc.")</f>
        <v>0</v>
      </c>
      <c r="C1749" t="s">
        <v>3185</v>
      </c>
      <c r="D1749">
        <v>200.89</v>
      </c>
      <c r="E1749">
        <v>0</v>
      </c>
      <c r="F1749" t="s">
        <v>3182</v>
      </c>
      <c r="G1749" t="s">
        <v>3182</v>
      </c>
      <c r="H1749">
        <v>0</v>
      </c>
      <c r="I1749">
        <v>12367.82439</v>
      </c>
      <c r="J1749">
        <v>74.6398575119493</v>
      </c>
      <c r="K1749">
        <v>0</v>
      </c>
      <c r="L1749">
        <v>1.361080769595227</v>
      </c>
      <c r="M1749">
        <v>211.81</v>
      </c>
      <c r="N1749">
        <v>107.18</v>
      </c>
    </row>
    <row r="1750" spans="1:14">
      <c r="A1750" s="1" t="s">
        <v>1762</v>
      </c>
      <c r="B1750">
        <f>HYPERLINK("https://www.suredividend.com/sure-analysis-research-database/","Mantech International Corp")</f>
        <v>0</v>
      </c>
      <c r="C1750" t="s">
        <v>3185</v>
      </c>
      <c r="D1750">
        <v>95.98</v>
      </c>
      <c r="E1750">
        <v>0</v>
      </c>
      <c r="F1750" t="s">
        <v>3182</v>
      </c>
      <c r="G1750" t="s">
        <v>3182</v>
      </c>
      <c r="H1750">
        <v>1.199999988079071</v>
      </c>
      <c r="I1750">
        <v>0</v>
      </c>
      <c r="J1750">
        <v>0</v>
      </c>
      <c r="K1750">
        <v>0.4026845597580775</v>
      </c>
    </row>
    <row r="1751" spans="1:14">
      <c r="A1751" s="1" t="s">
        <v>1763</v>
      </c>
      <c r="B1751">
        <f>HYPERLINK("https://www.suredividend.com/sure-analysis-MAR/","Marriott International, Inc.")</f>
        <v>0</v>
      </c>
      <c r="C1751" t="s">
        <v>3186</v>
      </c>
      <c r="D1751">
        <v>185.7</v>
      </c>
      <c r="E1751">
        <v>0.01055465805061928</v>
      </c>
      <c r="F1751" t="s">
        <v>3182</v>
      </c>
      <c r="G1751" t="s">
        <v>3182</v>
      </c>
      <c r="H1751">
        <v>1.833269124969247</v>
      </c>
      <c r="I1751">
        <v>55383.090563</v>
      </c>
      <c r="J1751">
        <v>19.87907055387653</v>
      </c>
      <c r="K1751">
        <v>0.2071490536688415</v>
      </c>
      <c r="L1751">
        <v>0.9560754185885131</v>
      </c>
      <c r="M1751">
        <v>210.45</v>
      </c>
      <c r="N1751">
        <v>143.49</v>
      </c>
    </row>
    <row r="1752" spans="1:14">
      <c r="A1752" s="1" t="s">
        <v>1764</v>
      </c>
      <c r="B1752">
        <f>HYPERLINK("https://www.suredividend.com/sure-analysis-research-database/","Marathon Digital Holdings Inc")</f>
        <v>0</v>
      </c>
      <c r="C1752" t="s">
        <v>3184</v>
      </c>
      <c r="D1752">
        <v>9.859999999999999</v>
      </c>
      <c r="E1752">
        <v>0</v>
      </c>
      <c r="F1752" t="s">
        <v>3182</v>
      </c>
      <c r="G1752" t="s">
        <v>3182</v>
      </c>
      <c r="H1752">
        <v>0</v>
      </c>
      <c r="I1752">
        <v>2138.577147</v>
      </c>
      <c r="J1752">
        <v>0</v>
      </c>
      <c r="K1752" t="s">
        <v>3182</v>
      </c>
      <c r="L1752">
        <v>2.976836835604342</v>
      </c>
      <c r="M1752">
        <v>19.88</v>
      </c>
      <c r="N1752">
        <v>3.11</v>
      </c>
    </row>
    <row r="1753" spans="1:14">
      <c r="A1753" s="1" t="s">
        <v>1765</v>
      </c>
      <c r="B1753">
        <f>HYPERLINK("https://www.suredividend.com/sure-analysis-research-database/","Remark Holdings Inc")</f>
        <v>0</v>
      </c>
      <c r="C1753" t="s">
        <v>3191</v>
      </c>
      <c r="D1753">
        <v>0.46</v>
      </c>
      <c r="E1753">
        <v>0</v>
      </c>
      <c r="F1753" t="s">
        <v>3182</v>
      </c>
      <c r="G1753" t="s">
        <v>3182</v>
      </c>
      <c r="H1753">
        <v>0</v>
      </c>
      <c r="I1753">
        <v>9.067453</v>
      </c>
      <c r="J1753">
        <v>0</v>
      </c>
      <c r="K1753" t="s">
        <v>3182</v>
      </c>
      <c r="L1753">
        <v>2.239607102678043</v>
      </c>
      <c r="M1753">
        <v>3.46</v>
      </c>
      <c r="N1753">
        <v>0.3946</v>
      </c>
    </row>
    <row r="1754" spans="1:14">
      <c r="A1754" s="1" t="s">
        <v>1766</v>
      </c>
      <c r="B1754">
        <f>HYPERLINK("https://www.suredividend.com/sure-analysis-research-database/","Masco Corp.")</f>
        <v>0</v>
      </c>
      <c r="C1754" t="s">
        <v>3183</v>
      </c>
      <c r="D1754">
        <v>53.87</v>
      </c>
      <c r="E1754">
        <v>0.020906534294849</v>
      </c>
      <c r="F1754" t="s">
        <v>3182</v>
      </c>
      <c r="G1754" t="s">
        <v>3182</v>
      </c>
      <c r="H1754">
        <v>1.126235002463558</v>
      </c>
      <c r="I1754">
        <v>12093.864076</v>
      </c>
      <c r="J1754">
        <v>14.58849707547648</v>
      </c>
      <c r="K1754">
        <v>0.3077144815474203</v>
      </c>
      <c r="L1754">
        <v>1.360309311364886</v>
      </c>
      <c r="M1754">
        <v>63.55</v>
      </c>
      <c r="N1754">
        <v>41.85</v>
      </c>
    </row>
    <row r="1755" spans="1:14">
      <c r="A1755" s="1" t="s">
        <v>1767</v>
      </c>
      <c r="B1755">
        <f>HYPERLINK("https://www.suredividend.com/sure-analysis-research-database/","Masimo Corp")</f>
        <v>0</v>
      </c>
      <c r="C1755" t="s">
        <v>3180</v>
      </c>
      <c r="D1755">
        <v>79.37</v>
      </c>
      <c r="E1755">
        <v>0</v>
      </c>
      <c r="F1755" t="s">
        <v>3182</v>
      </c>
      <c r="G1755" t="s">
        <v>3182</v>
      </c>
      <c r="H1755">
        <v>0</v>
      </c>
      <c r="I1755">
        <v>4192.170692</v>
      </c>
      <c r="J1755">
        <v>36.20025639756488</v>
      </c>
      <c r="K1755">
        <v>0</v>
      </c>
      <c r="L1755">
        <v>0.9846136117264541</v>
      </c>
      <c r="M1755">
        <v>198</v>
      </c>
      <c r="N1755">
        <v>75.22</v>
      </c>
    </row>
    <row r="1756" spans="1:14">
      <c r="A1756" s="1" t="s">
        <v>1768</v>
      </c>
      <c r="B1756">
        <f>HYPERLINK("https://www.suredividend.com/sure-analysis-research-database/","Mattel, Inc.")</f>
        <v>0</v>
      </c>
      <c r="C1756" t="s">
        <v>3186</v>
      </c>
      <c r="D1756">
        <v>19.41</v>
      </c>
      <c r="E1756">
        <v>0</v>
      </c>
      <c r="F1756" t="s">
        <v>3182</v>
      </c>
      <c r="G1756" t="s">
        <v>3182</v>
      </c>
      <c r="H1756">
        <v>0</v>
      </c>
      <c r="I1756">
        <v>6873.84752</v>
      </c>
      <c r="J1756">
        <v>30.31665830290868</v>
      </c>
      <c r="K1756">
        <v>0</v>
      </c>
      <c r="L1756">
        <v>1.055321198555913</v>
      </c>
      <c r="M1756">
        <v>22.64</v>
      </c>
      <c r="N1756">
        <v>15.36</v>
      </c>
    </row>
    <row r="1757" spans="1:14">
      <c r="A1757" s="1" t="s">
        <v>1769</v>
      </c>
      <c r="B1757">
        <f>HYPERLINK("https://www.suredividend.com/sure-analysis-MATW/","Matthews International Corp.")</f>
        <v>0</v>
      </c>
      <c r="C1757" t="s">
        <v>3183</v>
      </c>
      <c r="D1757">
        <v>35.95</v>
      </c>
      <c r="E1757">
        <v>0.02559109874826147</v>
      </c>
      <c r="F1757">
        <v>0.04545454545454541</v>
      </c>
      <c r="G1757">
        <v>0.02834672210021361</v>
      </c>
      <c r="H1757">
        <v>0.906021301139994</v>
      </c>
      <c r="I1757">
        <v>1095.312449</v>
      </c>
      <c r="J1757" t="s">
        <v>3182</v>
      </c>
      <c r="K1757" t="s">
        <v>3182</v>
      </c>
      <c r="L1757">
        <v>0.7065676638158731</v>
      </c>
      <c r="M1757">
        <v>48.36</v>
      </c>
      <c r="N1757">
        <v>25.14</v>
      </c>
    </row>
    <row r="1758" spans="1:14">
      <c r="A1758" s="1" t="s">
        <v>1770</v>
      </c>
      <c r="B1758">
        <f>HYPERLINK("https://www.suredividend.com/sure-analysis-research-database/","Matson Inc")</f>
        <v>0</v>
      </c>
      <c r="C1758" t="s">
        <v>3183</v>
      </c>
      <c r="D1758">
        <v>89.39</v>
      </c>
      <c r="E1758">
        <v>0.013900119221726</v>
      </c>
      <c r="F1758">
        <v>0.032258064516129</v>
      </c>
      <c r="G1758">
        <v>0.087892885777757</v>
      </c>
      <c r="H1758">
        <v>1.242531657230113</v>
      </c>
      <c r="I1758">
        <v>3122.828923</v>
      </c>
      <c r="J1758">
        <v>9.98666109114167</v>
      </c>
      <c r="K1758">
        <v>0.1436452782924986</v>
      </c>
      <c r="L1758">
        <v>1.316472894960693</v>
      </c>
      <c r="M1758">
        <v>97.48999999999999</v>
      </c>
      <c r="N1758">
        <v>56.05</v>
      </c>
    </row>
    <row r="1759" spans="1:14">
      <c r="A1759" s="1" t="s">
        <v>1771</v>
      </c>
      <c r="B1759">
        <f>HYPERLINK("https://www.suredividend.com/sure-analysis-research-database/","J.W. Mays Inc.")</f>
        <v>0</v>
      </c>
      <c r="C1759" t="s">
        <v>3187</v>
      </c>
      <c r="D1759">
        <v>47.4</v>
      </c>
      <c r="E1759">
        <v>0</v>
      </c>
      <c r="F1759" t="s">
        <v>3182</v>
      </c>
      <c r="G1759" t="s">
        <v>3182</v>
      </c>
      <c r="H1759">
        <v>0</v>
      </c>
      <c r="I1759">
        <v>95.951128</v>
      </c>
      <c r="J1759">
        <v>0</v>
      </c>
      <c r="K1759" t="s">
        <v>3182</v>
      </c>
      <c r="M1759">
        <v>56.12</v>
      </c>
      <c r="N1759">
        <v>41</v>
      </c>
    </row>
    <row r="1760" spans="1:14">
      <c r="A1760" s="1" t="s">
        <v>1772</v>
      </c>
      <c r="B1760">
        <f>HYPERLINK("https://www.suredividend.com/sure-analysis-research-database/","Middlefield Banc Corp.")</f>
        <v>0</v>
      </c>
      <c r="C1760" t="s">
        <v>3184</v>
      </c>
      <c r="D1760">
        <v>26.41</v>
      </c>
      <c r="E1760">
        <v>0.029668812256682</v>
      </c>
      <c r="F1760">
        <v>1</v>
      </c>
      <c r="G1760">
        <v>-0.06508012385152984</v>
      </c>
      <c r="H1760">
        <v>0.783553331698975</v>
      </c>
      <c r="I1760">
        <v>213.724932</v>
      </c>
      <c r="J1760">
        <v>0</v>
      </c>
      <c r="K1760" t="s">
        <v>3182</v>
      </c>
      <c r="L1760">
        <v>0.339746090662066</v>
      </c>
      <c r="M1760">
        <v>29.77</v>
      </c>
      <c r="N1760">
        <v>21.42</v>
      </c>
    </row>
    <row r="1761" spans="1:14">
      <c r="A1761" s="1" t="s">
        <v>1773</v>
      </c>
      <c r="B1761">
        <f>HYPERLINK("https://www.suredividend.com/sure-analysis-research-database/","MBIA Inc.")</f>
        <v>0</v>
      </c>
      <c r="C1761" t="s">
        <v>3184</v>
      </c>
      <c r="D1761">
        <v>7.25</v>
      </c>
      <c r="E1761">
        <v>0</v>
      </c>
      <c r="F1761" t="s">
        <v>3182</v>
      </c>
      <c r="G1761" t="s">
        <v>3182</v>
      </c>
      <c r="H1761">
        <v>0</v>
      </c>
      <c r="I1761">
        <v>376.528337</v>
      </c>
      <c r="J1761" t="s">
        <v>3182</v>
      </c>
      <c r="K1761">
        <v>-0</v>
      </c>
      <c r="L1761">
        <v>0.9028498181692811</v>
      </c>
      <c r="M1761">
        <v>14</v>
      </c>
      <c r="N1761">
        <v>6.07</v>
      </c>
    </row>
    <row r="1762" spans="1:14">
      <c r="A1762" s="1" t="s">
        <v>1774</v>
      </c>
      <c r="B1762">
        <f>HYPERLINK("https://www.suredividend.com/sure-analysis-research-database/","Pro Farm Group Inc")</f>
        <v>0</v>
      </c>
      <c r="C1762" t="s">
        <v>3181</v>
      </c>
      <c r="D1762">
        <v>0.7981</v>
      </c>
      <c r="E1762">
        <v>0</v>
      </c>
      <c r="F1762" t="s">
        <v>3182</v>
      </c>
      <c r="G1762" t="s">
        <v>3182</v>
      </c>
      <c r="H1762">
        <v>0</v>
      </c>
      <c r="I1762">
        <v>0</v>
      </c>
      <c r="J1762">
        <v>0</v>
      </c>
      <c r="K1762" t="s">
        <v>3182</v>
      </c>
    </row>
    <row r="1763" spans="1:14">
      <c r="A1763" s="1" t="s">
        <v>1775</v>
      </c>
      <c r="B1763">
        <f>HYPERLINK("https://www.suredividend.com/sure-analysis-research-database/","Merchants Bancorp")</f>
        <v>0</v>
      </c>
      <c r="C1763" t="s">
        <v>3184</v>
      </c>
      <c r="D1763">
        <v>31.48</v>
      </c>
      <c r="E1763">
        <v>0.009770636119020001</v>
      </c>
      <c r="F1763">
        <v>0.1428571428571428</v>
      </c>
      <c r="G1763">
        <v>0.05922384104881218</v>
      </c>
      <c r="H1763">
        <v>0.307579625026775</v>
      </c>
      <c r="I1763">
        <v>1361.110204</v>
      </c>
      <c r="J1763">
        <v>6.670800842971967</v>
      </c>
      <c r="K1763">
        <v>0.06530352972967624</v>
      </c>
      <c r="L1763">
        <v>1.007873615818241</v>
      </c>
      <c r="M1763">
        <v>33.39</v>
      </c>
      <c r="N1763">
        <v>21.25</v>
      </c>
    </row>
    <row r="1764" spans="1:14">
      <c r="A1764" s="1" t="s">
        <v>1776</v>
      </c>
      <c r="B1764">
        <f>HYPERLINK("https://www.suredividend.com/sure-analysis-research-database/","Mustang Bio Inc")</f>
        <v>0</v>
      </c>
      <c r="C1764" t="s">
        <v>3180</v>
      </c>
      <c r="D1764">
        <v>1.6</v>
      </c>
      <c r="E1764">
        <v>0</v>
      </c>
      <c r="F1764" t="s">
        <v>3182</v>
      </c>
      <c r="G1764" t="s">
        <v>3182</v>
      </c>
      <c r="H1764">
        <v>0</v>
      </c>
      <c r="I1764">
        <v>13.275504</v>
      </c>
      <c r="J1764">
        <v>0</v>
      </c>
      <c r="K1764" t="s">
        <v>3182</v>
      </c>
      <c r="L1764">
        <v>1.543546511588265</v>
      </c>
      <c r="M1764">
        <v>11.08</v>
      </c>
      <c r="N1764">
        <v>1.25</v>
      </c>
    </row>
    <row r="1765" spans="1:14">
      <c r="A1765" s="1" t="s">
        <v>1777</v>
      </c>
      <c r="B1765">
        <f>HYPERLINK("https://www.suredividend.com/sure-analysis-research-database/","Microbot Medical Inc")</f>
        <v>0</v>
      </c>
      <c r="C1765" t="s">
        <v>3180</v>
      </c>
      <c r="D1765">
        <v>1.29</v>
      </c>
      <c r="E1765">
        <v>0</v>
      </c>
      <c r="F1765" t="s">
        <v>3182</v>
      </c>
      <c r="G1765" t="s">
        <v>3182</v>
      </c>
      <c r="H1765">
        <v>0</v>
      </c>
      <c r="I1765">
        <v>15.102439</v>
      </c>
      <c r="J1765">
        <v>0</v>
      </c>
      <c r="K1765" t="s">
        <v>3182</v>
      </c>
      <c r="M1765">
        <v>4.65</v>
      </c>
      <c r="N1765">
        <v>1</v>
      </c>
    </row>
    <row r="1766" spans="1:14">
      <c r="A1766" s="1" t="s">
        <v>1778</v>
      </c>
      <c r="B1766">
        <f>HYPERLINK("https://www.suredividend.com/sure-analysis-research-database/","Malibu Boats Inc")</f>
        <v>0</v>
      </c>
      <c r="C1766" t="s">
        <v>3186</v>
      </c>
      <c r="D1766">
        <v>44.1</v>
      </c>
      <c r="E1766">
        <v>0</v>
      </c>
      <c r="F1766" t="s">
        <v>3182</v>
      </c>
      <c r="G1766" t="s">
        <v>3182</v>
      </c>
      <c r="H1766">
        <v>0</v>
      </c>
      <c r="I1766">
        <v>899.521062</v>
      </c>
      <c r="J1766">
        <v>10.00702046190301</v>
      </c>
      <c r="K1766">
        <v>0</v>
      </c>
      <c r="L1766">
        <v>1.163384212291627</v>
      </c>
      <c r="M1766">
        <v>65.45</v>
      </c>
      <c r="N1766">
        <v>42.91</v>
      </c>
    </row>
    <row r="1767" spans="1:14">
      <c r="A1767" s="1" t="s">
        <v>1779</v>
      </c>
      <c r="B1767">
        <f>HYPERLINK("https://www.suredividend.com/sure-analysis-research-database/","Mercantile Bank Corp.")</f>
        <v>0</v>
      </c>
      <c r="C1767" t="s">
        <v>3184</v>
      </c>
      <c r="D1767">
        <v>33.65</v>
      </c>
      <c r="E1767">
        <v>0.038080887346003</v>
      </c>
      <c r="F1767">
        <v>0.0625</v>
      </c>
      <c r="G1767">
        <v>0.06342724238285391</v>
      </c>
      <c r="H1767">
        <v>1.281421859193005</v>
      </c>
      <c r="I1767">
        <v>539.012968</v>
      </c>
      <c r="J1767">
        <v>6.808728205646434</v>
      </c>
      <c r="K1767">
        <v>0.2578313599985926</v>
      </c>
      <c r="L1767">
        <v>0.9409844506052401</v>
      </c>
      <c r="M1767">
        <v>35.99</v>
      </c>
      <c r="N1767">
        <v>22.82</v>
      </c>
    </row>
    <row r="1768" spans="1:14">
      <c r="A1768" s="1" t="s">
        <v>1780</v>
      </c>
      <c r="B1768">
        <f>HYPERLINK("https://www.suredividend.com/sure-analysis-research-database/","Moelis &amp; Co")</f>
        <v>0</v>
      </c>
      <c r="C1768" t="s">
        <v>3184</v>
      </c>
      <c r="D1768">
        <v>43.77</v>
      </c>
      <c r="E1768">
        <v>0.053514155375367</v>
      </c>
      <c r="F1768">
        <v>0</v>
      </c>
      <c r="G1768">
        <v>0.03303780411393231</v>
      </c>
      <c r="H1768">
        <v>2.342314580779832</v>
      </c>
      <c r="I1768">
        <v>2913.921438</v>
      </c>
      <c r="J1768">
        <v>77.99784358387537</v>
      </c>
      <c r="K1768">
        <v>4.41113857020684</v>
      </c>
      <c r="L1768">
        <v>1.391379124178591</v>
      </c>
      <c r="M1768">
        <v>51.85</v>
      </c>
      <c r="N1768">
        <v>33.45</v>
      </c>
    </row>
    <row r="1769" spans="1:14">
      <c r="A1769" s="1" t="s">
        <v>1781</v>
      </c>
      <c r="B1769">
        <f>HYPERLINK("https://www.suredividend.com/sure-analysis-research-database/","Metropolitan Bank Holding Corp")</f>
        <v>0</v>
      </c>
      <c r="C1769" t="s">
        <v>3184</v>
      </c>
      <c r="D1769">
        <v>35.21</v>
      </c>
      <c r="E1769">
        <v>0</v>
      </c>
      <c r="F1769" t="s">
        <v>3182</v>
      </c>
      <c r="G1769" t="s">
        <v>3182</v>
      </c>
      <c r="H1769">
        <v>0</v>
      </c>
      <c r="I1769">
        <v>389.518688</v>
      </c>
      <c r="J1769">
        <v>6.73302026014658</v>
      </c>
      <c r="K1769">
        <v>0</v>
      </c>
      <c r="L1769">
        <v>2.045995168786208</v>
      </c>
      <c r="M1769">
        <v>71.98999999999999</v>
      </c>
      <c r="N1769">
        <v>13.98</v>
      </c>
    </row>
    <row r="1770" spans="1:14">
      <c r="A1770" s="1" t="s">
        <v>1782</v>
      </c>
      <c r="B1770">
        <f>HYPERLINK("https://www.suredividend.com/sure-analysis-research-database/","Macatawa Bank Corp.")</f>
        <v>0</v>
      </c>
      <c r="C1770" t="s">
        <v>3184</v>
      </c>
      <c r="D1770">
        <v>9.289999999999999</v>
      </c>
      <c r="E1770">
        <v>0.033791199417638</v>
      </c>
      <c r="F1770">
        <v>0</v>
      </c>
      <c r="G1770">
        <v>0.02706608708935176</v>
      </c>
      <c r="H1770">
        <v>0.313920242589863</v>
      </c>
      <c r="I1770">
        <v>318.567914</v>
      </c>
      <c r="J1770">
        <v>6.948500757519575</v>
      </c>
      <c r="K1770">
        <v>0.2342688377536291</v>
      </c>
      <c r="L1770">
        <v>0.5830470152135361</v>
      </c>
      <c r="M1770">
        <v>11.37</v>
      </c>
      <c r="N1770">
        <v>6.78</v>
      </c>
    </row>
    <row r="1771" spans="1:14">
      <c r="A1771" s="1" t="s">
        <v>1783</v>
      </c>
      <c r="B1771">
        <f>HYPERLINK("https://www.suredividend.com/sure-analysis-MCD/","McDonald`s Corp")</f>
        <v>0</v>
      </c>
      <c r="C1771" t="s">
        <v>3186</v>
      </c>
      <c r="D1771">
        <v>266.85</v>
      </c>
      <c r="E1771">
        <v>0.02503278995690462</v>
      </c>
      <c r="F1771">
        <v>0.1014492753623188</v>
      </c>
      <c r="G1771">
        <v>0.05554589164848411</v>
      </c>
      <c r="H1771">
        <v>6.031016164851432</v>
      </c>
      <c r="I1771">
        <v>194470.527166</v>
      </c>
      <c r="J1771">
        <v>24.31580669019844</v>
      </c>
      <c r="K1771">
        <v>0.5553421882920287</v>
      </c>
      <c r="L1771">
        <v>0.367518256661014</v>
      </c>
      <c r="M1771">
        <v>297.75</v>
      </c>
      <c r="N1771">
        <v>232.92</v>
      </c>
    </row>
    <row r="1772" spans="1:14">
      <c r="A1772" s="1" t="s">
        <v>1784</v>
      </c>
      <c r="B1772">
        <f>HYPERLINK("https://www.suredividend.com/sure-analysis-research-database/","Contango Oil &amp; Gas Company")</f>
        <v>0</v>
      </c>
      <c r="C1772" t="s">
        <v>3189</v>
      </c>
      <c r="D1772">
        <v>3.22</v>
      </c>
      <c r="E1772">
        <v>0</v>
      </c>
      <c r="F1772" t="s">
        <v>3182</v>
      </c>
      <c r="G1772" t="s">
        <v>3182</v>
      </c>
      <c r="H1772">
        <v>0</v>
      </c>
      <c r="I1772">
        <v>648.310186</v>
      </c>
      <c r="J1772" t="s">
        <v>3182</v>
      </c>
      <c r="K1772">
        <v>-0</v>
      </c>
      <c r="L1772">
        <v>1.578888684368298</v>
      </c>
      <c r="M1772">
        <v>6.94</v>
      </c>
      <c r="N1772">
        <v>1.59</v>
      </c>
    </row>
    <row r="1773" spans="1:14">
      <c r="A1773" s="1" t="s">
        <v>1785</v>
      </c>
      <c r="B1773">
        <f>HYPERLINK("https://www.suredividend.com/sure-analysis-research-database/","MasterCraft Boat Holdings Inc")</f>
        <v>0</v>
      </c>
      <c r="C1773" t="s">
        <v>3186</v>
      </c>
      <c r="D1773">
        <v>21.16</v>
      </c>
      <c r="E1773">
        <v>0</v>
      </c>
      <c r="F1773" t="s">
        <v>3182</v>
      </c>
      <c r="G1773" t="s">
        <v>3182</v>
      </c>
      <c r="H1773">
        <v>0</v>
      </c>
      <c r="I1773">
        <v>364.009471</v>
      </c>
      <c r="J1773">
        <v>5.28032073574423</v>
      </c>
      <c r="K1773">
        <v>0</v>
      </c>
      <c r="L1773">
        <v>1.075854881276684</v>
      </c>
      <c r="M1773">
        <v>35.29</v>
      </c>
      <c r="N1773">
        <v>19.25</v>
      </c>
    </row>
    <row r="1774" spans="1:14">
      <c r="A1774" s="1" t="s">
        <v>1786</v>
      </c>
      <c r="B1774">
        <f>HYPERLINK("https://www.suredividend.com/sure-analysis-MCHP/","Microchip Technology, Inc.")</f>
        <v>0</v>
      </c>
      <c r="C1774" t="s">
        <v>3185</v>
      </c>
      <c r="D1774">
        <v>73.59999999999999</v>
      </c>
      <c r="E1774">
        <v>0.02228260869565217</v>
      </c>
      <c r="F1774">
        <v>0.3621262458471761</v>
      </c>
      <c r="G1774">
        <v>0.02380504387429117</v>
      </c>
      <c r="H1774">
        <v>1.460002595203443</v>
      </c>
      <c r="I1774">
        <v>40063.00345</v>
      </c>
      <c r="J1774">
        <v>16.71450767641537</v>
      </c>
      <c r="K1774">
        <v>0.3379635637045006</v>
      </c>
      <c r="L1774">
        <v>1.648455446708823</v>
      </c>
      <c r="M1774">
        <v>93.33</v>
      </c>
      <c r="N1774">
        <v>60.36</v>
      </c>
    </row>
    <row r="1775" spans="1:14">
      <c r="A1775" s="1" t="s">
        <v>1787</v>
      </c>
      <c r="B1775">
        <f>HYPERLINK("https://www.suredividend.com/sure-analysis-research-database/","Marchex Inc")</f>
        <v>0</v>
      </c>
      <c r="C1775" t="s">
        <v>3191</v>
      </c>
      <c r="D1775">
        <v>1.38</v>
      </c>
      <c r="E1775">
        <v>0</v>
      </c>
      <c r="F1775" t="s">
        <v>3182</v>
      </c>
      <c r="G1775" t="s">
        <v>3182</v>
      </c>
      <c r="H1775">
        <v>0</v>
      </c>
      <c r="I1775">
        <v>53.390522</v>
      </c>
      <c r="J1775" t="s">
        <v>3182</v>
      </c>
      <c r="K1775">
        <v>-0</v>
      </c>
      <c r="L1775">
        <v>1.0586421701004</v>
      </c>
      <c r="M1775">
        <v>2.21</v>
      </c>
      <c r="N1775">
        <v>1.22</v>
      </c>
    </row>
    <row r="1776" spans="1:14">
      <c r="A1776" s="1" t="s">
        <v>1788</v>
      </c>
      <c r="B1776">
        <f>HYPERLINK("https://www.suredividend.com/sure-analysis-MCK/","Mckesson Corporation")</f>
        <v>0</v>
      </c>
      <c r="C1776" t="s">
        <v>3180</v>
      </c>
      <c r="D1776">
        <v>447.6</v>
      </c>
      <c r="E1776">
        <v>0.005540661304736371</v>
      </c>
      <c r="F1776">
        <v>0.1481481481481481</v>
      </c>
      <c r="G1776">
        <v>0.09714850709074052</v>
      </c>
      <c r="H1776">
        <v>2.235283956642206</v>
      </c>
      <c r="I1776">
        <v>60382.305288</v>
      </c>
      <c r="J1776">
        <v>16.1019480768</v>
      </c>
      <c r="K1776">
        <v>0.0833750077076541</v>
      </c>
      <c r="L1776">
        <v>0.068852971288308</v>
      </c>
      <c r="M1776">
        <v>465.9</v>
      </c>
      <c r="N1776">
        <v>330.8</v>
      </c>
    </row>
    <row r="1777" spans="1:14">
      <c r="A1777" s="1" t="s">
        <v>1789</v>
      </c>
      <c r="B1777">
        <f>HYPERLINK("https://www.suredividend.com/sure-analysis-MCO/","Moody`s Corp.")</f>
        <v>0</v>
      </c>
      <c r="C1777" t="s">
        <v>3184</v>
      </c>
      <c r="D1777">
        <v>326.83</v>
      </c>
      <c r="E1777">
        <v>0.009423859498822018</v>
      </c>
      <c r="F1777">
        <v>0.09999999999999987</v>
      </c>
      <c r="G1777">
        <v>0.09019489529987834</v>
      </c>
      <c r="H1777">
        <v>2.999326691761484</v>
      </c>
      <c r="I1777">
        <v>59809.89</v>
      </c>
      <c r="J1777">
        <v>39.53066093853272</v>
      </c>
      <c r="K1777">
        <v>0.3648815926717134</v>
      </c>
      <c r="L1777">
        <v>1.38554696636061</v>
      </c>
      <c r="M1777">
        <v>362.35</v>
      </c>
      <c r="N1777">
        <v>251.51</v>
      </c>
    </row>
    <row r="1778" spans="1:14">
      <c r="A1778" s="1" t="s">
        <v>1790</v>
      </c>
      <c r="B1778">
        <f>HYPERLINK("https://www.suredividend.com/sure-analysis-research-database/","Seres Therapeutics Inc")</f>
        <v>0</v>
      </c>
      <c r="C1778" t="s">
        <v>3180</v>
      </c>
      <c r="D1778">
        <v>0.9324</v>
      </c>
      <c r="E1778">
        <v>0</v>
      </c>
      <c r="F1778" t="s">
        <v>3182</v>
      </c>
      <c r="G1778" t="s">
        <v>3182</v>
      </c>
      <c r="H1778">
        <v>0</v>
      </c>
      <c r="I1778">
        <v>119.537982</v>
      </c>
      <c r="J1778" t="s">
        <v>3182</v>
      </c>
      <c r="K1778">
        <v>-0</v>
      </c>
      <c r="L1778">
        <v>0.708318535514683</v>
      </c>
      <c r="M1778">
        <v>9.050000000000001</v>
      </c>
      <c r="N1778">
        <v>0.91</v>
      </c>
    </row>
    <row r="1779" spans="1:14">
      <c r="A1779" s="1" t="s">
        <v>1791</v>
      </c>
      <c r="B1779">
        <f>HYPERLINK("https://www.suredividend.com/sure-analysis-research-database/","Monarch Casino &amp; Resort, Inc.")</f>
        <v>0</v>
      </c>
      <c r="C1779" t="s">
        <v>3186</v>
      </c>
      <c r="D1779">
        <v>60.97</v>
      </c>
      <c r="E1779">
        <v>0.009797426209263001</v>
      </c>
      <c r="F1779" t="s">
        <v>3182</v>
      </c>
      <c r="G1779" t="s">
        <v>3182</v>
      </c>
      <c r="H1779">
        <v>0.5973490759787741</v>
      </c>
      <c r="I1779">
        <v>1167.218155</v>
      </c>
      <c r="J1779">
        <v>12.96779382983924</v>
      </c>
      <c r="K1779">
        <v>0.1301414108886218</v>
      </c>
      <c r="L1779">
        <v>0.799183267495556</v>
      </c>
      <c r="M1779">
        <v>78.78</v>
      </c>
      <c r="N1779">
        <v>56.25</v>
      </c>
    </row>
    <row r="1780" spans="1:14">
      <c r="A1780" s="1" t="s">
        <v>1792</v>
      </c>
      <c r="B1780">
        <f>HYPERLINK("https://www.suredividend.com/sure-analysis-research-database/","Marcus Corp.")</f>
        <v>0</v>
      </c>
      <c r="C1780" t="s">
        <v>3191</v>
      </c>
      <c r="D1780">
        <v>15.3</v>
      </c>
      <c r="E1780">
        <v>0.014303521405194</v>
      </c>
      <c r="F1780" t="s">
        <v>3182</v>
      </c>
      <c r="G1780" t="s">
        <v>3182</v>
      </c>
      <c r="H1780">
        <v>0.218843877499475</v>
      </c>
      <c r="I1780">
        <v>376.562743</v>
      </c>
      <c r="J1780" t="s">
        <v>3182</v>
      </c>
      <c r="K1780" t="s">
        <v>3182</v>
      </c>
      <c r="L1780">
        <v>0.538760838229819</v>
      </c>
      <c r="M1780">
        <v>17.91</v>
      </c>
      <c r="N1780">
        <v>13.47</v>
      </c>
    </row>
    <row r="1781" spans="1:14">
      <c r="A1781" s="1" t="s">
        <v>1793</v>
      </c>
      <c r="B1781">
        <f>HYPERLINK("https://www.suredividend.com/sure-analysis-MCY/","Mercury General Corp.")</f>
        <v>0</v>
      </c>
      <c r="C1781" t="s">
        <v>3184</v>
      </c>
      <c r="D1781">
        <v>37.01</v>
      </c>
      <c r="E1781">
        <v>0.03431504998649014</v>
      </c>
      <c r="F1781">
        <v>0</v>
      </c>
      <c r="G1781">
        <v>-0.1273783175769999</v>
      </c>
      <c r="H1781">
        <v>1.249635561096117</v>
      </c>
      <c r="I1781">
        <v>2049.28541</v>
      </c>
      <c r="J1781" t="s">
        <v>3182</v>
      </c>
      <c r="K1781" t="s">
        <v>3182</v>
      </c>
      <c r="L1781">
        <v>0.715957622199883</v>
      </c>
      <c r="M1781">
        <v>38.21</v>
      </c>
      <c r="N1781">
        <v>25.59</v>
      </c>
    </row>
    <row r="1782" spans="1:14">
      <c r="A1782" s="1" t="s">
        <v>1794</v>
      </c>
      <c r="B1782">
        <f>HYPERLINK("https://www.suredividend.com/sure-analysis-research-database/","Pediatrix Medical Group Inc")</f>
        <v>0</v>
      </c>
      <c r="C1782" t="s">
        <v>3180</v>
      </c>
      <c r="D1782">
        <v>9.890000000000001</v>
      </c>
      <c r="E1782">
        <v>0</v>
      </c>
      <c r="F1782" t="s">
        <v>3182</v>
      </c>
      <c r="G1782" t="s">
        <v>3182</v>
      </c>
      <c r="H1782">
        <v>0</v>
      </c>
      <c r="I1782">
        <v>830.184817</v>
      </c>
      <c r="J1782">
        <v>8.069840266148239</v>
      </c>
      <c r="K1782">
        <v>0</v>
      </c>
      <c r="L1782">
        <v>0.889926655707681</v>
      </c>
      <c r="M1782">
        <v>17.3</v>
      </c>
      <c r="N1782">
        <v>9.15</v>
      </c>
    </row>
    <row r="1783" spans="1:14">
      <c r="A1783" s="1" t="s">
        <v>1795</v>
      </c>
      <c r="B1783">
        <f>HYPERLINK("https://www.suredividend.com/sure-analysis-research-database/","MongoDB Inc")</f>
        <v>0</v>
      </c>
      <c r="C1783" t="s">
        <v>3185</v>
      </c>
      <c r="D1783">
        <v>329</v>
      </c>
      <c r="E1783">
        <v>0</v>
      </c>
      <c r="F1783" t="s">
        <v>3182</v>
      </c>
      <c r="G1783" t="s">
        <v>3182</v>
      </c>
      <c r="H1783">
        <v>0</v>
      </c>
      <c r="I1783">
        <v>23457.7</v>
      </c>
      <c r="J1783" t="s">
        <v>3182</v>
      </c>
      <c r="K1783">
        <v>-0</v>
      </c>
      <c r="L1783">
        <v>2.343873095419312</v>
      </c>
      <c r="M1783">
        <v>439</v>
      </c>
      <c r="N1783">
        <v>135.15</v>
      </c>
    </row>
    <row r="1784" spans="1:14">
      <c r="A1784" s="1" t="s">
        <v>1796</v>
      </c>
      <c r="B1784">
        <f>HYPERLINK("https://www.suredividend.com/sure-analysis-MDC/","M.D.C. Holdings, Inc.")</f>
        <v>0</v>
      </c>
      <c r="C1784" t="s">
        <v>3186</v>
      </c>
      <c r="D1784">
        <v>41.07</v>
      </c>
      <c r="E1784">
        <v>0.05356708059410763</v>
      </c>
      <c r="F1784" t="s">
        <v>3182</v>
      </c>
      <c r="G1784" t="s">
        <v>3182</v>
      </c>
      <c r="H1784">
        <v>2.015852024939351</v>
      </c>
      <c r="I1784">
        <v>3066.346943</v>
      </c>
      <c r="J1784">
        <v>8.534486005778078</v>
      </c>
      <c r="K1784">
        <v>0.4182265611907366</v>
      </c>
      <c r="L1784">
        <v>1.243542255148176</v>
      </c>
      <c r="M1784">
        <v>51.71</v>
      </c>
      <c r="N1784">
        <v>27.48</v>
      </c>
    </row>
    <row r="1785" spans="1:14">
      <c r="A1785" s="1" t="s">
        <v>1797</v>
      </c>
      <c r="B1785">
        <f>HYPERLINK("https://www.suredividend.com/sure-analysis-research-database/","Madrigal Pharmaceuticals Inc")</f>
        <v>0</v>
      </c>
      <c r="C1785" t="s">
        <v>3180</v>
      </c>
      <c r="D1785">
        <v>137.4</v>
      </c>
      <c r="E1785">
        <v>0</v>
      </c>
      <c r="F1785" t="s">
        <v>3182</v>
      </c>
      <c r="G1785" t="s">
        <v>3182</v>
      </c>
      <c r="H1785">
        <v>0</v>
      </c>
      <c r="I1785">
        <v>2537.947414</v>
      </c>
      <c r="J1785">
        <v>0</v>
      </c>
      <c r="K1785" t="s">
        <v>3182</v>
      </c>
      <c r="L1785">
        <v>-0.260068191862074</v>
      </c>
      <c r="M1785">
        <v>322.67</v>
      </c>
      <c r="N1785">
        <v>57.21</v>
      </c>
    </row>
    <row r="1786" spans="1:14">
      <c r="A1786" s="1" t="s">
        <v>1798</v>
      </c>
      <c r="B1786">
        <f>HYPERLINK("https://www.suredividend.com/sure-analysis-research-database/","Medley Management Inc")</f>
        <v>0</v>
      </c>
      <c r="C1786" t="s">
        <v>3184</v>
      </c>
      <c r="D1786">
        <v>5.88</v>
      </c>
      <c r="E1786">
        <v>0</v>
      </c>
      <c r="F1786" t="s">
        <v>3182</v>
      </c>
      <c r="G1786" t="s">
        <v>3182</v>
      </c>
      <c r="H1786">
        <v>0</v>
      </c>
      <c r="I1786">
        <v>18.003731</v>
      </c>
      <c r="J1786">
        <v>0</v>
      </c>
      <c r="K1786" t="s">
        <v>3182</v>
      </c>
    </row>
    <row r="1787" spans="1:14">
      <c r="A1787" s="1" t="s">
        <v>1799</v>
      </c>
      <c r="B1787">
        <f>HYPERLINK("https://www.suredividend.com/sure-analysis-MDLZ/","Mondelez International Inc.")</f>
        <v>0</v>
      </c>
      <c r="C1787" t="s">
        <v>3188</v>
      </c>
      <c r="D1787">
        <v>67.97</v>
      </c>
      <c r="E1787">
        <v>0.02501103427982933</v>
      </c>
      <c r="F1787">
        <v>0.1038961038961039</v>
      </c>
      <c r="G1787">
        <v>0.1032733212020163</v>
      </c>
      <c r="H1787">
        <v>1.562886287382509</v>
      </c>
      <c r="I1787">
        <v>92500.072912</v>
      </c>
      <c r="J1787">
        <v>22.34301278078502</v>
      </c>
      <c r="K1787">
        <v>0.5192313247117971</v>
      </c>
      <c r="L1787">
        <v>0.481921353326085</v>
      </c>
      <c r="M1787">
        <v>77.29000000000001</v>
      </c>
      <c r="N1787">
        <v>60.41</v>
      </c>
    </row>
    <row r="1788" spans="1:14">
      <c r="A1788" s="1" t="s">
        <v>1800</v>
      </c>
      <c r="B1788">
        <f>HYPERLINK("https://www.suredividend.com/sure-analysis-research-database/","Meredith Holdings Corp")</f>
        <v>0</v>
      </c>
      <c r="C1788" t="s">
        <v>3191</v>
      </c>
      <c r="D1788">
        <v>59.07</v>
      </c>
      <c r="E1788">
        <v>0</v>
      </c>
      <c r="F1788" t="s">
        <v>3182</v>
      </c>
      <c r="G1788" t="s">
        <v>3182</v>
      </c>
      <c r="H1788">
        <v>0</v>
      </c>
      <c r="I1788">
        <v>0</v>
      </c>
      <c r="J1788">
        <v>0</v>
      </c>
      <c r="K1788" t="s">
        <v>3182</v>
      </c>
    </row>
    <row r="1789" spans="1:14">
      <c r="A1789" s="1" t="s">
        <v>1801</v>
      </c>
      <c r="B1789">
        <f>HYPERLINK("https://www.suredividend.com/sure-analysis-research-database/","Veradigm Inc")</f>
        <v>0</v>
      </c>
      <c r="C1789" t="s">
        <v>3180</v>
      </c>
      <c r="D1789">
        <v>13.07</v>
      </c>
      <c r="E1789">
        <v>0</v>
      </c>
      <c r="F1789" t="s">
        <v>3182</v>
      </c>
      <c r="G1789" t="s">
        <v>3182</v>
      </c>
      <c r="H1789">
        <v>0</v>
      </c>
      <c r="I1789">
        <v>1428.025272</v>
      </c>
      <c r="J1789">
        <v>23.55155972424712</v>
      </c>
      <c r="K1789">
        <v>0</v>
      </c>
      <c r="L1789">
        <v>0.8791572909039891</v>
      </c>
      <c r="M1789">
        <v>19.77</v>
      </c>
      <c r="N1789">
        <v>11.3</v>
      </c>
    </row>
    <row r="1790" spans="1:14">
      <c r="A1790" s="1" t="s">
        <v>1802</v>
      </c>
      <c r="B1790">
        <f>HYPERLINK("https://www.suredividend.com/sure-analysis-MDT/","Medtronic Plc")</f>
        <v>0</v>
      </c>
      <c r="C1790" t="s">
        <v>3180</v>
      </c>
      <c r="D1790">
        <v>72.09</v>
      </c>
      <c r="E1790">
        <v>0.03828547648772367</v>
      </c>
      <c r="F1790">
        <v>0.01470588235294112</v>
      </c>
      <c r="G1790">
        <v>0.06653673185724296</v>
      </c>
      <c r="H1790">
        <v>2.706414474852425</v>
      </c>
      <c r="I1790">
        <v>95918.17537</v>
      </c>
      <c r="J1790">
        <v>26.49673352767127</v>
      </c>
      <c r="K1790">
        <v>0.995005321636921</v>
      </c>
      <c r="L1790">
        <v>0.651053844611554</v>
      </c>
      <c r="M1790">
        <v>90.53</v>
      </c>
      <c r="N1790">
        <v>68.84</v>
      </c>
    </row>
    <row r="1791" spans="1:14">
      <c r="A1791" s="1" t="s">
        <v>1803</v>
      </c>
      <c r="B1791">
        <f>HYPERLINK("https://www.suredividend.com/sure-analysis-MDU/","MDU Resources Group Inc")</f>
        <v>0</v>
      </c>
      <c r="C1791" t="s">
        <v>3181</v>
      </c>
      <c r="D1791">
        <v>18.79</v>
      </c>
      <c r="E1791">
        <v>0.02660989888238425</v>
      </c>
      <c r="F1791" t="s">
        <v>3182</v>
      </c>
      <c r="G1791" t="s">
        <v>3182</v>
      </c>
      <c r="H1791">
        <v>0.6486551826221171</v>
      </c>
      <c r="I1791">
        <v>3826.365029</v>
      </c>
      <c r="J1791">
        <v>8.814397076898622</v>
      </c>
      <c r="K1791">
        <v>0.3045329495878484</v>
      </c>
      <c r="L1791">
        <v>0.7512445635193651</v>
      </c>
      <c r="M1791">
        <v>22.41</v>
      </c>
      <c r="N1791">
        <v>18.17</v>
      </c>
    </row>
    <row r="1792" spans="1:14">
      <c r="A1792" s="1" t="s">
        <v>1804</v>
      </c>
      <c r="B1792">
        <f>HYPERLINK("https://www.suredividend.com/sure-analysis-MED/","Medifast Inc")</f>
        <v>0</v>
      </c>
      <c r="C1792" t="s">
        <v>3186</v>
      </c>
      <c r="D1792">
        <v>68.89</v>
      </c>
      <c r="E1792">
        <v>0.09580490637247786</v>
      </c>
      <c r="F1792">
        <v>0.006097560975609539</v>
      </c>
      <c r="G1792">
        <v>0.1708049129648923</v>
      </c>
      <c r="H1792">
        <v>6.402659572035475</v>
      </c>
      <c r="I1792">
        <v>750.168562</v>
      </c>
      <c r="J1792">
        <v>5.643674948616482</v>
      </c>
      <c r="K1792">
        <v>0.5278367330614571</v>
      </c>
      <c r="L1792">
        <v>1.118751812865609</v>
      </c>
      <c r="M1792">
        <v>124.2</v>
      </c>
      <c r="N1792">
        <v>67.40000000000001</v>
      </c>
    </row>
    <row r="1793" spans="1:14">
      <c r="A1793" s="1" t="s">
        <v>1805</v>
      </c>
      <c r="B1793">
        <f>HYPERLINK("https://www.suredividend.com/sure-analysis-research-database/","Medpace Holdings Inc")</f>
        <v>0</v>
      </c>
      <c r="C1793" t="s">
        <v>3180</v>
      </c>
      <c r="D1793">
        <v>264.64</v>
      </c>
      <c r="E1793">
        <v>0</v>
      </c>
      <c r="F1793" t="s">
        <v>3182</v>
      </c>
      <c r="G1793" t="s">
        <v>3182</v>
      </c>
      <c r="H1793">
        <v>0</v>
      </c>
      <c r="I1793">
        <v>8120.064503</v>
      </c>
      <c r="J1793">
        <v>29.74404392354523</v>
      </c>
      <c r="K1793">
        <v>0</v>
      </c>
      <c r="L1793">
        <v>1.157146642150484</v>
      </c>
      <c r="M1793">
        <v>282.73</v>
      </c>
      <c r="N1793">
        <v>167</v>
      </c>
    </row>
    <row r="1794" spans="1:14">
      <c r="A1794" s="1" t="s">
        <v>1806</v>
      </c>
      <c r="B1794">
        <f>HYPERLINK("https://www.suredividend.com/sure-analysis-research-database/","Methode Electronics, Inc.")</f>
        <v>0</v>
      </c>
      <c r="C1794" t="s">
        <v>3185</v>
      </c>
      <c r="D1794">
        <v>23.5</v>
      </c>
      <c r="E1794">
        <v>0.029541858335575</v>
      </c>
      <c r="F1794">
        <v>0</v>
      </c>
      <c r="G1794">
        <v>0.04941452284458392</v>
      </c>
      <c r="H1794">
        <v>0.6942336708860261</v>
      </c>
      <c r="I1794">
        <v>846.224002</v>
      </c>
      <c r="J1794">
        <v>14.97741596460177</v>
      </c>
      <c r="K1794">
        <v>0.4478926908942104</v>
      </c>
      <c r="L1794">
        <v>1.028925691805329</v>
      </c>
      <c r="M1794">
        <v>50.71</v>
      </c>
      <c r="N1794">
        <v>21.26</v>
      </c>
    </row>
    <row r="1795" spans="1:14">
      <c r="A1795" s="1" t="s">
        <v>1807</v>
      </c>
      <c r="B1795">
        <f>HYPERLINK("https://www.suredividend.com/sure-analysis-research-database/","MEI Pharma Inc")</f>
        <v>0</v>
      </c>
      <c r="C1795" t="s">
        <v>3180</v>
      </c>
      <c r="D1795">
        <v>6.9</v>
      </c>
      <c r="E1795">
        <v>0</v>
      </c>
      <c r="F1795" t="s">
        <v>3182</v>
      </c>
      <c r="G1795" t="s">
        <v>3182</v>
      </c>
      <c r="H1795">
        <v>0</v>
      </c>
      <c r="I1795">
        <v>45.973713</v>
      </c>
      <c r="J1795" t="s">
        <v>3182</v>
      </c>
      <c r="K1795">
        <v>-0</v>
      </c>
      <c r="L1795">
        <v>0.404662568759902</v>
      </c>
      <c r="M1795">
        <v>8.6</v>
      </c>
      <c r="N1795">
        <v>4</v>
      </c>
    </row>
    <row r="1796" spans="1:14">
      <c r="A1796" s="1" t="s">
        <v>1808</v>
      </c>
      <c r="B1796">
        <f>HYPERLINK("https://www.suredividend.com/sure-analysis-research-database/","Mercer International Inc.")</f>
        <v>0</v>
      </c>
      <c r="C1796" t="s">
        <v>3181</v>
      </c>
      <c r="D1796">
        <v>8.26</v>
      </c>
      <c r="E1796">
        <v>0.035435428921636</v>
      </c>
      <c r="F1796">
        <v>0</v>
      </c>
      <c r="G1796">
        <v>-0.09711954855256577</v>
      </c>
      <c r="H1796">
        <v>0.292696642892714</v>
      </c>
      <c r="I1796">
        <v>549.495393</v>
      </c>
      <c r="J1796" t="s">
        <v>3182</v>
      </c>
      <c r="K1796" t="s">
        <v>3182</v>
      </c>
      <c r="L1796">
        <v>0.7965645048265511</v>
      </c>
      <c r="M1796">
        <v>13.49</v>
      </c>
      <c r="N1796">
        <v>7.24</v>
      </c>
    </row>
    <row r="1797" spans="1:14">
      <c r="A1797" s="1" t="s">
        <v>1809</v>
      </c>
      <c r="B1797">
        <f>HYPERLINK("https://www.suredividend.com/sure-analysis-research-database/","Mesa Air Group Inc.")</f>
        <v>0</v>
      </c>
      <c r="C1797" t="s">
        <v>3183</v>
      </c>
      <c r="D1797">
        <v>0.49</v>
      </c>
      <c r="E1797">
        <v>0</v>
      </c>
      <c r="F1797" t="s">
        <v>3182</v>
      </c>
      <c r="G1797" t="s">
        <v>3182</v>
      </c>
      <c r="H1797">
        <v>0</v>
      </c>
      <c r="I1797">
        <v>20.006991</v>
      </c>
      <c r="J1797">
        <v>0</v>
      </c>
      <c r="K1797" t="s">
        <v>3182</v>
      </c>
      <c r="L1797">
        <v>1.415864753175667</v>
      </c>
      <c r="M1797">
        <v>3.82</v>
      </c>
      <c r="N1797">
        <v>0.43</v>
      </c>
    </row>
    <row r="1798" spans="1:14">
      <c r="A1798" s="1" t="s">
        <v>1810</v>
      </c>
      <c r="B1798">
        <f>HYPERLINK("https://www.suredividend.com/sure-analysis-MET/","Metlife Inc")</f>
        <v>0</v>
      </c>
      <c r="C1798" t="s">
        <v>3184</v>
      </c>
      <c r="D1798">
        <v>60.01</v>
      </c>
      <c r="E1798">
        <v>0.03466088985169138</v>
      </c>
      <c r="F1798">
        <v>0.04000000000000004</v>
      </c>
      <c r="G1798">
        <v>0.04364022715043592</v>
      </c>
      <c r="H1798">
        <v>2.014603971762152</v>
      </c>
      <c r="I1798">
        <v>45128.866924</v>
      </c>
      <c r="J1798">
        <v>22.24192554186791</v>
      </c>
      <c r="K1798">
        <v>0.7808542526209891</v>
      </c>
      <c r="L1798">
        <v>0.8798907327616201</v>
      </c>
      <c r="M1798">
        <v>75.45</v>
      </c>
      <c r="N1798">
        <v>48.55</v>
      </c>
    </row>
    <row r="1799" spans="1:14">
      <c r="A1799" s="1" t="s">
        <v>1811</v>
      </c>
      <c r="B1799">
        <f>HYPERLINK("https://www.suredividend.com/sure-analysis-research-database/","MFA Financial Inc")</f>
        <v>0</v>
      </c>
      <c r="C1799" t="s">
        <v>3187</v>
      </c>
      <c r="D1799">
        <v>9.75</v>
      </c>
      <c r="E1799">
        <v>0.13649897348141</v>
      </c>
      <c r="F1799" t="s">
        <v>3182</v>
      </c>
      <c r="G1799" t="s">
        <v>3182</v>
      </c>
      <c r="H1799">
        <v>1.330864991443748</v>
      </c>
      <c r="I1799">
        <v>993.679021</v>
      </c>
      <c r="J1799" t="s">
        <v>3182</v>
      </c>
      <c r="K1799" t="s">
        <v>3182</v>
      </c>
      <c r="L1799">
        <v>1.326801672141938</v>
      </c>
      <c r="M1799">
        <v>11.43</v>
      </c>
      <c r="N1799">
        <v>7.79</v>
      </c>
    </row>
    <row r="1800" spans="1:14">
      <c r="A1800" s="1" t="s">
        <v>1812</v>
      </c>
      <c r="B1800">
        <f>HYPERLINK("https://www.suredividend.com/sure-analysis-research-database/","Mackinac Financial Corp.")</f>
        <v>0</v>
      </c>
      <c r="C1800" t="s">
        <v>3184</v>
      </c>
      <c r="D1800">
        <v>21.5</v>
      </c>
      <c r="E1800">
        <v>0</v>
      </c>
      <c r="F1800" t="s">
        <v>3182</v>
      </c>
      <c r="G1800" t="s">
        <v>3182</v>
      </c>
      <c r="H1800">
        <v>0.552702955075539</v>
      </c>
      <c r="I1800">
        <v>0</v>
      </c>
      <c r="J1800">
        <v>0</v>
      </c>
      <c r="K1800" t="s">
        <v>3182</v>
      </c>
    </row>
    <row r="1801" spans="1:14">
      <c r="A1801" s="1" t="s">
        <v>1813</v>
      </c>
      <c r="B1801">
        <f>HYPERLINK("https://www.suredividend.com/sure-analysis-research-database/","Mistras Group Inc")</f>
        <v>0</v>
      </c>
      <c r="C1801" t="s">
        <v>3183</v>
      </c>
      <c r="D1801">
        <v>5.32</v>
      </c>
      <c r="E1801">
        <v>0</v>
      </c>
      <c r="F1801" t="s">
        <v>3182</v>
      </c>
      <c r="G1801" t="s">
        <v>3182</v>
      </c>
      <c r="H1801">
        <v>0</v>
      </c>
      <c r="I1801">
        <v>161.20656</v>
      </c>
      <c r="J1801">
        <v>62.7262880155642</v>
      </c>
      <c r="K1801">
        <v>0</v>
      </c>
      <c r="L1801">
        <v>0.722652324531836</v>
      </c>
      <c r="M1801">
        <v>8.31</v>
      </c>
      <c r="N1801">
        <v>3.38</v>
      </c>
    </row>
    <row r="1802" spans="1:14">
      <c r="A1802" s="1" t="s">
        <v>1814</v>
      </c>
      <c r="B1802">
        <f>HYPERLINK("https://www.suredividend.com/sure-analysis-MGEE/","MGE Energy, Inc.")</f>
        <v>0</v>
      </c>
      <c r="C1802" t="s">
        <v>3190</v>
      </c>
      <c r="D1802">
        <v>74.33</v>
      </c>
      <c r="E1802">
        <v>0.02300551594241894</v>
      </c>
      <c r="F1802">
        <v>0.04907975460122693</v>
      </c>
      <c r="G1802">
        <v>0.04841317128472156</v>
      </c>
      <c r="H1802">
        <v>1.624590813216617</v>
      </c>
      <c r="I1802">
        <v>2688.023292</v>
      </c>
      <c r="J1802">
        <v>24.98743473948408</v>
      </c>
      <c r="K1802">
        <v>0.5470002738103088</v>
      </c>
      <c r="L1802">
        <v>0.576138181292982</v>
      </c>
      <c r="M1802">
        <v>82.31</v>
      </c>
      <c r="N1802">
        <v>63.22</v>
      </c>
    </row>
    <row r="1803" spans="1:14">
      <c r="A1803" s="1" t="s">
        <v>1815</v>
      </c>
      <c r="B1803">
        <f>HYPERLINK("https://www.suredividend.com/sure-analysis-research-database/","Moneygram International Inc.")</f>
        <v>0</v>
      </c>
      <c r="C1803" t="s">
        <v>3184</v>
      </c>
      <c r="D1803">
        <v>10.99</v>
      </c>
      <c r="E1803">
        <v>0</v>
      </c>
      <c r="F1803" t="s">
        <v>3182</v>
      </c>
      <c r="G1803" t="s">
        <v>3182</v>
      </c>
      <c r="H1803">
        <v>0</v>
      </c>
      <c r="I1803">
        <v>0</v>
      </c>
      <c r="J1803">
        <v>0</v>
      </c>
      <c r="K1803">
        <v>0</v>
      </c>
    </row>
    <row r="1804" spans="1:14">
      <c r="A1804" s="1" t="s">
        <v>1816</v>
      </c>
      <c r="B1804">
        <f>HYPERLINK("https://www.suredividend.com/sure-analysis-research-database/","Magellan Health Inc")</f>
        <v>0</v>
      </c>
      <c r="C1804" t="s">
        <v>3180</v>
      </c>
      <c r="D1804">
        <v>94.98999999999999</v>
      </c>
      <c r="E1804">
        <v>0</v>
      </c>
      <c r="F1804" t="s">
        <v>3182</v>
      </c>
      <c r="G1804" t="s">
        <v>3182</v>
      </c>
      <c r="H1804">
        <v>0</v>
      </c>
      <c r="I1804">
        <v>0</v>
      </c>
      <c r="J1804">
        <v>0</v>
      </c>
      <c r="K1804">
        <v>0</v>
      </c>
    </row>
    <row r="1805" spans="1:14">
      <c r="A1805" s="1" t="s">
        <v>1817</v>
      </c>
      <c r="B1805">
        <f>HYPERLINK("https://www.suredividend.com/sure-analysis-research-database/","MGM Resorts International")</f>
        <v>0</v>
      </c>
      <c r="C1805" t="s">
        <v>3186</v>
      </c>
      <c r="D1805">
        <v>36.25</v>
      </c>
      <c r="E1805">
        <v>6.896551569900001E-05</v>
      </c>
      <c r="F1805" t="s">
        <v>3182</v>
      </c>
      <c r="G1805" t="s">
        <v>3182</v>
      </c>
      <c r="H1805">
        <v>0.00249999994412</v>
      </c>
      <c r="I1805">
        <v>12719.733319</v>
      </c>
      <c r="J1805">
        <v>34.78225990645236</v>
      </c>
      <c r="K1805">
        <v>0.002616978900994452</v>
      </c>
      <c r="L1805">
        <v>1.299823050556506</v>
      </c>
      <c r="M1805">
        <v>51.35</v>
      </c>
      <c r="N1805">
        <v>32.22</v>
      </c>
    </row>
    <row r="1806" spans="1:14">
      <c r="A1806" s="1" t="s">
        <v>1818</v>
      </c>
      <c r="B1806">
        <f>HYPERLINK("https://www.suredividend.com/sure-analysis-research-database/","Macrogenics Inc")</f>
        <v>0</v>
      </c>
      <c r="C1806" t="s">
        <v>3180</v>
      </c>
      <c r="D1806">
        <v>5.11</v>
      </c>
      <c r="E1806">
        <v>0</v>
      </c>
      <c r="F1806" t="s">
        <v>3182</v>
      </c>
      <c r="G1806" t="s">
        <v>3182</v>
      </c>
      <c r="H1806">
        <v>0</v>
      </c>
      <c r="I1806">
        <v>316.561812</v>
      </c>
      <c r="J1806">
        <v>0</v>
      </c>
      <c r="K1806" t="s">
        <v>3182</v>
      </c>
      <c r="L1806">
        <v>1.065553896771613</v>
      </c>
      <c r="M1806">
        <v>7.9</v>
      </c>
      <c r="N1806">
        <v>4.29</v>
      </c>
    </row>
    <row r="1807" spans="1:14">
      <c r="A1807" s="1" t="s">
        <v>1819</v>
      </c>
      <c r="B1807">
        <f>HYPERLINK("https://www.suredividend.com/sure-analysis-research-database/","MGP Ingredients, Inc.")</f>
        <v>0</v>
      </c>
      <c r="C1807" t="s">
        <v>3188</v>
      </c>
      <c r="D1807">
        <v>97.34</v>
      </c>
      <c r="E1807">
        <v>0.00492304327839</v>
      </c>
      <c r="F1807">
        <v>0</v>
      </c>
      <c r="G1807">
        <v>0.08447177119769855</v>
      </c>
      <c r="H1807">
        <v>0.479209032718544</v>
      </c>
      <c r="I1807">
        <v>2136.696907</v>
      </c>
      <c r="J1807">
        <v>19.65845292692127</v>
      </c>
      <c r="K1807">
        <v>0.0974002099021431</v>
      </c>
      <c r="L1807">
        <v>0.8128132194531451</v>
      </c>
      <c r="M1807">
        <v>125.31</v>
      </c>
      <c r="N1807">
        <v>90.48999999999999</v>
      </c>
    </row>
    <row r="1808" spans="1:14">
      <c r="A1808" s="1" t="s">
        <v>1820</v>
      </c>
      <c r="B1808">
        <f>HYPERLINK("https://www.suredividend.com/sure-analysis-MGRC/","McGrath Rentcorp")</f>
        <v>0</v>
      </c>
      <c r="C1808" t="s">
        <v>3183</v>
      </c>
      <c r="D1808">
        <v>100.81</v>
      </c>
      <c r="E1808">
        <v>0.01845055054062097</v>
      </c>
      <c r="F1808">
        <v>0.0219780219780219</v>
      </c>
      <c r="G1808">
        <v>0.06462045737865574</v>
      </c>
      <c r="H1808">
        <v>1.82612462823135</v>
      </c>
      <c r="I1808">
        <v>2468.78095</v>
      </c>
      <c r="J1808">
        <v>13.54642050003841</v>
      </c>
      <c r="K1808">
        <v>0.2457772043380014</v>
      </c>
      <c r="L1808">
        <v>0.6133620081106661</v>
      </c>
      <c r="M1808">
        <v>109.02</v>
      </c>
      <c r="N1808">
        <v>83.58</v>
      </c>
    </row>
    <row r="1809" spans="1:14">
      <c r="A1809" s="1" t="s">
        <v>1821</v>
      </c>
      <c r="B1809">
        <f>HYPERLINK("https://www.suredividend.com/sure-analysis-research-database/","Magnolia Oil &amp; Gas Corp")</f>
        <v>0</v>
      </c>
      <c r="C1809" t="s">
        <v>3189</v>
      </c>
      <c r="D1809">
        <v>23.06</v>
      </c>
      <c r="E1809">
        <v>0.0191496007906</v>
      </c>
      <c r="F1809" t="s">
        <v>3182</v>
      </c>
      <c r="G1809" t="s">
        <v>3182</v>
      </c>
      <c r="H1809">
        <v>0.4415897942312431</v>
      </c>
      <c r="I1809">
        <v>4333.058722</v>
      </c>
      <c r="J1809">
        <v>6.596845375023978</v>
      </c>
      <c r="K1809">
        <v>0.1279970418061574</v>
      </c>
      <c r="L1809">
        <v>1.140494573925468</v>
      </c>
      <c r="M1809">
        <v>27.13</v>
      </c>
      <c r="N1809">
        <v>18.52</v>
      </c>
    </row>
    <row r="1810" spans="1:14">
      <c r="A1810" s="1" t="s">
        <v>1822</v>
      </c>
      <c r="B1810">
        <f>HYPERLINK("https://www.suredividend.com/sure-analysis-research-database/","Magyar Bancorp Inc.")</f>
        <v>0</v>
      </c>
      <c r="C1810" t="s">
        <v>3184</v>
      </c>
      <c r="D1810">
        <v>9.175000000000001</v>
      </c>
      <c r="E1810">
        <v>0.012979762840996</v>
      </c>
      <c r="F1810" t="s">
        <v>3182</v>
      </c>
      <c r="G1810" t="s">
        <v>3182</v>
      </c>
      <c r="H1810">
        <v>0.119089324066146</v>
      </c>
      <c r="I1810">
        <v>61.124749</v>
      </c>
      <c r="J1810">
        <v>0</v>
      </c>
      <c r="K1810" t="s">
        <v>3182</v>
      </c>
      <c r="M1810">
        <v>13.27</v>
      </c>
      <c r="N1810">
        <v>9</v>
      </c>
    </row>
    <row r="1811" spans="1:14">
      <c r="A1811" s="1" t="s">
        <v>1823</v>
      </c>
      <c r="B1811">
        <f>HYPERLINK("https://www.suredividend.com/sure-analysis-research-database/","Mastech Digital Inc")</f>
        <v>0</v>
      </c>
      <c r="C1811" t="s">
        <v>3183</v>
      </c>
      <c r="D1811">
        <v>9.295</v>
      </c>
      <c r="E1811">
        <v>0</v>
      </c>
      <c r="F1811" t="s">
        <v>3182</v>
      </c>
      <c r="G1811" t="s">
        <v>3182</v>
      </c>
      <c r="H1811">
        <v>0</v>
      </c>
      <c r="I1811">
        <v>107.785108</v>
      </c>
      <c r="J1811">
        <v>0</v>
      </c>
      <c r="K1811" t="s">
        <v>3182</v>
      </c>
      <c r="L1811">
        <v>0.522611809768269</v>
      </c>
      <c r="M1811">
        <v>15.22</v>
      </c>
      <c r="N1811">
        <v>8.35</v>
      </c>
    </row>
    <row r="1812" spans="1:14">
      <c r="A1812" s="1" t="s">
        <v>1824</v>
      </c>
      <c r="B1812">
        <f>HYPERLINK("https://www.suredividend.com/sure-analysis-research-database/","Mohawk Industries, Inc.")</f>
        <v>0</v>
      </c>
      <c r="C1812" t="s">
        <v>3186</v>
      </c>
      <c r="D1812">
        <v>83.03</v>
      </c>
      <c r="E1812">
        <v>0</v>
      </c>
      <c r="F1812" t="s">
        <v>3182</v>
      </c>
      <c r="G1812" t="s">
        <v>3182</v>
      </c>
      <c r="H1812">
        <v>0</v>
      </c>
      <c r="I1812">
        <v>5287.3504</v>
      </c>
      <c r="J1812" t="s">
        <v>3182</v>
      </c>
      <c r="K1812">
        <v>-0</v>
      </c>
      <c r="L1812">
        <v>1.597497920882584</v>
      </c>
      <c r="M1812">
        <v>130.63</v>
      </c>
      <c r="N1812">
        <v>76.02</v>
      </c>
    </row>
    <row r="1813" spans="1:14">
      <c r="A1813" s="1" t="s">
        <v>1825</v>
      </c>
      <c r="B1813">
        <f>HYPERLINK("https://www.suredividend.com/sure-analysis-research-database/","Maiden Holdings Ltd")</f>
        <v>0</v>
      </c>
      <c r="C1813" t="s">
        <v>3184</v>
      </c>
      <c r="D1813">
        <v>1.7</v>
      </c>
      <c r="E1813">
        <v>0</v>
      </c>
      <c r="F1813" t="s">
        <v>3182</v>
      </c>
      <c r="G1813" t="s">
        <v>3182</v>
      </c>
      <c r="H1813">
        <v>0</v>
      </c>
      <c r="I1813">
        <v>172.729886</v>
      </c>
      <c r="J1813">
        <v>12.64679202665105</v>
      </c>
      <c r="K1813">
        <v>0</v>
      </c>
      <c r="L1813">
        <v>1.364779822803855</v>
      </c>
      <c r="M1813">
        <v>2.64</v>
      </c>
      <c r="N1813">
        <v>1.49</v>
      </c>
    </row>
    <row r="1814" spans="1:14">
      <c r="A1814" s="1" t="s">
        <v>1826</v>
      </c>
      <c r="B1814">
        <f>HYPERLINK("https://www.suredividend.com/sure-analysis-research-database/","MI Homes Inc.")</f>
        <v>0</v>
      </c>
      <c r="C1814" t="s">
        <v>3186</v>
      </c>
      <c r="D1814">
        <v>91.52</v>
      </c>
      <c r="E1814">
        <v>0</v>
      </c>
      <c r="F1814" t="s">
        <v>3182</v>
      </c>
      <c r="G1814" t="s">
        <v>3182</v>
      </c>
      <c r="H1814">
        <v>0</v>
      </c>
      <c r="I1814">
        <v>2546.948152</v>
      </c>
      <c r="J1814">
        <v>5.192787754639351</v>
      </c>
      <c r="K1814">
        <v>0</v>
      </c>
      <c r="L1814">
        <v>1.421642442745661</v>
      </c>
      <c r="M1814">
        <v>101.62</v>
      </c>
      <c r="N1814">
        <v>38.73</v>
      </c>
    </row>
    <row r="1815" spans="1:14">
      <c r="A1815" s="1" t="s">
        <v>1827</v>
      </c>
      <c r="B1815">
        <f>HYPERLINK("https://www.suredividend.com/sure-analysis-research-database/","Macquarie Infrastructure Holdings LLC")</f>
        <v>0</v>
      </c>
      <c r="C1815" t="s">
        <v>3183</v>
      </c>
      <c r="D1815">
        <v>4.09</v>
      </c>
      <c r="E1815">
        <v>0</v>
      </c>
      <c r="F1815" t="s">
        <v>3182</v>
      </c>
      <c r="G1815" t="s">
        <v>3182</v>
      </c>
      <c r="H1815">
        <v>0</v>
      </c>
      <c r="I1815">
        <v>363.95009</v>
      </c>
      <c r="J1815">
        <v>0.135710616963916</v>
      </c>
      <c r="K1815">
        <v>0</v>
      </c>
      <c r="M1815">
        <v>4.1</v>
      </c>
      <c r="N1815">
        <v>3.26</v>
      </c>
    </row>
    <row r="1816" spans="1:14">
      <c r="A1816" s="1" t="s">
        <v>1828</v>
      </c>
      <c r="B1816">
        <f>HYPERLINK("https://www.suredividend.com/sure-analysis-research-database/","Micron Solutions Inc")</f>
        <v>0</v>
      </c>
      <c r="C1816" t="s">
        <v>3180</v>
      </c>
      <c r="D1816">
        <v>1.33</v>
      </c>
      <c r="E1816">
        <v>0</v>
      </c>
      <c r="F1816" t="s">
        <v>3182</v>
      </c>
      <c r="G1816" t="s">
        <v>3182</v>
      </c>
      <c r="H1816">
        <v>0</v>
      </c>
      <c r="I1816">
        <v>4.57449</v>
      </c>
      <c r="J1816">
        <v>0</v>
      </c>
      <c r="K1816" t="s">
        <v>3182</v>
      </c>
      <c r="M1816">
        <v>2.58</v>
      </c>
      <c r="N1816">
        <v>0.5600000000000001</v>
      </c>
    </row>
    <row r="1817" spans="1:14">
      <c r="A1817" s="1" t="s">
        <v>1829</v>
      </c>
      <c r="B1817">
        <f>HYPERLINK("https://www.suredividend.com/sure-analysis-research-database/","MICT Inc")</f>
        <v>0</v>
      </c>
      <c r="C1817" t="s">
        <v>3185</v>
      </c>
      <c r="D1817">
        <v>0.8951</v>
      </c>
      <c r="E1817">
        <v>0</v>
      </c>
      <c r="F1817" t="s">
        <v>3182</v>
      </c>
      <c r="G1817" t="s">
        <v>3182</v>
      </c>
      <c r="H1817">
        <v>0</v>
      </c>
      <c r="I1817">
        <v>145.814336</v>
      </c>
      <c r="J1817">
        <v>0</v>
      </c>
      <c r="K1817" t="s">
        <v>3182</v>
      </c>
      <c r="L1817">
        <v>1.048578585349212</v>
      </c>
      <c r="M1817">
        <v>1.35</v>
      </c>
      <c r="N1817">
        <v>0.41</v>
      </c>
    </row>
    <row r="1818" spans="1:14">
      <c r="A1818" s="1" t="s">
        <v>1830</v>
      </c>
      <c r="B1818">
        <f>HYPERLINK("https://www.suredividend.com/sure-analysis-research-database/","Middleby Corp.")</f>
        <v>0</v>
      </c>
      <c r="C1818" t="s">
        <v>3183</v>
      </c>
      <c r="D1818">
        <v>113.89</v>
      </c>
      <c r="E1818">
        <v>0</v>
      </c>
      <c r="F1818" t="s">
        <v>3182</v>
      </c>
      <c r="G1818" t="s">
        <v>3182</v>
      </c>
      <c r="H1818">
        <v>0</v>
      </c>
      <c r="I1818">
        <v>6104.848631</v>
      </c>
      <c r="J1818">
        <v>13.4614803169535</v>
      </c>
      <c r="K1818">
        <v>0</v>
      </c>
      <c r="L1818">
        <v>1.390265335344027</v>
      </c>
      <c r="M1818">
        <v>162.02</v>
      </c>
      <c r="N1818">
        <v>109.59</v>
      </c>
    </row>
    <row r="1819" spans="1:14">
      <c r="A1819" s="1" t="s">
        <v>1831</v>
      </c>
      <c r="B1819">
        <f>HYPERLINK("https://www.suredividend.com/sure-analysis-research-database/","Michaels Companies Inc")</f>
        <v>0</v>
      </c>
      <c r="C1819" t="s">
        <v>3186</v>
      </c>
      <c r="D1819">
        <v>21.97</v>
      </c>
      <c r="E1819">
        <v>0</v>
      </c>
      <c r="F1819" t="s">
        <v>3182</v>
      </c>
      <c r="G1819" t="s">
        <v>3182</v>
      </c>
      <c r="H1819">
        <v>0</v>
      </c>
      <c r="I1819">
        <v>0</v>
      </c>
      <c r="J1819">
        <v>0</v>
      </c>
      <c r="K1819">
        <v>0</v>
      </c>
    </row>
    <row r="1820" spans="1:14">
      <c r="A1820" s="1" t="s">
        <v>1832</v>
      </c>
      <c r="B1820">
        <f>HYPERLINK("https://www.suredividend.com/sure-analysis-research-database/","MIND Technology Inc")</f>
        <v>0</v>
      </c>
      <c r="C1820" t="s">
        <v>3185</v>
      </c>
      <c r="D1820">
        <v>4.75</v>
      </c>
      <c r="E1820">
        <v>0</v>
      </c>
      <c r="F1820" t="s">
        <v>3182</v>
      </c>
      <c r="G1820" t="s">
        <v>3182</v>
      </c>
      <c r="H1820">
        <v>0</v>
      </c>
      <c r="I1820">
        <v>65.496506</v>
      </c>
      <c r="J1820" t="s">
        <v>3182</v>
      </c>
      <c r="K1820">
        <v>-0</v>
      </c>
      <c r="M1820">
        <v>81</v>
      </c>
      <c r="N1820">
        <v>4.01</v>
      </c>
    </row>
    <row r="1821" spans="1:14">
      <c r="A1821" s="1" t="s">
        <v>1833</v>
      </c>
      <c r="B1821">
        <f>HYPERLINK("https://www.suredividend.com/sure-analysis-research-database/","Mitek Systems Inc")</f>
        <v>0</v>
      </c>
      <c r="C1821" t="s">
        <v>3185</v>
      </c>
      <c r="D1821">
        <v>10.64</v>
      </c>
      <c r="E1821">
        <v>0</v>
      </c>
      <c r="F1821" t="s">
        <v>3182</v>
      </c>
      <c r="G1821" t="s">
        <v>3182</v>
      </c>
      <c r="H1821">
        <v>0</v>
      </c>
      <c r="I1821">
        <v>485.073078</v>
      </c>
      <c r="J1821">
        <v>64.20556955658505</v>
      </c>
      <c r="K1821">
        <v>0</v>
      </c>
      <c r="L1821">
        <v>1.081629452318815</v>
      </c>
      <c r="M1821">
        <v>13.98</v>
      </c>
      <c r="N1821">
        <v>8.6</v>
      </c>
    </row>
    <row r="1822" spans="1:14">
      <c r="A1822" s="1" t="s">
        <v>1834</v>
      </c>
      <c r="B1822">
        <f>HYPERLINK("https://www.suredividend.com/sure-analysis-research-database/","AG Mortgage Investment Trust Inc")</f>
        <v>0</v>
      </c>
      <c r="C1822" t="s">
        <v>3187</v>
      </c>
      <c r="D1822">
        <v>5.11</v>
      </c>
      <c r="E1822">
        <v>0.148050399990437</v>
      </c>
      <c r="F1822" t="s">
        <v>3182</v>
      </c>
      <c r="G1822" t="s">
        <v>3182</v>
      </c>
      <c r="H1822">
        <v>0.756537543951135</v>
      </c>
      <c r="I1822">
        <v>103.320347</v>
      </c>
      <c r="J1822" t="s">
        <v>3182</v>
      </c>
      <c r="K1822" t="s">
        <v>3182</v>
      </c>
      <c r="L1822">
        <v>1.289869483126145</v>
      </c>
      <c r="M1822">
        <v>6.56</v>
      </c>
      <c r="N1822">
        <v>4.15</v>
      </c>
    </row>
    <row r="1823" spans="1:14">
      <c r="A1823" s="1" t="s">
        <v>1835</v>
      </c>
      <c r="B1823">
        <f>HYPERLINK("https://www.suredividend.com/sure-analysis-MKC/","McCormick &amp; Co., Inc.")</f>
        <v>0</v>
      </c>
      <c r="C1823" t="s">
        <v>3188</v>
      </c>
      <c r="D1823">
        <v>64.81999999999999</v>
      </c>
      <c r="E1823">
        <v>0.02406664609688368</v>
      </c>
      <c r="F1823">
        <v>0.05405405405405417</v>
      </c>
      <c r="G1823">
        <v>-0.07308918323692626</v>
      </c>
      <c r="H1823">
        <v>1.547729682086846</v>
      </c>
      <c r="I1823">
        <v>17387.814497</v>
      </c>
      <c r="J1823">
        <v>26.87452008785161</v>
      </c>
      <c r="K1823">
        <v>0.6448873675361859</v>
      </c>
      <c r="L1823">
        <v>0.533390879621186</v>
      </c>
      <c r="M1823">
        <v>93.40000000000001</v>
      </c>
      <c r="N1823">
        <v>59.13</v>
      </c>
    </row>
    <row r="1824" spans="1:14">
      <c r="A1824" s="1" t="s">
        <v>1836</v>
      </c>
      <c r="B1824">
        <f>HYPERLINK("https://www.suredividend.com/sure-analysis-research-database/","Markel Group Inc")</f>
        <v>0</v>
      </c>
      <c r="C1824" t="s">
        <v>3184</v>
      </c>
      <c r="D1824">
        <v>1301.3</v>
      </c>
      <c r="E1824">
        <v>0</v>
      </c>
      <c r="F1824" t="s">
        <v>3182</v>
      </c>
      <c r="G1824" t="s">
        <v>3182</v>
      </c>
      <c r="H1824">
        <v>0</v>
      </c>
      <c r="I1824">
        <v>17201.278294</v>
      </c>
      <c r="J1824">
        <v>9.122931539184057</v>
      </c>
      <c r="K1824">
        <v>0</v>
      </c>
      <c r="L1824">
        <v>0.5587979696651371</v>
      </c>
      <c r="M1824">
        <v>1560</v>
      </c>
      <c r="N1824">
        <v>1186.56</v>
      </c>
    </row>
    <row r="1825" spans="1:14">
      <c r="A1825" s="1" t="s">
        <v>1837</v>
      </c>
      <c r="B1825">
        <f>HYPERLINK("https://www.suredividend.com/sure-analysis-research-database/","MKS Instruments, Inc.")</f>
        <v>0</v>
      </c>
      <c r="C1825" t="s">
        <v>3185</v>
      </c>
      <c r="D1825">
        <v>66.16</v>
      </c>
      <c r="E1825">
        <v>0.013215170904995</v>
      </c>
      <c r="F1825">
        <v>0</v>
      </c>
      <c r="G1825">
        <v>0.01924487649145656</v>
      </c>
      <c r="H1825">
        <v>0.874315707074474</v>
      </c>
      <c r="I1825">
        <v>4423.642054</v>
      </c>
      <c r="J1825" t="s">
        <v>3182</v>
      </c>
      <c r="K1825" t="s">
        <v>3182</v>
      </c>
      <c r="L1825">
        <v>2.136915757590678</v>
      </c>
      <c r="M1825">
        <v>112.81</v>
      </c>
      <c r="N1825">
        <v>63.44</v>
      </c>
    </row>
    <row r="1826" spans="1:14">
      <c r="A1826" s="1" t="s">
        <v>1838</v>
      </c>
      <c r="B1826">
        <f>HYPERLINK("https://www.suredividend.com/sure-analysis-MKTX/","MarketAxess Holdings Inc.")</f>
        <v>0</v>
      </c>
      <c r="C1826" t="s">
        <v>3184</v>
      </c>
      <c r="D1826">
        <v>221.4</v>
      </c>
      <c r="E1826">
        <v>0.01300813008130081</v>
      </c>
      <c r="F1826">
        <v>0.02857142857142847</v>
      </c>
      <c r="G1826">
        <v>0.1138241786028791</v>
      </c>
      <c r="H1826">
        <v>2.148865482913182</v>
      </c>
      <c r="I1826">
        <v>8392.266186999999</v>
      </c>
      <c r="J1826">
        <v>33.88706092855355</v>
      </c>
      <c r="K1826">
        <v>0.3260797394405436</v>
      </c>
      <c r="L1826">
        <v>1.142722940351791</v>
      </c>
      <c r="M1826">
        <v>395.74</v>
      </c>
      <c r="N1826">
        <v>200.01</v>
      </c>
    </row>
    <row r="1827" spans="1:14">
      <c r="A1827" s="1" t="s">
        <v>1839</v>
      </c>
      <c r="B1827">
        <f>HYPERLINK("https://www.suredividend.com/sure-analysis-research-database/","Mesa Laboratories, Inc.")</f>
        <v>0</v>
      </c>
      <c r="C1827" t="s">
        <v>3185</v>
      </c>
      <c r="D1827">
        <v>90.34</v>
      </c>
      <c r="E1827">
        <v>0.007062482961134001</v>
      </c>
      <c r="F1827" t="s">
        <v>3182</v>
      </c>
      <c r="G1827" t="s">
        <v>3182</v>
      </c>
      <c r="H1827">
        <v>0.638024710708852</v>
      </c>
      <c r="I1827">
        <v>486.416849</v>
      </c>
      <c r="J1827">
        <v>267.4089328971963</v>
      </c>
      <c r="K1827">
        <v>1.889323987885259</v>
      </c>
      <c r="L1827">
        <v>0.9489637802521711</v>
      </c>
      <c r="M1827">
        <v>205.23</v>
      </c>
      <c r="N1827">
        <v>87.20999999999999</v>
      </c>
    </row>
    <row r="1828" spans="1:14">
      <c r="A1828" s="1" t="s">
        <v>1840</v>
      </c>
      <c r="B1828">
        <f>HYPERLINK("https://www.suredividend.com/sure-analysis-research-database/","Herman Miller Inc.")</f>
        <v>0</v>
      </c>
      <c r="C1828" t="s">
        <v>3183</v>
      </c>
      <c r="D1828">
        <v>39.04</v>
      </c>
      <c r="E1828">
        <v>0.019088839472353</v>
      </c>
      <c r="F1828" t="s">
        <v>3182</v>
      </c>
      <c r="G1828" t="s">
        <v>3182</v>
      </c>
      <c r="H1828">
        <v>0.7452282930006841</v>
      </c>
      <c r="I1828">
        <v>2958.202047</v>
      </c>
      <c r="J1828">
        <v>76.63735872331607</v>
      </c>
      <c r="K1828">
        <v>1.181963985726699</v>
      </c>
      <c r="M1828">
        <v>51.03</v>
      </c>
      <c r="N1828">
        <v>30.13</v>
      </c>
    </row>
    <row r="1829" spans="1:14">
      <c r="A1829" s="1" t="s">
        <v>1841</v>
      </c>
      <c r="B1829">
        <f>HYPERLINK("https://www.suredividend.com/sure-analysis-MLI/","Mueller Industries, Inc.")</f>
        <v>0</v>
      </c>
      <c r="C1829" t="s">
        <v>3183</v>
      </c>
      <c r="D1829">
        <v>39.31</v>
      </c>
      <c r="E1829">
        <v>0.01526329178326125</v>
      </c>
      <c r="F1829">
        <v>0.2000000000000002</v>
      </c>
      <c r="G1829">
        <v>0.2457309396155174</v>
      </c>
      <c r="H1829">
        <v>0.5717276752329471</v>
      </c>
      <c r="I1829">
        <v>4462.841107</v>
      </c>
      <c r="J1829">
        <v>7.168474146635291</v>
      </c>
      <c r="K1829">
        <v>0.1041398315542709</v>
      </c>
      <c r="L1829">
        <v>1.149371444575154</v>
      </c>
      <c r="M1829">
        <v>45.79</v>
      </c>
      <c r="N1829">
        <v>28.73</v>
      </c>
    </row>
    <row r="1830" spans="1:14">
      <c r="A1830" s="1" t="s">
        <v>1842</v>
      </c>
      <c r="B1830">
        <f>HYPERLINK("https://www.suredividend.com/sure-analysis-MLM/","Martin Marietta Materials, Inc.")</f>
        <v>0</v>
      </c>
      <c r="C1830" t="s">
        <v>3181</v>
      </c>
      <c r="D1830">
        <v>440.74</v>
      </c>
      <c r="E1830">
        <v>0.006715977673912057</v>
      </c>
      <c r="F1830">
        <v>0.1212121212121211</v>
      </c>
      <c r="G1830">
        <v>0.0904307661344419</v>
      </c>
      <c r="H1830">
        <v>2.713336538064684</v>
      </c>
      <c r="I1830">
        <v>27312.10996</v>
      </c>
      <c r="J1830">
        <v>28.79201977670251</v>
      </c>
      <c r="K1830">
        <v>0.1781573564060856</v>
      </c>
      <c r="L1830">
        <v>1.219901235559563</v>
      </c>
      <c r="M1830">
        <v>462.64</v>
      </c>
      <c r="N1830">
        <v>316.89</v>
      </c>
    </row>
    <row r="1831" spans="1:14">
      <c r="A1831" s="1" t="s">
        <v>1843</v>
      </c>
      <c r="B1831">
        <f>HYPERLINK("https://www.suredividend.com/sure-analysis-research-database/","Maui Land &amp; Pineapple Co., Inc.")</f>
        <v>0</v>
      </c>
      <c r="C1831" t="s">
        <v>3187</v>
      </c>
      <c r="D1831">
        <v>14.66</v>
      </c>
      <c r="E1831">
        <v>0</v>
      </c>
      <c r="F1831" t="s">
        <v>3182</v>
      </c>
      <c r="G1831" t="s">
        <v>3182</v>
      </c>
      <c r="H1831">
        <v>0</v>
      </c>
      <c r="I1831">
        <v>287.701958</v>
      </c>
      <c r="J1831" t="s">
        <v>3182</v>
      </c>
      <c r="K1831">
        <v>-0</v>
      </c>
      <c r="M1831">
        <v>15.95</v>
      </c>
      <c r="N1831">
        <v>8.31</v>
      </c>
    </row>
    <row r="1832" spans="1:14">
      <c r="A1832" s="1" t="s">
        <v>1844</v>
      </c>
      <c r="B1832">
        <f>HYPERLINK("https://www.suredividend.com/sure-analysis-MLR/","Miller Industries Inc.")</f>
        <v>0</v>
      </c>
      <c r="C1832" t="s">
        <v>3186</v>
      </c>
      <c r="D1832">
        <v>36.2</v>
      </c>
      <c r="E1832">
        <v>0.01988950276243094</v>
      </c>
      <c r="F1832">
        <v>0</v>
      </c>
      <c r="G1832">
        <v>0</v>
      </c>
      <c r="H1832">
        <v>0.714728663850414</v>
      </c>
      <c r="I1832">
        <v>414.332168</v>
      </c>
      <c r="J1832">
        <v>0</v>
      </c>
      <c r="K1832" t="s">
        <v>3182</v>
      </c>
      <c r="L1832">
        <v>0.6381753478487501</v>
      </c>
      <c r="M1832">
        <v>41.32</v>
      </c>
      <c r="N1832">
        <v>24.78</v>
      </c>
    </row>
    <row r="1833" spans="1:14">
      <c r="A1833" s="1" t="s">
        <v>1845</v>
      </c>
      <c r="B1833">
        <f>HYPERLINK("https://www.suredividend.com/sure-analysis-research-database/","Milestone Scientific Inc.")</f>
        <v>0</v>
      </c>
      <c r="C1833" t="s">
        <v>3180</v>
      </c>
      <c r="D1833">
        <v>0.862</v>
      </c>
      <c r="E1833">
        <v>0</v>
      </c>
      <c r="F1833" t="s">
        <v>3182</v>
      </c>
      <c r="G1833" t="s">
        <v>3182</v>
      </c>
      <c r="H1833">
        <v>0</v>
      </c>
      <c r="I1833">
        <v>61.490886</v>
      </c>
      <c r="J1833">
        <v>0</v>
      </c>
      <c r="K1833" t="s">
        <v>3182</v>
      </c>
      <c r="L1833">
        <v>1.120123420820206</v>
      </c>
      <c r="M1833">
        <v>1.35</v>
      </c>
      <c r="N1833">
        <v>0.405</v>
      </c>
    </row>
    <row r="1834" spans="1:14">
      <c r="A1834" s="1" t="s">
        <v>1846</v>
      </c>
      <c r="B1834">
        <f>HYPERLINK("https://www.suredividend.com/sure-analysis-research-database/","Malvern Bancorp Inc")</f>
        <v>0</v>
      </c>
      <c r="C1834" t="s">
        <v>3184</v>
      </c>
      <c r="D1834">
        <v>16.97</v>
      </c>
      <c r="E1834">
        <v>0</v>
      </c>
      <c r="F1834" t="s">
        <v>3182</v>
      </c>
      <c r="G1834" t="s">
        <v>3182</v>
      </c>
      <c r="H1834">
        <v>0</v>
      </c>
      <c r="I1834">
        <v>0</v>
      </c>
      <c r="J1834">
        <v>0</v>
      </c>
      <c r="K1834" t="s">
        <v>3182</v>
      </c>
    </row>
    <row r="1835" spans="1:14">
      <c r="A1835" s="1" t="s">
        <v>1847</v>
      </c>
      <c r="B1835">
        <f>HYPERLINK("https://www.suredividend.com/sure-analysis-research-database/","MMA Capital Holdings Inc")</f>
        <v>0</v>
      </c>
      <c r="C1835" t="s">
        <v>3184</v>
      </c>
      <c r="D1835">
        <v>27.77</v>
      </c>
      <c r="E1835">
        <v>0</v>
      </c>
      <c r="F1835" t="s">
        <v>3182</v>
      </c>
      <c r="G1835" t="s">
        <v>3182</v>
      </c>
      <c r="H1835">
        <v>0</v>
      </c>
      <c r="I1835">
        <v>0</v>
      </c>
      <c r="J1835">
        <v>0</v>
      </c>
      <c r="K1835">
        <v>0</v>
      </c>
    </row>
    <row r="1836" spans="1:14">
      <c r="A1836" s="1" t="s">
        <v>1848</v>
      </c>
      <c r="B1836">
        <f>HYPERLINK("https://www.suredividend.com/sure-analysis-MMC/","Marsh &amp; McLennan Cos., Inc.")</f>
        <v>0</v>
      </c>
      <c r="C1836" t="s">
        <v>3184</v>
      </c>
      <c r="D1836">
        <v>193.45</v>
      </c>
      <c r="E1836">
        <v>0.01468079607133626</v>
      </c>
      <c r="F1836">
        <v>0.2033898305084745</v>
      </c>
      <c r="G1836">
        <v>0.1133764999298301</v>
      </c>
      <c r="H1836">
        <v>2.586613644517013</v>
      </c>
      <c r="I1836">
        <v>95384.863325</v>
      </c>
      <c r="J1836">
        <v>27.52015675838141</v>
      </c>
      <c r="K1836">
        <v>0.3732487221525271</v>
      </c>
      <c r="L1836">
        <v>0.7818947032630721</v>
      </c>
      <c r="M1836">
        <v>198.46</v>
      </c>
      <c r="N1836">
        <v>150.21</v>
      </c>
    </row>
    <row r="1837" spans="1:14">
      <c r="A1837" s="1" t="s">
        <v>1849</v>
      </c>
      <c r="B1837">
        <f>HYPERLINK("https://www.suredividend.com/sure-analysis-research-database/","Marcus &amp; Millichap Inc")</f>
        <v>0</v>
      </c>
      <c r="C1837" t="s">
        <v>3187</v>
      </c>
      <c r="D1837">
        <v>29.67</v>
      </c>
      <c r="E1837">
        <v>0.016784685039987</v>
      </c>
      <c r="F1837" t="s">
        <v>3182</v>
      </c>
      <c r="G1837" t="s">
        <v>3182</v>
      </c>
      <c r="H1837">
        <v>0.498001605136436</v>
      </c>
      <c r="I1837">
        <v>1141.125854</v>
      </c>
      <c r="J1837">
        <v>77.35921996135855</v>
      </c>
      <c r="K1837">
        <v>1.330843412978183</v>
      </c>
      <c r="L1837">
        <v>1.207406657671972</v>
      </c>
      <c r="M1837">
        <v>38.83</v>
      </c>
      <c r="N1837">
        <v>26.81</v>
      </c>
    </row>
    <row r="1838" spans="1:14">
      <c r="A1838" s="1" t="s">
        <v>1850</v>
      </c>
      <c r="B1838">
        <f>HYPERLINK("https://www.suredividend.com/sure-analysis-MMM/","3M Co.")</f>
        <v>0</v>
      </c>
      <c r="C1838" t="s">
        <v>3183</v>
      </c>
      <c r="D1838">
        <v>92.31</v>
      </c>
      <c r="E1838">
        <v>0.06499837504062399</v>
      </c>
      <c r="F1838">
        <v>0.006711409395973256</v>
      </c>
      <c r="G1838">
        <v>0.01978934521903875</v>
      </c>
      <c r="H1838">
        <v>5.860834243365432</v>
      </c>
      <c r="I1838">
        <v>50984.385778</v>
      </c>
      <c r="J1838" t="s">
        <v>3182</v>
      </c>
      <c r="K1838" t="s">
        <v>3182</v>
      </c>
      <c r="L1838">
        <v>1.041548584502879</v>
      </c>
      <c r="M1838">
        <v>126.78</v>
      </c>
      <c r="N1838">
        <v>85.34999999999999</v>
      </c>
    </row>
    <row r="1839" spans="1:14">
      <c r="A1839" s="1" t="s">
        <v>1851</v>
      </c>
      <c r="B1839">
        <f>HYPERLINK("https://www.suredividend.com/sure-analysis-MMS/","Maximus Inc.")</f>
        <v>0</v>
      </c>
      <c r="C1839" t="s">
        <v>3183</v>
      </c>
      <c r="D1839">
        <v>75.77</v>
      </c>
      <c r="E1839">
        <v>0.01583740266596278</v>
      </c>
      <c r="F1839">
        <v>0</v>
      </c>
      <c r="G1839">
        <v>0.02292455662603032</v>
      </c>
      <c r="H1839">
        <v>1.114161003963032</v>
      </c>
      <c r="I1839">
        <v>4605.574963</v>
      </c>
      <c r="J1839">
        <v>26.82135285720941</v>
      </c>
      <c r="K1839">
        <v>0.3979146442725115</v>
      </c>
      <c r="L1839">
        <v>0.842692646305469</v>
      </c>
      <c r="M1839">
        <v>89.38</v>
      </c>
      <c r="N1839">
        <v>56.08</v>
      </c>
    </row>
    <row r="1840" spans="1:14">
      <c r="A1840" s="1" t="s">
        <v>1852</v>
      </c>
      <c r="B1840">
        <f>HYPERLINK("https://www.suredividend.com/sure-analysis-research-database/","Merit Medical Systems, Inc.")</f>
        <v>0</v>
      </c>
      <c r="C1840" t="s">
        <v>3180</v>
      </c>
      <c r="D1840">
        <v>70.63</v>
      </c>
      <c r="E1840">
        <v>0</v>
      </c>
      <c r="F1840" t="s">
        <v>3182</v>
      </c>
      <c r="G1840" t="s">
        <v>3182</v>
      </c>
      <c r="H1840">
        <v>0</v>
      </c>
      <c r="I1840">
        <v>4078.915131</v>
      </c>
      <c r="J1840">
        <v>40.71464351297126</v>
      </c>
      <c r="K1840">
        <v>0</v>
      </c>
      <c r="L1840">
        <v>0.7218136345885761</v>
      </c>
      <c r="M1840">
        <v>85.62</v>
      </c>
      <c r="N1840">
        <v>62.58</v>
      </c>
    </row>
    <row r="1841" spans="1:14">
      <c r="A1841" s="1" t="s">
        <v>1853</v>
      </c>
      <c r="B1841">
        <f>HYPERLINK("https://www.suredividend.com/sure-analysis-research-database/","Manning &amp; Napier Inc")</f>
        <v>0</v>
      </c>
      <c r="C1841" t="s">
        <v>3184</v>
      </c>
      <c r="D1841">
        <v>12.85</v>
      </c>
      <c r="E1841">
        <v>0.015464442796645</v>
      </c>
      <c r="F1841" t="s">
        <v>3182</v>
      </c>
      <c r="G1841" t="s">
        <v>3182</v>
      </c>
      <c r="H1841">
        <v>0.198718089936889</v>
      </c>
      <c r="I1841">
        <v>245.747666</v>
      </c>
      <c r="J1841">
        <v>0</v>
      </c>
      <c r="K1841" t="s">
        <v>3182</v>
      </c>
      <c r="L1841">
        <v>0.344551645190628</v>
      </c>
      <c r="M1841">
        <v>12.85</v>
      </c>
      <c r="N1841">
        <v>7.15</v>
      </c>
    </row>
    <row r="1842" spans="1:14">
      <c r="A1842" s="1" t="s">
        <v>1854</v>
      </c>
      <c r="B1842">
        <f>HYPERLINK("https://www.suredividend.com/sure-analysis-research-database/","Mallinckrodt Plc")</f>
        <v>0</v>
      </c>
      <c r="C1842" t="s">
        <v>3180</v>
      </c>
      <c r="D1842">
        <v>0.3402</v>
      </c>
      <c r="E1842">
        <v>0</v>
      </c>
      <c r="F1842" t="s">
        <v>3182</v>
      </c>
      <c r="G1842" t="s">
        <v>3182</v>
      </c>
      <c r="H1842">
        <v>0</v>
      </c>
      <c r="I1842">
        <v>4.520979</v>
      </c>
      <c r="J1842" t="s">
        <v>3182</v>
      </c>
      <c r="K1842">
        <v>-0</v>
      </c>
      <c r="M1842">
        <v>18.1</v>
      </c>
      <c r="N1842">
        <v>0.3</v>
      </c>
    </row>
    <row r="1843" spans="1:14">
      <c r="A1843" s="1" t="s">
        <v>1855</v>
      </c>
      <c r="B1843">
        <f>HYPERLINK("https://www.suredividend.com/sure-analysis-research-database/","Mannkind Corp")</f>
        <v>0</v>
      </c>
      <c r="C1843" t="s">
        <v>3180</v>
      </c>
      <c r="D1843">
        <v>3.98</v>
      </c>
      <c r="E1843">
        <v>0</v>
      </c>
      <c r="F1843" t="s">
        <v>3182</v>
      </c>
      <c r="G1843" t="s">
        <v>3182</v>
      </c>
      <c r="H1843">
        <v>0</v>
      </c>
      <c r="I1843">
        <v>1068.053624</v>
      </c>
      <c r="J1843" t="s">
        <v>3182</v>
      </c>
      <c r="K1843">
        <v>-0</v>
      </c>
      <c r="L1843">
        <v>1.193309799966792</v>
      </c>
      <c r="M1843">
        <v>5.75</v>
      </c>
      <c r="N1843">
        <v>3.43</v>
      </c>
    </row>
    <row r="1844" spans="1:14">
      <c r="A1844" s="1" t="s">
        <v>1856</v>
      </c>
      <c r="B1844">
        <f>HYPERLINK("https://www.suredividend.com/sure-analysis-research-database/","Medicinova Inc")</f>
        <v>0</v>
      </c>
      <c r="C1844" t="s">
        <v>3180</v>
      </c>
      <c r="D1844">
        <v>1.89</v>
      </c>
      <c r="E1844">
        <v>0</v>
      </c>
      <c r="F1844" t="s">
        <v>3182</v>
      </c>
      <c r="G1844" t="s">
        <v>3182</v>
      </c>
      <c r="H1844">
        <v>0</v>
      </c>
      <c r="I1844">
        <v>92.697405</v>
      </c>
      <c r="J1844">
        <v>0</v>
      </c>
      <c r="K1844" t="s">
        <v>3182</v>
      </c>
      <c r="L1844">
        <v>0.740124179893331</v>
      </c>
      <c r="M1844">
        <v>2.73</v>
      </c>
      <c r="N1844">
        <v>1.86</v>
      </c>
    </row>
    <row r="1845" spans="1:14">
      <c r="A1845" s="1" t="s">
        <v>1857</v>
      </c>
      <c r="B1845">
        <f>HYPERLINK("https://www.suredividend.com/sure-analysis-research-database/","Mach Natural Resources LP")</f>
        <v>0</v>
      </c>
      <c r="C1845" t="s">
        <v>3187</v>
      </c>
      <c r="D1845">
        <v>18.38</v>
      </c>
      <c r="E1845">
        <v>0</v>
      </c>
      <c r="F1845" t="s">
        <v>3182</v>
      </c>
      <c r="G1845" t="s">
        <v>3182</v>
      </c>
      <c r="H1845">
        <v>0</v>
      </c>
      <c r="I1845">
        <v>0</v>
      </c>
      <c r="J1845">
        <v>0</v>
      </c>
      <c r="K1845" t="s">
        <v>3182</v>
      </c>
      <c r="L1845">
        <v>-0.853453955730285</v>
      </c>
      <c r="M1845">
        <v>19.2</v>
      </c>
      <c r="N1845">
        <v>18.02</v>
      </c>
    </row>
    <row r="1846" spans="1:14">
      <c r="A1846" s="1" t="s">
        <v>1858</v>
      </c>
      <c r="B1846">
        <f>HYPERLINK("https://www.suredividend.com/sure-analysis-research-database/","Brigham Minerals Inc")</f>
        <v>0</v>
      </c>
      <c r="C1846" t="s">
        <v>3189</v>
      </c>
      <c r="D1846">
        <v>32.5</v>
      </c>
      <c r="E1846">
        <v>0.041729037640231</v>
      </c>
      <c r="F1846">
        <v>-0.6363636363636364</v>
      </c>
      <c r="G1846">
        <v>-0.1347906410308923</v>
      </c>
      <c r="H1846">
        <v>1.356193723307521</v>
      </c>
      <c r="I1846">
        <v>1847.114945</v>
      </c>
      <c r="J1846">
        <v>0</v>
      </c>
      <c r="K1846" t="s">
        <v>3182</v>
      </c>
      <c r="L1846">
        <v>0.660765023043373</v>
      </c>
      <c r="M1846">
        <v>37.79</v>
      </c>
      <c r="N1846">
        <v>19.83</v>
      </c>
    </row>
    <row r="1847" spans="1:14">
      <c r="A1847" s="1" t="s">
        <v>1859</v>
      </c>
      <c r="B1847">
        <f>HYPERLINK("https://www.suredividend.com/sure-analysis-research-database/","Monro Inc")</f>
        <v>0</v>
      </c>
      <c r="C1847" t="s">
        <v>3186</v>
      </c>
      <c r="D1847">
        <v>25.97</v>
      </c>
      <c r="E1847">
        <v>0.04225460020572101</v>
      </c>
      <c r="F1847">
        <v>0</v>
      </c>
      <c r="G1847">
        <v>0.06961037572506878</v>
      </c>
      <c r="H1847">
        <v>1.097351967342594</v>
      </c>
      <c r="I1847">
        <v>816.645037</v>
      </c>
      <c r="J1847">
        <v>23.72519789547079</v>
      </c>
      <c r="K1847">
        <v>1.02556258630149</v>
      </c>
      <c r="L1847">
        <v>0.621855964871408</v>
      </c>
      <c r="M1847">
        <v>53.75</v>
      </c>
      <c r="N1847">
        <v>22.72</v>
      </c>
    </row>
    <row r="1848" spans="1:14">
      <c r="A1848" s="1" t="s">
        <v>1860</v>
      </c>
      <c r="B1848">
        <f>HYPERLINK("https://www.suredividend.com/sure-analysis-research-database/","MainStreet Bancshares Inc")</f>
        <v>0</v>
      </c>
      <c r="C1848" t="s">
        <v>3184</v>
      </c>
      <c r="D1848">
        <v>19.81</v>
      </c>
      <c r="E1848">
        <v>0.015010105925063</v>
      </c>
      <c r="F1848" t="s">
        <v>3182</v>
      </c>
      <c r="G1848" t="s">
        <v>3182</v>
      </c>
      <c r="H1848">
        <v>0.297350198375509</v>
      </c>
      <c r="I1848">
        <v>149.067417</v>
      </c>
      <c r="J1848">
        <v>5.274482243648715</v>
      </c>
      <c r="K1848">
        <v>0.07866407364431455</v>
      </c>
      <c r="L1848">
        <v>0.6406488605535531</v>
      </c>
      <c r="M1848">
        <v>30.31</v>
      </c>
      <c r="N1848">
        <v>18.47</v>
      </c>
    </row>
    <row r="1849" spans="1:14">
      <c r="A1849" s="1" t="s">
        <v>1861</v>
      </c>
      <c r="B1849">
        <f>HYPERLINK("https://www.suredividend.com/sure-analysis-research-database/","Monster Beverage Corp.")</f>
        <v>0</v>
      </c>
      <c r="C1849" t="s">
        <v>3188</v>
      </c>
      <c r="D1849">
        <v>52.66</v>
      </c>
      <c r="E1849">
        <v>0</v>
      </c>
      <c r="F1849" t="s">
        <v>3182</v>
      </c>
      <c r="G1849" t="s">
        <v>3182</v>
      </c>
      <c r="H1849">
        <v>0</v>
      </c>
      <c r="I1849">
        <v>55162.314995</v>
      </c>
      <c r="J1849">
        <v>38.43056801458294</v>
      </c>
      <c r="K1849">
        <v>0</v>
      </c>
      <c r="L1849">
        <v>0.6829991895374451</v>
      </c>
      <c r="M1849">
        <v>60.47</v>
      </c>
      <c r="N1849">
        <v>47.13</v>
      </c>
    </row>
    <row r="1850" spans="1:14">
      <c r="A1850" s="1" t="s">
        <v>1862</v>
      </c>
      <c r="B1850">
        <f>HYPERLINK("https://www.suredividend.com/sure-analysis-research-database/","Manitex International Inc")</f>
        <v>0</v>
      </c>
      <c r="C1850" t="s">
        <v>3183</v>
      </c>
      <c r="D1850">
        <v>4.36</v>
      </c>
      <c r="E1850">
        <v>0</v>
      </c>
      <c r="F1850" t="s">
        <v>3182</v>
      </c>
      <c r="G1850" t="s">
        <v>3182</v>
      </c>
      <c r="H1850">
        <v>0</v>
      </c>
      <c r="I1850">
        <v>88.29921299999999</v>
      </c>
      <c r="J1850" t="s">
        <v>3182</v>
      </c>
      <c r="K1850">
        <v>-0</v>
      </c>
      <c r="M1850">
        <v>6.26</v>
      </c>
      <c r="N1850">
        <v>3.48</v>
      </c>
    </row>
    <row r="1851" spans="1:14">
      <c r="A1851" s="1" t="s">
        <v>1863</v>
      </c>
      <c r="B1851">
        <f>HYPERLINK("https://www.suredividend.com/sure-analysis-MO/","Altria Group Inc.")</f>
        <v>0</v>
      </c>
      <c r="C1851" t="s">
        <v>3188</v>
      </c>
      <c r="D1851">
        <v>40.67</v>
      </c>
      <c r="E1851">
        <v>0.09638554216867469</v>
      </c>
      <c r="F1851">
        <v>0.04255319148936154</v>
      </c>
      <c r="G1851">
        <v>0.04142312668144399</v>
      </c>
      <c r="H1851">
        <v>3.681720421910881</v>
      </c>
      <c r="I1851">
        <v>71930.86023200001</v>
      </c>
      <c r="J1851">
        <v>8.226310639476212</v>
      </c>
      <c r="K1851">
        <v>0.7513715146756899</v>
      </c>
      <c r="L1851">
        <v>0.348888946759032</v>
      </c>
      <c r="M1851">
        <v>48.38</v>
      </c>
      <c r="N1851">
        <v>39.07</v>
      </c>
    </row>
    <row r="1852" spans="1:14">
      <c r="A1852" s="1" t="s">
        <v>1864</v>
      </c>
      <c r="B1852">
        <f>HYPERLINK("https://www.suredividend.com/sure-analysis-research-database/","Mobile Iron Inc")</f>
        <v>0</v>
      </c>
      <c r="C1852" t="s">
        <v>3185</v>
      </c>
      <c r="D1852">
        <v>7.04</v>
      </c>
      <c r="E1852">
        <v>0</v>
      </c>
      <c r="F1852" t="s">
        <v>3182</v>
      </c>
      <c r="G1852" t="s">
        <v>3182</v>
      </c>
      <c r="H1852">
        <v>0</v>
      </c>
      <c r="I1852">
        <v>0</v>
      </c>
      <c r="J1852">
        <v>0</v>
      </c>
      <c r="K1852" t="s">
        <v>3182</v>
      </c>
    </row>
    <row r="1853" spans="1:14">
      <c r="A1853" s="1" t="s">
        <v>1865</v>
      </c>
      <c r="B1853">
        <f>HYPERLINK("https://www.suredividend.com/sure-analysis-research-database/","Modine Manufacturing Co.")</f>
        <v>0</v>
      </c>
      <c r="C1853" t="s">
        <v>3186</v>
      </c>
      <c r="D1853">
        <v>40.36</v>
      </c>
      <c r="E1853">
        <v>0</v>
      </c>
      <c r="F1853" t="s">
        <v>3182</v>
      </c>
      <c r="G1853" t="s">
        <v>3182</v>
      </c>
      <c r="H1853">
        <v>0</v>
      </c>
      <c r="I1853">
        <v>2112.263202</v>
      </c>
      <c r="J1853">
        <v>11.50470153376906</v>
      </c>
      <c r="K1853">
        <v>0</v>
      </c>
      <c r="L1853">
        <v>1.368751807078284</v>
      </c>
      <c r="M1853">
        <v>51.76</v>
      </c>
      <c r="N1853">
        <v>18.8</v>
      </c>
    </row>
    <row r="1854" spans="1:14">
      <c r="A1854" s="1" t="s">
        <v>1866</v>
      </c>
      <c r="B1854">
        <f>HYPERLINK("https://www.suredividend.com/sure-analysis-research-database/","Model N Inc")</f>
        <v>0</v>
      </c>
      <c r="C1854" t="s">
        <v>3185</v>
      </c>
      <c r="D1854">
        <v>24.65</v>
      </c>
      <c r="E1854">
        <v>0</v>
      </c>
      <c r="F1854" t="s">
        <v>3182</v>
      </c>
      <c r="G1854" t="s">
        <v>3182</v>
      </c>
      <c r="H1854">
        <v>0</v>
      </c>
      <c r="I1854">
        <v>947.4967</v>
      </c>
      <c r="J1854">
        <v>0</v>
      </c>
      <c r="K1854" t="s">
        <v>3182</v>
      </c>
      <c r="L1854">
        <v>0.5849109722643211</v>
      </c>
      <c r="M1854">
        <v>43.18</v>
      </c>
      <c r="N1854">
        <v>22.67</v>
      </c>
    </row>
    <row r="1855" spans="1:14">
      <c r="A1855" s="1" t="s">
        <v>1867</v>
      </c>
      <c r="B1855">
        <f>HYPERLINK("https://www.suredividend.com/sure-analysis-research-database/","MidWestOne Financial Group Inc")</f>
        <v>0</v>
      </c>
      <c r="C1855" t="s">
        <v>3184</v>
      </c>
      <c r="D1855">
        <v>20.69</v>
      </c>
      <c r="E1855">
        <v>0.045239706473379</v>
      </c>
      <c r="F1855">
        <v>0.02105263157894743</v>
      </c>
      <c r="G1855">
        <v>0.04456489507566408</v>
      </c>
      <c r="H1855">
        <v>0.9360095269342221</v>
      </c>
      <c r="I1855">
        <v>324.525195</v>
      </c>
      <c r="J1855">
        <v>7.493077692680674</v>
      </c>
      <c r="K1855">
        <v>0.3391338865703704</v>
      </c>
      <c r="L1855">
        <v>0.895573907395077</v>
      </c>
      <c r="M1855">
        <v>33.45</v>
      </c>
      <c r="N1855">
        <v>16.98</v>
      </c>
    </row>
    <row r="1856" spans="1:14">
      <c r="A1856" s="1" t="s">
        <v>1868</v>
      </c>
      <c r="B1856">
        <f>HYPERLINK("https://www.suredividend.com/sure-analysis-research-database/","Molina Healthcare Inc")</f>
        <v>0</v>
      </c>
      <c r="C1856" t="s">
        <v>3180</v>
      </c>
      <c r="D1856">
        <v>337.56</v>
      </c>
      <c r="E1856">
        <v>0</v>
      </c>
      <c r="F1856" t="s">
        <v>3182</v>
      </c>
      <c r="G1856" t="s">
        <v>3182</v>
      </c>
      <c r="H1856">
        <v>0</v>
      </c>
      <c r="I1856">
        <v>19679.748</v>
      </c>
      <c r="J1856">
        <v>21.13829001074114</v>
      </c>
      <c r="K1856">
        <v>0</v>
      </c>
      <c r="L1856">
        <v>0.568482950295633</v>
      </c>
      <c r="M1856">
        <v>364.91</v>
      </c>
      <c r="N1856">
        <v>256.19</v>
      </c>
    </row>
    <row r="1857" spans="1:14">
      <c r="A1857" s="1" t="s">
        <v>1869</v>
      </c>
      <c r="B1857">
        <f>HYPERLINK("https://www.suredividend.com/sure-analysis-MORN/","Morningstar Inc")</f>
        <v>0</v>
      </c>
      <c r="C1857" t="s">
        <v>3184</v>
      </c>
      <c r="D1857">
        <v>259.48</v>
      </c>
      <c r="E1857">
        <v>0.005780792353938646</v>
      </c>
      <c r="F1857">
        <v>0.04166666666666674</v>
      </c>
      <c r="G1857">
        <v>0.06016789231717423</v>
      </c>
      <c r="H1857">
        <v>1.492758919960645</v>
      </c>
      <c r="I1857">
        <v>11067.782076</v>
      </c>
      <c r="J1857">
        <v>485.4290384210526</v>
      </c>
      <c r="K1857">
        <v>2.799097918546118</v>
      </c>
      <c r="L1857">
        <v>1.060281870271953</v>
      </c>
      <c r="M1857">
        <v>260</v>
      </c>
      <c r="N1857">
        <v>162.12</v>
      </c>
    </row>
    <row r="1858" spans="1:14">
      <c r="A1858" s="1" t="s">
        <v>1870</v>
      </c>
      <c r="B1858">
        <f>HYPERLINK("https://www.suredividend.com/sure-analysis-research-database/","Mosaic Company")</f>
        <v>0</v>
      </c>
      <c r="C1858" t="s">
        <v>3181</v>
      </c>
      <c r="D1858">
        <v>33.66</v>
      </c>
      <c r="E1858">
        <v>0.02206620927398</v>
      </c>
      <c r="F1858">
        <v>0.3333333333333335</v>
      </c>
      <c r="G1858">
        <v>0.5157165665103982</v>
      </c>
      <c r="H1858">
        <v>0.742748604162193</v>
      </c>
      <c r="I1858">
        <v>11184.545103</v>
      </c>
      <c r="J1858">
        <v>5.15725785168073</v>
      </c>
      <c r="K1858">
        <v>0.1167843717236152</v>
      </c>
      <c r="L1858">
        <v>1.085415869840227</v>
      </c>
      <c r="M1858">
        <v>56.53</v>
      </c>
      <c r="N1858">
        <v>31.28</v>
      </c>
    </row>
    <row r="1859" spans="1:14">
      <c r="A1859" s="1" t="s">
        <v>1871</v>
      </c>
      <c r="B1859">
        <f>HYPERLINK("https://www.suredividend.com/sure-analysis-research-database/","Motus GI Holdings Inc")</f>
        <v>0</v>
      </c>
      <c r="C1859" t="s">
        <v>3180</v>
      </c>
      <c r="D1859">
        <v>5.65</v>
      </c>
      <c r="E1859">
        <v>0</v>
      </c>
      <c r="F1859" t="s">
        <v>3182</v>
      </c>
      <c r="G1859" t="s">
        <v>3182</v>
      </c>
      <c r="H1859">
        <v>0</v>
      </c>
      <c r="I1859">
        <v>33.298009</v>
      </c>
      <c r="J1859">
        <v>0</v>
      </c>
      <c r="K1859" t="s">
        <v>3182</v>
      </c>
      <c r="L1859">
        <v>1.279461834206625</v>
      </c>
      <c r="M1859">
        <v>29.06</v>
      </c>
      <c r="N1859">
        <v>5.38</v>
      </c>
    </row>
    <row r="1860" spans="1:14">
      <c r="A1860" s="1" t="s">
        <v>1872</v>
      </c>
      <c r="B1860">
        <f>HYPERLINK("https://www.suredividend.com/sure-analysis-research-database/","Movado Group, Inc.")</f>
        <v>0</v>
      </c>
      <c r="C1860" t="s">
        <v>3186</v>
      </c>
      <c r="D1860">
        <v>28.22</v>
      </c>
      <c r="E1860">
        <v>0.04866496471357201</v>
      </c>
      <c r="F1860" t="s">
        <v>3182</v>
      </c>
      <c r="G1860" t="s">
        <v>3182</v>
      </c>
      <c r="H1860">
        <v>1.373325304217025</v>
      </c>
      <c r="I1860">
        <v>442.01192</v>
      </c>
      <c r="J1860">
        <v>6.388471000592579</v>
      </c>
      <c r="K1860">
        <v>0.4502705915465656</v>
      </c>
      <c r="L1860">
        <v>0.919113512024137</v>
      </c>
      <c r="M1860">
        <v>35.87</v>
      </c>
      <c r="N1860">
        <v>23.62</v>
      </c>
    </row>
    <row r="1861" spans="1:14">
      <c r="A1861" s="1" t="s">
        <v>1873</v>
      </c>
      <c r="B1861">
        <f>HYPERLINK("https://www.suredividend.com/sure-analysis-research-database/","Motorcar Parts of America Inc.")</f>
        <v>0</v>
      </c>
      <c r="C1861" t="s">
        <v>3186</v>
      </c>
      <c r="D1861">
        <v>7.54</v>
      </c>
      <c r="E1861">
        <v>0</v>
      </c>
      <c r="F1861" t="s">
        <v>3182</v>
      </c>
      <c r="G1861" t="s">
        <v>3182</v>
      </c>
      <c r="H1861">
        <v>0</v>
      </c>
      <c r="I1861">
        <v>147.748977</v>
      </c>
      <c r="J1861" t="s">
        <v>3182</v>
      </c>
      <c r="K1861">
        <v>-0</v>
      </c>
      <c r="L1861">
        <v>1.464376601540351</v>
      </c>
      <c r="M1861">
        <v>19.93</v>
      </c>
      <c r="N1861">
        <v>4.26</v>
      </c>
    </row>
    <row r="1862" spans="1:14">
      <c r="A1862" s="1" t="s">
        <v>1874</v>
      </c>
      <c r="B1862">
        <f>HYPERLINK("https://www.suredividend.com/sure-analysis-research-database/","Mid Penn Bancorp, Inc.")</f>
        <v>0</v>
      </c>
      <c r="C1862" t="s">
        <v>3184</v>
      </c>
      <c r="D1862">
        <v>19.49</v>
      </c>
      <c r="E1862">
        <v>0.040312784842232</v>
      </c>
      <c r="F1862">
        <v>0</v>
      </c>
      <c r="G1862">
        <v>0.02129568760013512</v>
      </c>
      <c r="H1862">
        <v>0.785696176575104</v>
      </c>
      <c r="I1862">
        <v>323.0112</v>
      </c>
      <c r="J1862">
        <v>0</v>
      </c>
      <c r="K1862" t="s">
        <v>3182</v>
      </c>
      <c r="L1862">
        <v>0.732411687404622</v>
      </c>
      <c r="M1862">
        <v>33.35</v>
      </c>
      <c r="N1862">
        <v>17.73</v>
      </c>
    </row>
    <row r="1863" spans="1:14">
      <c r="A1863" s="1" t="s">
        <v>1875</v>
      </c>
      <c r="B1863">
        <f>HYPERLINK("https://www.suredividend.com/sure-analysis-MPC/","Marathon Petroleum Corp")</f>
        <v>0</v>
      </c>
      <c r="C1863" t="s">
        <v>3189</v>
      </c>
      <c r="D1863">
        <v>155.77</v>
      </c>
      <c r="E1863">
        <v>0.02118508056750337</v>
      </c>
      <c r="F1863">
        <v>0.2931034482758621</v>
      </c>
      <c r="G1863">
        <v>0.102708408810896</v>
      </c>
      <c r="H1863">
        <v>2.974200358234155</v>
      </c>
      <c r="I1863">
        <v>59145.444838</v>
      </c>
      <c r="J1863">
        <v>5.123479282596154</v>
      </c>
      <c r="K1863">
        <v>0.1113098936464878</v>
      </c>
      <c r="L1863">
        <v>0.697678870127537</v>
      </c>
      <c r="M1863">
        <v>159.65</v>
      </c>
      <c r="N1863">
        <v>103.21</v>
      </c>
    </row>
    <row r="1864" spans="1:14">
      <c r="A1864" s="1" t="s">
        <v>1876</v>
      </c>
      <c r="B1864">
        <f>HYPERLINK("https://www.suredividend.com/sure-analysis-MPW/","Medical Properties Trust Inc")</f>
        <v>0</v>
      </c>
      <c r="C1864" t="s">
        <v>3187</v>
      </c>
      <c r="D1864">
        <v>5.21</v>
      </c>
      <c r="E1864">
        <v>0.1151631477927063</v>
      </c>
      <c r="F1864">
        <v>-0.4827586206896551</v>
      </c>
      <c r="G1864">
        <v>-0.09711954855256577</v>
      </c>
      <c r="H1864">
        <v>0.973120642582019</v>
      </c>
      <c r="I1864">
        <v>3117.664</v>
      </c>
      <c r="J1864">
        <v>44.38777282628814</v>
      </c>
      <c r="K1864">
        <v>8.288932219608339</v>
      </c>
      <c r="L1864">
        <v>1.414612436565775</v>
      </c>
      <c r="M1864">
        <v>12.8</v>
      </c>
      <c r="N1864">
        <v>4.44</v>
      </c>
    </row>
    <row r="1865" spans="1:14">
      <c r="A1865" s="1" t="s">
        <v>1877</v>
      </c>
      <c r="B1865">
        <f>HYPERLINK("https://www.suredividend.com/sure-analysis-MPWR/","Monolithic Power System Inc")</f>
        <v>0</v>
      </c>
      <c r="C1865" t="s">
        <v>3185</v>
      </c>
      <c r="D1865">
        <v>471.72</v>
      </c>
      <c r="E1865">
        <v>0.008479606546256253</v>
      </c>
      <c r="F1865">
        <v>0.3333333333333333</v>
      </c>
      <c r="G1865">
        <v>0.2722596365393921</v>
      </c>
      <c r="H1865">
        <v>4.471681841899601</v>
      </c>
      <c r="I1865">
        <v>22563.295945</v>
      </c>
      <c r="J1865">
        <v>49.83797502050879</v>
      </c>
      <c r="K1865">
        <v>0.4797941890450215</v>
      </c>
      <c r="L1865">
        <v>2.083113315486573</v>
      </c>
      <c r="M1865">
        <v>593.28</v>
      </c>
      <c r="N1865">
        <v>332.42</v>
      </c>
    </row>
    <row r="1866" spans="1:14">
      <c r="A1866" s="1" t="s">
        <v>1878</v>
      </c>
      <c r="B1866">
        <f>HYPERLINK("https://www.suredividend.com/sure-analysis-research-database/","Marine Products Corp")</f>
        <v>0</v>
      </c>
      <c r="C1866" t="s">
        <v>3186</v>
      </c>
      <c r="D1866">
        <v>9.84</v>
      </c>
      <c r="E1866">
        <v>0.056130053786576</v>
      </c>
      <c r="F1866">
        <v>0.1666666666666667</v>
      </c>
      <c r="G1866">
        <v>0.03131030647754507</v>
      </c>
      <c r="H1866">
        <v>0.552319729259908</v>
      </c>
      <c r="I1866">
        <v>339.152584</v>
      </c>
      <c r="J1866">
        <v>7.21447742693044</v>
      </c>
      <c r="K1866">
        <v>0.3945140923285058</v>
      </c>
      <c r="L1866">
        <v>0.9590208558203691</v>
      </c>
      <c r="M1866">
        <v>17.81</v>
      </c>
      <c r="N1866">
        <v>9.359999999999999</v>
      </c>
    </row>
    <row r="1867" spans="1:14">
      <c r="A1867" s="1" t="s">
        <v>1879</v>
      </c>
      <c r="B1867">
        <f>HYPERLINK("https://www.suredividend.com/sure-analysis-research-database/","Everspin Technologies Inc")</f>
        <v>0</v>
      </c>
      <c r="C1867" t="s">
        <v>3185</v>
      </c>
      <c r="D1867">
        <v>8.359999999999999</v>
      </c>
      <c r="E1867">
        <v>0</v>
      </c>
      <c r="F1867" t="s">
        <v>3182</v>
      </c>
      <c r="G1867" t="s">
        <v>3182</v>
      </c>
      <c r="H1867">
        <v>0</v>
      </c>
      <c r="I1867">
        <v>173.888</v>
      </c>
      <c r="J1867">
        <v>24.25554470637466</v>
      </c>
      <c r="K1867">
        <v>0</v>
      </c>
      <c r="L1867">
        <v>1.079850036053204</v>
      </c>
      <c r="M1867">
        <v>10.5</v>
      </c>
      <c r="N1867">
        <v>5.15</v>
      </c>
    </row>
    <row r="1868" spans="1:14">
      <c r="A1868" s="1" t="s">
        <v>1880</v>
      </c>
      <c r="B1868">
        <f>HYPERLINK("https://www.suredividend.com/sure-analysis-research-database/","Meridian Corp")</f>
        <v>0</v>
      </c>
      <c r="C1868" t="s">
        <v>3184</v>
      </c>
      <c r="D1868">
        <v>10.22</v>
      </c>
      <c r="E1868">
        <v>0.04536131346460801</v>
      </c>
      <c r="F1868" t="s">
        <v>3182</v>
      </c>
      <c r="G1868" t="s">
        <v>3182</v>
      </c>
      <c r="H1868">
        <v>0.4635926236083001</v>
      </c>
      <c r="I1868">
        <v>114.236615</v>
      </c>
      <c r="J1868">
        <v>0</v>
      </c>
      <c r="K1868" t="s">
        <v>3182</v>
      </c>
      <c r="L1868">
        <v>0.5919273754029301</v>
      </c>
      <c r="M1868">
        <v>16.66</v>
      </c>
      <c r="N1868">
        <v>7.53</v>
      </c>
    </row>
    <row r="1869" spans="1:14">
      <c r="A1869" s="1" t="s">
        <v>1881</v>
      </c>
      <c r="B1869">
        <f>HYPERLINK("https://www.suredividend.com/sure-analysis-research-database/","MRC Global Inc")</f>
        <v>0</v>
      </c>
      <c r="C1869" t="s">
        <v>3189</v>
      </c>
      <c r="D1869">
        <v>10.88</v>
      </c>
      <c r="E1869">
        <v>0</v>
      </c>
      <c r="F1869" t="s">
        <v>3182</v>
      </c>
      <c r="G1869" t="s">
        <v>3182</v>
      </c>
      <c r="H1869">
        <v>0</v>
      </c>
      <c r="I1869">
        <v>914.04895</v>
      </c>
      <c r="J1869">
        <v>11.57023987037975</v>
      </c>
      <c r="K1869">
        <v>0</v>
      </c>
      <c r="L1869">
        <v>1.243051073943048</v>
      </c>
      <c r="M1869">
        <v>13.9</v>
      </c>
      <c r="N1869">
        <v>8.15</v>
      </c>
    </row>
    <row r="1870" spans="1:14">
      <c r="A1870" s="1" t="s">
        <v>1882</v>
      </c>
      <c r="B1870">
        <f>HYPERLINK("https://www.suredividend.com/sure-analysis-research-database/","Mercury Systems Inc")</f>
        <v>0</v>
      </c>
      <c r="C1870" t="s">
        <v>3183</v>
      </c>
      <c r="D1870">
        <v>37.08</v>
      </c>
      <c r="E1870">
        <v>0</v>
      </c>
      <c r="F1870" t="s">
        <v>3182</v>
      </c>
      <c r="G1870" t="s">
        <v>3182</v>
      </c>
      <c r="H1870">
        <v>0</v>
      </c>
      <c r="I1870">
        <v>2157.682567</v>
      </c>
      <c r="J1870" t="s">
        <v>3182</v>
      </c>
      <c r="K1870">
        <v>-0</v>
      </c>
      <c r="L1870">
        <v>1.082995335814504</v>
      </c>
      <c r="M1870">
        <v>59.13</v>
      </c>
      <c r="N1870">
        <v>28.9</v>
      </c>
    </row>
    <row r="1871" spans="1:14">
      <c r="A1871" s="1" t="s">
        <v>1883</v>
      </c>
      <c r="B1871">
        <f>HYPERLINK("https://www.suredividend.com/sure-analysis-research-database/","Marin Software Inc")</f>
        <v>0</v>
      </c>
      <c r="C1871" t="s">
        <v>3185</v>
      </c>
      <c r="D1871">
        <v>0.33</v>
      </c>
      <c r="E1871">
        <v>0</v>
      </c>
      <c r="F1871" t="s">
        <v>3182</v>
      </c>
      <c r="G1871" t="s">
        <v>3182</v>
      </c>
      <c r="H1871">
        <v>0</v>
      </c>
      <c r="I1871">
        <v>5.8707</v>
      </c>
      <c r="J1871">
        <v>0</v>
      </c>
      <c r="K1871" t="s">
        <v>3182</v>
      </c>
      <c r="L1871">
        <v>0.648543749119444</v>
      </c>
      <c r="M1871">
        <v>1.84</v>
      </c>
      <c r="N1871">
        <v>0.305</v>
      </c>
    </row>
    <row r="1872" spans="1:14">
      <c r="A1872" s="1" t="s">
        <v>1884</v>
      </c>
      <c r="B1872">
        <f>HYPERLINK("https://www.suredividend.com/sure-analysis-MRK/","Merck &amp; Co Inc")</f>
        <v>0</v>
      </c>
      <c r="C1872" t="s">
        <v>3180</v>
      </c>
      <c r="D1872">
        <v>102.85</v>
      </c>
      <c r="E1872">
        <v>0.02839086047642198</v>
      </c>
      <c r="F1872">
        <v>0.05797101449275344</v>
      </c>
      <c r="G1872">
        <v>0.05825915471090526</v>
      </c>
      <c r="H1872">
        <v>2.890573157275925</v>
      </c>
      <c r="I1872">
        <v>260984.052232</v>
      </c>
      <c r="J1872">
        <v>83.89072717185792</v>
      </c>
      <c r="K1872">
        <v>2.369322260062233</v>
      </c>
      <c r="L1872">
        <v>0.20195574338339</v>
      </c>
      <c r="M1872">
        <v>118.05</v>
      </c>
      <c r="N1872">
        <v>94.42</v>
      </c>
    </row>
    <row r="1873" spans="1:14">
      <c r="A1873" s="1" t="s">
        <v>1885</v>
      </c>
      <c r="B1873">
        <f>HYPERLINK("https://www.suredividend.com/sure-analysis-research-database/","Marker Therapeutics Inc")</f>
        <v>0</v>
      </c>
      <c r="C1873" t="s">
        <v>3180</v>
      </c>
      <c r="D1873">
        <v>3.13</v>
      </c>
      <c r="E1873">
        <v>0</v>
      </c>
      <c r="F1873" t="s">
        <v>3182</v>
      </c>
      <c r="G1873" t="s">
        <v>3182</v>
      </c>
      <c r="H1873">
        <v>0</v>
      </c>
      <c r="I1873">
        <v>27.572984</v>
      </c>
      <c r="J1873">
        <v>0</v>
      </c>
      <c r="K1873" t="s">
        <v>3182</v>
      </c>
      <c r="L1873">
        <v>0.305621516003432</v>
      </c>
      <c r="M1873">
        <v>9.68</v>
      </c>
      <c r="N1873">
        <v>0.6706000000000001</v>
      </c>
    </row>
    <row r="1874" spans="1:14">
      <c r="A1874" s="1" t="s">
        <v>1886</v>
      </c>
      <c r="B1874">
        <f>HYPERLINK("https://www.suredividend.com/sure-analysis-research-database/","Marlin Business Services Corp")</f>
        <v>0</v>
      </c>
      <c r="C1874" t="s">
        <v>3184</v>
      </c>
      <c r="D1874">
        <v>23.49</v>
      </c>
      <c r="E1874">
        <v>0</v>
      </c>
      <c r="F1874" t="s">
        <v>3182</v>
      </c>
      <c r="G1874" t="s">
        <v>3182</v>
      </c>
      <c r="H1874">
        <v>0.560000002384185</v>
      </c>
      <c r="I1874">
        <v>0</v>
      </c>
      <c r="J1874">
        <v>0</v>
      </c>
      <c r="K1874">
        <v>0.1772151906279066</v>
      </c>
    </row>
    <row r="1875" spans="1:14">
      <c r="A1875" s="1" t="s">
        <v>1887</v>
      </c>
      <c r="B1875">
        <f>HYPERLINK("https://www.suredividend.com/sure-analysis-research-database/","Marinus Pharmaceuticals Inc")</f>
        <v>0</v>
      </c>
      <c r="C1875" t="s">
        <v>3180</v>
      </c>
      <c r="D1875">
        <v>6.3</v>
      </c>
      <c r="E1875">
        <v>0</v>
      </c>
      <c r="F1875" t="s">
        <v>3182</v>
      </c>
      <c r="G1875" t="s">
        <v>3182</v>
      </c>
      <c r="H1875">
        <v>0</v>
      </c>
      <c r="I1875">
        <v>318.845073</v>
      </c>
      <c r="J1875" t="s">
        <v>3182</v>
      </c>
      <c r="K1875">
        <v>-0</v>
      </c>
      <c r="L1875">
        <v>0.737696727111923</v>
      </c>
      <c r="M1875">
        <v>11.15</v>
      </c>
      <c r="N1875">
        <v>3.47</v>
      </c>
    </row>
    <row r="1876" spans="1:14">
      <c r="A1876" s="1" t="s">
        <v>1888</v>
      </c>
      <c r="B1876">
        <f>HYPERLINK("https://www.suredividend.com/sure-analysis-research-database/","Marathon Oil Corporation")</f>
        <v>0</v>
      </c>
      <c r="C1876" t="s">
        <v>3189</v>
      </c>
      <c r="D1876">
        <v>28.02</v>
      </c>
      <c r="E1876">
        <v>0.013838047514208</v>
      </c>
      <c r="F1876" t="s">
        <v>3182</v>
      </c>
      <c r="G1876" t="s">
        <v>3182</v>
      </c>
      <c r="H1876">
        <v>0.387742091348124</v>
      </c>
      <c r="I1876">
        <v>16971.3547</v>
      </c>
      <c r="J1876">
        <v>8.294894770058651</v>
      </c>
      <c r="K1876">
        <v>0.1211694035462888</v>
      </c>
      <c r="L1876">
        <v>1.015510181098492</v>
      </c>
      <c r="M1876">
        <v>32.93</v>
      </c>
      <c r="N1876">
        <v>20.4</v>
      </c>
    </row>
    <row r="1877" spans="1:14">
      <c r="A1877" s="1" t="s">
        <v>1889</v>
      </c>
      <c r="B1877">
        <f>HYPERLINK("https://www.suredividend.com/sure-analysis-research-database/","Mersana Therapeutics Inc")</f>
        <v>0</v>
      </c>
      <c r="C1877" t="s">
        <v>3180</v>
      </c>
      <c r="D1877">
        <v>1.28</v>
      </c>
      <c r="E1877">
        <v>0</v>
      </c>
      <c r="F1877" t="s">
        <v>3182</v>
      </c>
      <c r="G1877" t="s">
        <v>3182</v>
      </c>
      <c r="H1877">
        <v>0</v>
      </c>
      <c r="I1877">
        <v>154.249332</v>
      </c>
      <c r="J1877" t="s">
        <v>3182</v>
      </c>
      <c r="K1877">
        <v>-0</v>
      </c>
      <c r="L1877">
        <v>1.353115562579085</v>
      </c>
      <c r="M1877">
        <v>9.619999999999999</v>
      </c>
      <c r="N1877">
        <v>0.8014</v>
      </c>
    </row>
    <row r="1878" spans="1:14">
      <c r="A1878" s="1" t="s">
        <v>1890</v>
      </c>
      <c r="B1878">
        <f>HYPERLINK("https://www.suredividend.com/sure-analysis-research-database/","Marten Transport, Ltd.")</f>
        <v>0</v>
      </c>
      <c r="C1878" t="s">
        <v>3183</v>
      </c>
      <c r="D1878">
        <v>17.73</v>
      </c>
      <c r="E1878">
        <v>0.013430796495341</v>
      </c>
      <c r="F1878">
        <v>0</v>
      </c>
      <c r="G1878">
        <v>-0.3790629432855802</v>
      </c>
      <c r="H1878">
        <v>0.238128021862396</v>
      </c>
      <c r="I1878">
        <v>1441.475028</v>
      </c>
      <c r="J1878">
        <v>15.08829161405125</v>
      </c>
      <c r="K1878">
        <v>0.2035282238140137</v>
      </c>
      <c r="L1878">
        <v>0.858263466327681</v>
      </c>
      <c r="M1878">
        <v>23.24</v>
      </c>
      <c r="N1878">
        <v>17.34</v>
      </c>
    </row>
    <row r="1879" spans="1:14">
      <c r="A1879" s="1" t="s">
        <v>1891</v>
      </c>
      <c r="B1879">
        <f>HYPERLINK("https://www.suredividend.com/sure-analysis-research-database/","Mirati Therapeutics Inc")</f>
        <v>0</v>
      </c>
      <c r="C1879" t="s">
        <v>3180</v>
      </c>
      <c r="D1879">
        <v>55.7</v>
      </c>
      <c r="E1879">
        <v>0</v>
      </c>
      <c r="F1879" t="s">
        <v>3182</v>
      </c>
      <c r="G1879" t="s">
        <v>3182</v>
      </c>
      <c r="H1879">
        <v>0</v>
      </c>
      <c r="I1879">
        <v>3264.262128</v>
      </c>
      <c r="J1879" t="s">
        <v>3182</v>
      </c>
      <c r="K1879">
        <v>-0</v>
      </c>
      <c r="L1879">
        <v>1.017458270563485</v>
      </c>
      <c r="M1879">
        <v>101.3</v>
      </c>
      <c r="N1879">
        <v>27.3</v>
      </c>
    </row>
    <row r="1880" spans="1:14">
      <c r="A1880" s="1" t="s">
        <v>1892</v>
      </c>
      <c r="B1880">
        <f>HYPERLINK("https://www.suredividend.com/sure-analysis-research-database/","Marvell Technology Inc")</f>
        <v>0</v>
      </c>
      <c r="C1880" t="s">
        <v>3185</v>
      </c>
      <c r="D1880">
        <v>48.9</v>
      </c>
      <c r="E1880">
        <v>0.004892971651158</v>
      </c>
      <c r="F1880">
        <v>0</v>
      </c>
      <c r="G1880">
        <v>0</v>
      </c>
      <c r="H1880">
        <v>0.239266313741627</v>
      </c>
      <c r="I1880">
        <v>42190.92</v>
      </c>
      <c r="J1880" t="s">
        <v>3182</v>
      </c>
      <c r="K1880" t="s">
        <v>3182</v>
      </c>
      <c r="L1880">
        <v>2.477607108607383</v>
      </c>
      <c r="M1880">
        <v>67.7</v>
      </c>
      <c r="N1880">
        <v>33.56</v>
      </c>
    </row>
    <row r="1881" spans="1:14">
      <c r="A1881" s="1" t="s">
        <v>1893</v>
      </c>
      <c r="B1881">
        <f>HYPERLINK("https://www.suredividend.com/sure-analysis-MS/","Morgan Stanley")</f>
        <v>0</v>
      </c>
      <c r="C1881" t="s">
        <v>3184</v>
      </c>
      <c r="D1881">
        <v>73.45999999999999</v>
      </c>
      <c r="E1881">
        <v>0.04628369180506398</v>
      </c>
      <c r="F1881">
        <v>0.09677419354838701</v>
      </c>
      <c r="G1881">
        <v>0.2315712275705608</v>
      </c>
      <c r="H1881">
        <v>3.200475556945671</v>
      </c>
      <c r="I1881">
        <v>121720.764967</v>
      </c>
      <c r="J1881">
        <v>12.82351084774547</v>
      </c>
      <c r="K1881">
        <v>0.5634640065045196</v>
      </c>
      <c r="L1881">
        <v>1.112607339166269</v>
      </c>
      <c r="M1881">
        <v>98.01000000000001</v>
      </c>
      <c r="N1881">
        <v>69.34</v>
      </c>
    </row>
    <row r="1882" spans="1:14">
      <c r="A1882" s="1" t="s">
        <v>1894</v>
      </c>
      <c r="B1882">
        <f>HYPERLINK("https://www.suredividend.com/sure-analysis-MSA/","MSA Safety Inc")</f>
        <v>0</v>
      </c>
      <c r="C1882" t="s">
        <v>3183</v>
      </c>
      <c r="D1882">
        <v>159.09</v>
      </c>
      <c r="E1882">
        <v>0.01181721038405934</v>
      </c>
      <c r="F1882">
        <v>0.02173913043478271</v>
      </c>
      <c r="G1882">
        <v>0.04342887836291887</v>
      </c>
      <c r="H1882">
        <v>1.8518054276975</v>
      </c>
      <c r="I1882">
        <v>6254.017694</v>
      </c>
      <c r="J1882">
        <v>186.159181258223</v>
      </c>
      <c r="K1882">
        <v>2.169914960976681</v>
      </c>
      <c r="L1882">
        <v>0.7110873995550341</v>
      </c>
      <c r="M1882">
        <v>185.57</v>
      </c>
      <c r="N1882">
        <v>121.85</v>
      </c>
    </row>
    <row r="1883" spans="1:14">
      <c r="A1883" s="1" t="s">
        <v>1895</v>
      </c>
      <c r="B1883">
        <f>HYPERLINK("https://www.suredividend.com/sure-analysis-research-database/","Midland States Bancorp Inc")</f>
        <v>0</v>
      </c>
      <c r="C1883" t="s">
        <v>3184</v>
      </c>
      <c r="D1883">
        <v>22.57</v>
      </c>
      <c r="E1883">
        <v>0.051060880374849</v>
      </c>
      <c r="F1883">
        <v>0.03448275862068995</v>
      </c>
      <c r="G1883">
        <v>0.04347464881001173</v>
      </c>
      <c r="H1883">
        <v>1.152444070060351</v>
      </c>
      <c r="I1883">
        <v>491.943258</v>
      </c>
      <c r="J1883">
        <v>5.340533663138468</v>
      </c>
      <c r="K1883">
        <v>0.2804000170463141</v>
      </c>
      <c r="L1883">
        <v>0.817598384612075</v>
      </c>
      <c r="M1883">
        <v>26.77</v>
      </c>
      <c r="N1883">
        <v>17.25</v>
      </c>
    </row>
    <row r="1884" spans="1:14">
      <c r="A1884" s="1" t="s">
        <v>1896</v>
      </c>
      <c r="B1884">
        <f>HYPERLINK("https://www.suredividend.com/sure-analysis-research-database/","MSCI Inc")</f>
        <v>0</v>
      </c>
      <c r="C1884" t="s">
        <v>3184</v>
      </c>
      <c r="D1884">
        <v>487.02</v>
      </c>
      <c r="E1884">
        <v>0.011024677440676</v>
      </c>
      <c r="F1884">
        <v>0.1039999999999999</v>
      </c>
      <c r="G1884">
        <v>0.1892967129828251</v>
      </c>
      <c r="H1884">
        <v>5.369238407158189</v>
      </c>
      <c r="I1884">
        <v>38518.991354</v>
      </c>
      <c r="J1884">
        <v>40.11630215677637</v>
      </c>
      <c r="K1884">
        <v>0.4478097086870883</v>
      </c>
      <c r="L1884">
        <v>1.470160415968419</v>
      </c>
      <c r="M1884">
        <v>568.01</v>
      </c>
      <c r="N1884">
        <v>446.47</v>
      </c>
    </row>
    <row r="1885" spans="1:14">
      <c r="A1885" s="1" t="s">
        <v>1897</v>
      </c>
      <c r="B1885">
        <f>HYPERLINK("https://www.suredividend.com/sure-analysis-MSEX/","Middlesex Water Co.")</f>
        <v>0</v>
      </c>
      <c r="C1885" t="s">
        <v>3190</v>
      </c>
      <c r="D1885">
        <v>65.66</v>
      </c>
      <c r="E1885">
        <v>0.01964666463600366</v>
      </c>
      <c r="F1885">
        <v>0.07758620689655182</v>
      </c>
      <c r="G1885">
        <v>0.054211515856875</v>
      </c>
      <c r="H1885">
        <v>1.239007510648749</v>
      </c>
      <c r="I1885">
        <v>1165.31779</v>
      </c>
      <c r="J1885">
        <v>31.40171895122608</v>
      </c>
      <c r="K1885">
        <v>0.5928265601190187</v>
      </c>
      <c r="L1885">
        <v>0.7518235746360451</v>
      </c>
      <c r="M1885">
        <v>94.33</v>
      </c>
      <c r="N1885">
        <v>61.67</v>
      </c>
    </row>
    <row r="1886" spans="1:14">
      <c r="A1886" s="1" t="s">
        <v>1898</v>
      </c>
      <c r="B1886">
        <f>HYPERLINK("https://www.suredividend.com/sure-analysis-MSFT/","Microsoft Corporation")</f>
        <v>0</v>
      </c>
      <c r="C1886" t="s">
        <v>3185</v>
      </c>
      <c r="D1886">
        <v>348.32</v>
      </c>
      <c r="E1886">
        <v>0.008612769866789159</v>
      </c>
      <c r="F1886">
        <v>0.09677419354838723</v>
      </c>
      <c r="G1886">
        <v>0.08130999208865752</v>
      </c>
      <c r="H1886">
        <v>2.71103827948615</v>
      </c>
      <c r="I1886">
        <v>2588805.614437</v>
      </c>
      <c r="J1886">
        <v>33.57898742395559</v>
      </c>
      <c r="K1886">
        <v>0.2624432022735866</v>
      </c>
      <c r="L1886">
        <v>1.294009584958982</v>
      </c>
      <c r="M1886">
        <v>366.01</v>
      </c>
      <c r="N1886">
        <v>211.39</v>
      </c>
    </row>
    <row r="1887" spans="1:14">
      <c r="A1887" s="1" t="s">
        <v>1899</v>
      </c>
      <c r="B1887">
        <f>HYPERLINK("https://www.suredividend.com/sure-analysis-research-database/","MSG Networks Inc")</f>
        <v>0</v>
      </c>
      <c r="C1887" t="s">
        <v>3191</v>
      </c>
      <c r="D1887">
        <v>14.17</v>
      </c>
      <c r="E1887">
        <v>0</v>
      </c>
      <c r="F1887" t="s">
        <v>3182</v>
      </c>
      <c r="G1887" t="s">
        <v>3182</v>
      </c>
      <c r="H1887">
        <v>0</v>
      </c>
      <c r="I1887">
        <v>615.8265</v>
      </c>
      <c r="J1887">
        <v>3.458980434404084</v>
      </c>
      <c r="K1887">
        <v>0</v>
      </c>
      <c r="L1887">
        <v>0.546654455266538</v>
      </c>
      <c r="M1887">
        <v>20.9</v>
      </c>
      <c r="N1887">
        <v>8.57</v>
      </c>
    </row>
    <row r="1888" spans="1:14">
      <c r="A1888" s="1" t="s">
        <v>1900</v>
      </c>
      <c r="B1888">
        <f>HYPERLINK("https://www.suredividend.com/sure-analysis-research-database/","Motorola Solutions Inc")</f>
        <v>0</v>
      </c>
      <c r="C1888" t="s">
        <v>3185</v>
      </c>
      <c r="D1888">
        <v>281.17</v>
      </c>
      <c r="E1888">
        <v>0.01245952488111</v>
      </c>
      <c r="F1888">
        <v>0.1139240506329113</v>
      </c>
      <c r="G1888">
        <v>0.09074081189572203</v>
      </c>
      <c r="H1888">
        <v>3.503244610821807</v>
      </c>
      <c r="I1888">
        <v>46955.39</v>
      </c>
      <c r="J1888">
        <v>30.95279499011206</v>
      </c>
      <c r="K1888">
        <v>0.3976441101954378</v>
      </c>
      <c r="L1888">
        <v>0.667920121440106</v>
      </c>
      <c r="M1888">
        <v>297.55</v>
      </c>
      <c r="N1888">
        <v>240.89</v>
      </c>
    </row>
    <row r="1889" spans="1:14">
      <c r="A1889" s="1" t="s">
        <v>1901</v>
      </c>
      <c r="B1889">
        <f>HYPERLINK("https://www.suredividend.com/sure-analysis-MSM/","MSC Industrial Direct Co., Inc.")</f>
        <v>0</v>
      </c>
      <c r="C1889" t="s">
        <v>3183</v>
      </c>
      <c r="D1889">
        <v>96.97</v>
      </c>
      <c r="E1889">
        <v>0.03423739300814685</v>
      </c>
      <c r="F1889">
        <v>0.05333333333333345</v>
      </c>
      <c r="G1889">
        <v>0.04630260927690055</v>
      </c>
      <c r="H1889">
        <v>3.117909689448295</v>
      </c>
      <c r="I1889">
        <v>5550.705152</v>
      </c>
      <c r="J1889">
        <v>16.17182832641383</v>
      </c>
      <c r="K1889">
        <v>0.5102961848524215</v>
      </c>
      <c r="L1889">
        <v>0.8347007893903871</v>
      </c>
      <c r="M1889">
        <v>105.77</v>
      </c>
      <c r="N1889">
        <v>74.66</v>
      </c>
    </row>
    <row r="1890" spans="1:14">
      <c r="A1890" s="1" t="s">
        <v>1902</v>
      </c>
      <c r="B1890">
        <f>HYPERLINK("https://www.suredividend.com/sure-analysis-research-database/","Emerson Radio Corp.")</f>
        <v>0</v>
      </c>
      <c r="C1890" t="s">
        <v>3185</v>
      </c>
      <c r="D1890">
        <v>0.55</v>
      </c>
      <c r="E1890">
        <v>0</v>
      </c>
      <c r="F1890" t="s">
        <v>3182</v>
      </c>
      <c r="G1890" t="s">
        <v>3182</v>
      </c>
      <c r="H1890">
        <v>0</v>
      </c>
      <c r="I1890">
        <v>11.573459</v>
      </c>
      <c r="J1890" t="s">
        <v>3182</v>
      </c>
      <c r="K1890">
        <v>-0</v>
      </c>
      <c r="L1890">
        <v>0.091710188666868</v>
      </c>
      <c r="M1890">
        <v>0.6574</v>
      </c>
      <c r="N1890">
        <v>0.51</v>
      </c>
    </row>
    <row r="1891" spans="1:14">
      <c r="A1891" s="1" t="s">
        <v>1903</v>
      </c>
      <c r="B1891">
        <f>HYPERLINK("https://www.suredividend.com/sure-analysis-research-database/","Misonix Inc")</f>
        <v>0</v>
      </c>
      <c r="C1891" t="s">
        <v>3180</v>
      </c>
      <c r="D1891">
        <v>26.54</v>
      </c>
      <c r="E1891">
        <v>0</v>
      </c>
      <c r="F1891" t="s">
        <v>3182</v>
      </c>
      <c r="G1891" t="s">
        <v>3182</v>
      </c>
      <c r="H1891">
        <v>0</v>
      </c>
      <c r="I1891">
        <v>0</v>
      </c>
      <c r="J1891">
        <v>0</v>
      </c>
      <c r="K1891">
        <v>-0</v>
      </c>
    </row>
    <row r="1892" spans="1:14">
      <c r="A1892" s="1" t="s">
        <v>1904</v>
      </c>
      <c r="B1892">
        <f>HYPERLINK("https://www.suredividend.com/sure-analysis-research-database/","Microstrategy Inc.")</f>
        <v>0</v>
      </c>
      <c r="C1892" t="s">
        <v>3185</v>
      </c>
      <c r="D1892">
        <v>453.63</v>
      </c>
      <c r="E1892">
        <v>0</v>
      </c>
      <c r="F1892" t="s">
        <v>3182</v>
      </c>
      <c r="G1892" t="s">
        <v>3182</v>
      </c>
      <c r="H1892">
        <v>0</v>
      </c>
      <c r="I1892">
        <v>6390.124318</v>
      </c>
      <c r="J1892">
        <v>30.91676496806781</v>
      </c>
      <c r="K1892">
        <v>0</v>
      </c>
      <c r="L1892">
        <v>2.259315157834693</v>
      </c>
      <c r="M1892">
        <v>475.09</v>
      </c>
      <c r="N1892">
        <v>132.56</v>
      </c>
    </row>
    <row r="1893" spans="1:14">
      <c r="A1893" s="1" t="s">
        <v>1905</v>
      </c>
      <c r="B1893">
        <f>HYPERLINK("https://www.suredividend.com/sure-analysis-MTB/","M &amp; T Bank Corp")</f>
        <v>0</v>
      </c>
      <c r="C1893" t="s">
        <v>3184</v>
      </c>
      <c r="D1893">
        <v>118.45</v>
      </c>
      <c r="E1893">
        <v>0.04390037990713381</v>
      </c>
      <c r="F1893">
        <v>0.08333333333333348</v>
      </c>
      <c r="G1893">
        <v>0.05387395206178347</v>
      </c>
      <c r="H1893">
        <v>5.025144939644068</v>
      </c>
      <c r="I1893">
        <v>19656.615934</v>
      </c>
      <c r="J1893">
        <v>6.835486082626948</v>
      </c>
      <c r="K1893">
        <v>0.298405281451548</v>
      </c>
      <c r="L1893">
        <v>1.042964747609358</v>
      </c>
      <c r="M1893">
        <v>166.41</v>
      </c>
      <c r="N1893">
        <v>107.11</v>
      </c>
    </row>
    <row r="1894" spans="1:14">
      <c r="A1894" s="1" t="s">
        <v>1906</v>
      </c>
      <c r="B1894">
        <f>HYPERLINK("https://www.suredividend.com/sure-analysis-research-database/","Match Group Inc.")</f>
        <v>0</v>
      </c>
      <c r="C1894" t="s">
        <v>3191</v>
      </c>
      <c r="D1894">
        <v>29.18</v>
      </c>
      <c r="E1894">
        <v>0</v>
      </c>
      <c r="F1894" t="s">
        <v>3182</v>
      </c>
      <c r="G1894" t="s">
        <v>3182</v>
      </c>
      <c r="H1894">
        <v>0</v>
      </c>
      <c r="I1894">
        <v>8114.571511</v>
      </c>
      <c r="J1894">
        <v>17.21285784780188</v>
      </c>
      <c r="K1894">
        <v>0</v>
      </c>
      <c r="L1894">
        <v>1.638210884864303</v>
      </c>
      <c r="M1894">
        <v>54.6</v>
      </c>
      <c r="N1894">
        <v>27.85</v>
      </c>
    </row>
    <row r="1895" spans="1:14">
      <c r="A1895" s="1" t="s">
        <v>1907</v>
      </c>
      <c r="B1895">
        <f>HYPERLINK("https://www.suredividend.com/sure-analysis-research-database/","Mettler-Toledo International, Inc.")</f>
        <v>0</v>
      </c>
      <c r="C1895" t="s">
        <v>3180</v>
      </c>
      <c r="D1895">
        <v>991.21</v>
      </c>
      <c r="E1895">
        <v>0</v>
      </c>
      <c r="F1895" t="s">
        <v>3182</v>
      </c>
      <c r="G1895" t="s">
        <v>3182</v>
      </c>
      <c r="H1895">
        <v>0</v>
      </c>
      <c r="I1895">
        <v>21672.62625</v>
      </c>
      <c r="J1895">
        <v>24.38458191166808</v>
      </c>
      <c r="K1895">
        <v>0</v>
      </c>
      <c r="L1895">
        <v>1.072062056225073</v>
      </c>
      <c r="M1895">
        <v>1615.97</v>
      </c>
      <c r="N1895">
        <v>928.5</v>
      </c>
    </row>
    <row r="1896" spans="1:14">
      <c r="A1896" s="1" t="s">
        <v>1908</v>
      </c>
      <c r="B1896">
        <f>HYPERLINK("https://www.suredividend.com/sure-analysis-research-database/","Matador Resources Co")</f>
        <v>0</v>
      </c>
      <c r="C1896" t="s">
        <v>3189</v>
      </c>
      <c r="D1896">
        <v>63.22</v>
      </c>
      <c r="E1896">
        <v>0.008665925850329001</v>
      </c>
      <c r="F1896" t="s">
        <v>3182</v>
      </c>
      <c r="G1896" t="s">
        <v>3182</v>
      </c>
      <c r="H1896">
        <v>0.5478598322578131</v>
      </c>
      <c r="I1896">
        <v>7532.552365</v>
      </c>
      <c r="J1896">
        <v>8.910814826688371</v>
      </c>
      <c r="K1896">
        <v>0.07782099890025754</v>
      </c>
      <c r="L1896">
        <v>1.34585331541187</v>
      </c>
      <c r="M1896">
        <v>73.04000000000001</v>
      </c>
      <c r="N1896">
        <v>41.79</v>
      </c>
    </row>
    <row r="1897" spans="1:14">
      <c r="A1897" s="1" t="s">
        <v>1909</v>
      </c>
      <c r="B1897">
        <f>HYPERLINK("https://www.suredividend.com/sure-analysis-research-database/","Molecular Templates Inc")</f>
        <v>0</v>
      </c>
      <c r="C1897" t="s">
        <v>3180</v>
      </c>
      <c r="D1897">
        <v>4.91</v>
      </c>
      <c r="E1897">
        <v>0</v>
      </c>
      <c r="F1897" t="s">
        <v>3182</v>
      </c>
      <c r="G1897" t="s">
        <v>3182</v>
      </c>
      <c r="H1897">
        <v>0</v>
      </c>
      <c r="I1897">
        <v>395.808927</v>
      </c>
      <c r="J1897" t="s">
        <v>3182</v>
      </c>
      <c r="K1897">
        <v>-0</v>
      </c>
      <c r="M1897">
        <v>9.869999999999999</v>
      </c>
      <c r="N1897">
        <v>4.56</v>
      </c>
    </row>
    <row r="1898" spans="1:14">
      <c r="A1898" s="1" t="s">
        <v>1910</v>
      </c>
      <c r="B1898">
        <f>HYPERLINK("https://www.suredividend.com/sure-analysis-research-database/","Mannatech Inc")</f>
        <v>0</v>
      </c>
      <c r="C1898" t="s">
        <v>3188</v>
      </c>
      <c r="D1898">
        <v>8.7585</v>
      </c>
      <c r="E1898">
        <v>0.04415834969013201</v>
      </c>
      <c r="F1898">
        <v>0</v>
      </c>
      <c r="G1898">
        <v>0.09856054330611785</v>
      </c>
      <c r="H1898">
        <v>0.386760905761025</v>
      </c>
      <c r="I1898">
        <v>16.33356</v>
      </c>
      <c r="J1898" t="s">
        <v>3182</v>
      </c>
      <c r="K1898" t="s">
        <v>3182</v>
      </c>
      <c r="M1898">
        <v>23.43</v>
      </c>
      <c r="N1898">
        <v>8</v>
      </c>
    </row>
    <row r="1899" spans="1:14">
      <c r="A1899" s="1" t="s">
        <v>1911</v>
      </c>
      <c r="B1899">
        <f>HYPERLINK("https://www.suredividend.com/sure-analysis-research-database/","MGIC Investment Corp")</f>
        <v>0</v>
      </c>
      <c r="C1899" t="s">
        <v>3184</v>
      </c>
      <c r="D1899">
        <v>17.2</v>
      </c>
      <c r="E1899">
        <v>0.023898427687646</v>
      </c>
      <c r="F1899" t="s">
        <v>3182</v>
      </c>
      <c r="G1899" t="s">
        <v>3182</v>
      </c>
      <c r="H1899">
        <v>0.411052956227527</v>
      </c>
      <c r="I1899">
        <v>4769.75663</v>
      </c>
      <c r="J1899">
        <v>6.625692649967773</v>
      </c>
      <c r="K1899">
        <v>0.1670946976534663</v>
      </c>
      <c r="L1899">
        <v>0.8799265894208381</v>
      </c>
      <c r="M1899">
        <v>18.25</v>
      </c>
      <c r="N1899">
        <v>12</v>
      </c>
    </row>
    <row r="1900" spans="1:14">
      <c r="A1900" s="1" t="s">
        <v>1912</v>
      </c>
      <c r="B1900">
        <f>HYPERLINK("https://www.suredividend.com/sure-analysis-research-database/","Meritage Homes Corp.")</f>
        <v>0</v>
      </c>
      <c r="C1900" t="s">
        <v>3186</v>
      </c>
      <c r="D1900">
        <v>127.14</v>
      </c>
      <c r="E1900">
        <v>0.006357791081281001</v>
      </c>
      <c r="F1900" t="s">
        <v>3182</v>
      </c>
      <c r="G1900" t="s">
        <v>3182</v>
      </c>
      <c r="H1900">
        <v>0.808329558074086</v>
      </c>
      <c r="I1900">
        <v>4634.241049</v>
      </c>
      <c r="J1900">
        <v>5.497379033512813</v>
      </c>
      <c r="K1900">
        <v>0.03553096958567411</v>
      </c>
      <c r="L1900">
        <v>1.307472376991236</v>
      </c>
      <c r="M1900">
        <v>152.23</v>
      </c>
      <c r="N1900">
        <v>70.95999999999999</v>
      </c>
    </row>
    <row r="1901" spans="1:14">
      <c r="A1901" s="1" t="s">
        <v>1913</v>
      </c>
      <c r="B1901">
        <f>HYPERLINK("https://www.suredividend.com/sure-analysis-research-database/","Vail Resorts Inc.")</f>
        <v>0</v>
      </c>
      <c r="C1901" t="s">
        <v>3186</v>
      </c>
      <c r="D1901">
        <v>218.23</v>
      </c>
      <c r="E1901">
        <v>0.036568557637284</v>
      </c>
      <c r="F1901" t="s">
        <v>3182</v>
      </c>
      <c r="G1901" t="s">
        <v>3182</v>
      </c>
      <c r="H1901">
        <v>7.980356333184542</v>
      </c>
      <c r="I1901">
        <v>8325.370623000001</v>
      </c>
      <c r="J1901">
        <v>31.04767002744753</v>
      </c>
      <c r="K1901">
        <v>1.184029129552603</v>
      </c>
      <c r="L1901">
        <v>1.036572685467984</v>
      </c>
      <c r="M1901">
        <v>260.06</v>
      </c>
      <c r="N1901">
        <v>203.61</v>
      </c>
    </row>
    <row r="1902" spans="1:14">
      <c r="A1902" s="1" t="s">
        <v>1914</v>
      </c>
      <c r="B1902">
        <f>HYPERLINK("https://www.suredividend.com/sure-analysis-research-database/","Matinas Biopharma Holdings Inc")</f>
        <v>0</v>
      </c>
      <c r="C1902" t="s">
        <v>3180</v>
      </c>
      <c r="D1902">
        <v>0.2125</v>
      </c>
      <c r="E1902">
        <v>0</v>
      </c>
      <c r="F1902" t="s">
        <v>3182</v>
      </c>
      <c r="G1902" t="s">
        <v>3182</v>
      </c>
      <c r="H1902">
        <v>0</v>
      </c>
      <c r="I1902">
        <v>46.168712</v>
      </c>
      <c r="J1902">
        <v>0</v>
      </c>
      <c r="K1902" t="s">
        <v>3182</v>
      </c>
      <c r="L1902">
        <v>1.876058732394356</v>
      </c>
      <c r="M1902">
        <v>0.89</v>
      </c>
      <c r="N1902">
        <v>0.1103</v>
      </c>
    </row>
    <row r="1903" spans="1:14">
      <c r="A1903" s="1" t="s">
        <v>1915</v>
      </c>
      <c r="B1903">
        <f>HYPERLINK("https://www.suredividend.com/sure-analysis-research-database/","Meritor Inc")</f>
        <v>0</v>
      </c>
      <c r="C1903" t="s">
        <v>3186</v>
      </c>
      <c r="D1903">
        <v>36.5</v>
      </c>
      <c r="E1903">
        <v>0</v>
      </c>
      <c r="F1903" t="s">
        <v>3182</v>
      </c>
      <c r="G1903" t="s">
        <v>3182</v>
      </c>
      <c r="H1903">
        <v>0</v>
      </c>
      <c r="I1903">
        <v>2586.229364</v>
      </c>
      <c r="J1903">
        <v>11.75558801590909</v>
      </c>
      <c r="K1903">
        <v>0</v>
      </c>
      <c r="L1903">
        <v>0.264769734473721</v>
      </c>
      <c r="M1903">
        <v>36.5</v>
      </c>
      <c r="N1903">
        <v>20.5</v>
      </c>
    </row>
    <row r="1904" spans="1:14">
      <c r="A1904" s="1" t="s">
        <v>1916</v>
      </c>
      <c r="B1904">
        <f>HYPERLINK("https://www.suredividend.com/sure-analysis-research-database/","Materion Corp")</f>
        <v>0</v>
      </c>
      <c r="C1904" t="s">
        <v>3181</v>
      </c>
      <c r="D1904">
        <v>106.13</v>
      </c>
      <c r="E1904">
        <v>0.004796832221372001</v>
      </c>
      <c r="F1904">
        <v>0.04000000000000004</v>
      </c>
      <c r="G1904">
        <v>0.04364022715043592</v>
      </c>
      <c r="H1904">
        <v>0.5090878036542821</v>
      </c>
      <c r="I1904">
        <v>2190.179127</v>
      </c>
      <c r="J1904">
        <v>22.26108518020857</v>
      </c>
      <c r="K1904">
        <v>0.107857585519975</v>
      </c>
      <c r="L1904">
        <v>1.064617693349235</v>
      </c>
      <c r="M1904">
        <v>123.26</v>
      </c>
      <c r="N1904">
        <v>70.93000000000001</v>
      </c>
    </row>
    <row r="1905" spans="1:14">
      <c r="A1905" s="1" t="s">
        <v>1917</v>
      </c>
      <c r="B1905">
        <f>HYPERLINK("https://www.suredividend.com/sure-analysis-research-database/","Matrix Service Co.")</f>
        <v>0</v>
      </c>
      <c r="C1905" t="s">
        <v>3189</v>
      </c>
      <c r="D1905">
        <v>11.86</v>
      </c>
      <c r="E1905">
        <v>0</v>
      </c>
      <c r="F1905" t="s">
        <v>3182</v>
      </c>
      <c r="G1905" t="s">
        <v>3182</v>
      </c>
      <c r="H1905">
        <v>0</v>
      </c>
      <c r="I1905">
        <v>322.708679</v>
      </c>
      <c r="J1905" t="s">
        <v>3182</v>
      </c>
      <c r="K1905">
        <v>-0</v>
      </c>
      <c r="L1905">
        <v>0.603338145880966</v>
      </c>
      <c r="M1905">
        <v>12.99</v>
      </c>
      <c r="N1905">
        <v>4.57</v>
      </c>
    </row>
    <row r="1906" spans="1:14">
      <c r="A1906" s="1" t="s">
        <v>1918</v>
      </c>
      <c r="B1906">
        <f>HYPERLINK("https://www.suredividend.com/sure-analysis-research-database/","MTS Systems Corp.")</f>
        <v>0</v>
      </c>
      <c r="C1906" t="s">
        <v>3185</v>
      </c>
      <c r="D1906">
        <v>58.49</v>
      </c>
      <c r="E1906">
        <v>0</v>
      </c>
      <c r="F1906" t="s">
        <v>3182</v>
      </c>
      <c r="G1906" t="s">
        <v>3182</v>
      </c>
      <c r="H1906">
        <v>0</v>
      </c>
      <c r="I1906">
        <v>0</v>
      </c>
      <c r="J1906">
        <v>0</v>
      </c>
      <c r="K1906">
        <v>-0</v>
      </c>
    </row>
    <row r="1907" spans="1:14">
      <c r="A1907" s="1" t="s">
        <v>1919</v>
      </c>
      <c r="B1907">
        <f>HYPERLINK("https://www.suredividend.com/sure-analysis-research-database/","MACOM Technology Solutions Holdings Inc")</f>
        <v>0</v>
      </c>
      <c r="C1907" t="s">
        <v>3185</v>
      </c>
      <c r="D1907">
        <v>72.75</v>
      </c>
      <c r="E1907">
        <v>0</v>
      </c>
      <c r="F1907" t="s">
        <v>3182</v>
      </c>
      <c r="G1907" t="s">
        <v>3182</v>
      </c>
      <c r="H1907">
        <v>0</v>
      </c>
      <c r="I1907">
        <v>5165.25</v>
      </c>
      <c r="J1907">
        <v>16.85440004176687</v>
      </c>
      <c r="K1907">
        <v>0</v>
      </c>
      <c r="L1907">
        <v>1.313581393868256</v>
      </c>
      <c r="M1907">
        <v>85.42</v>
      </c>
      <c r="N1907">
        <v>48.53</v>
      </c>
    </row>
    <row r="1908" spans="1:14">
      <c r="A1908" s="1" t="s">
        <v>1920</v>
      </c>
      <c r="B1908">
        <f>HYPERLINK("https://www.suredividend.com/sure-analysis-research-database/","Manitowoc Co., Inc.")</f>
        <v>0</v>
      </c>
      <c r="C1908" t="s">
        <v>3183</v>
      </c>
      <c r="D1908">
        <v>13.56</v>
      </c>
      <c r="E1908">
        <v>0</v>
      </c>
      <c r="F1908" t="s">
        <v>3182</v>
      </c>
      <c r="G1908" t="s">
        <v>3182</v>
      </c>
      <c r="H1908">
        <v>0</v>
      </c>
      <c r="I1908">
        <v>475.216248</v>
      </c>
      <c r="J1908" t="s">
        <v>3182</v>
      </c>
      <c r="K1908">
        <v>-0</v>
      </c>
      <c r="L1908">
        <v>1.474670761697245</v>
      </c>
      <c r="M1908">
        <v>20.2</v>
      </c>
      <c r="N1908">
        <v>8.82</v>
      </c>
    </row>
    <row r="1909" spans="1:14">
      <c r="A1909" s="1" t="s">
        <v>1921</v>
      </c>
      <c r="B1909">
        <f>HYPERLINK("https://www.suredividend.com/sure-analysis-research-database/","Minerals Technologies, Inc.")</f>
        <v>0</v>
      </c>
      <c r="C1909" t="s">
        <v>3181</v>
      </c>
      <c r="D1909">
        <v>56.84</v>
      </c>
      <c r="E1909">
        <v>0.004391122784274001</v>
      </c>
      <c r="F1909">
        <v>1</v>
      </c>
      <c r="G1909">
        <v>0.1486983549970351</v>
      </c>
      <c r="H1909">
        <v>0.249591419058158</v>
      </c>
      <c r="I1909">
        <v>1849.793002</v>
      </c>
      <c r="J1909">
        <v>28.8129751152648</v>
      </c>
      <c r="K1909">
        <v>0.1266961518061716</v>
      </c>
      <c r="L1909">
        <v>1.147845350876596</v>
      </c>
      <c r="M1909">
        <v>73.25</v>
      </c>
      <c r="N1909">
        <v>48.52</v>
      </c>
    </row>
    <row r="1910" spans="1:14">
      <c r="A1910" s="1" t="s">
        <v>1922</v>
      </c>
      <c r="B1910">
        <f>HYPERLINK("https://www.suredividend.com/sure-analysis-research-database/","Mastec Inc.")</f>
        <v>0</v>
      </c>
      <c r="C1910" t="s">
        <v>3183</v>
      </c>
      <c r="D1910">
        <v>49.48</v>
      </c>
      <c r="E1910">
        <v>0</v>
      </c>
      <c r="F1910" t="s">
        <v>3182</v>
      </c>
      <c r="G1910" t="s">
        <v>3182</v>
      </c>
      <c r="H1910">
        <v>0</v>
      </c>
      <c r="I1910">
        <v>3902.013285</v>
      </c>
      <c r="J1910" t="s">
        <v>3182</v>
      </c>
      <c r="K1910">
        <v>-0</v>
      </c>
      <c r="L1910">
        <v>1.072658876496592</v>
      </c>
      <c r="M1910">
        <v>123.33</v>
      </c>
      <c r="N1910">
        <v>44.65</v>
      </c>
    </row>
    <row r="1911" spans="1:14">
      <c r="A1911" s="1" t="s">
        <v>1923</v>
      </c>
      <c r="B1911">
        <f>HYPERLINK("https://www.suredividend.com/sure-analysis-MU/","Micron Technology Inc.")</f>
        <v>0</v>
      </c>
      <c r="C1911" t="s">
        <v>3185</v>
      </c>
      <c r="D1911">
        <v>70.44</v>
      </c>
      <c r="E1911">
        <v>0.006530380465644521</v>
      </c>
      <c r="F1911" t="s">
        <v>3182</v>
      </c>
      <c r="G1911" t="s">
        <v>3182</v>
      </c>
      <c r="H1911">
        <v>0.457531685149527</v>
      </c>
      <c r="I1911">
        <v>77345.54813700001</v>
      </c>
      <c r="J1911" t="s">
        <v>3182</v>
      </c>
      <c r="K1911" t="s">
        <v>3182</v>
      </c>
      <c r="L1911">
        <v>1.353646656240702</v>
      </c>
      <c r="M1911">
        <v>74.23999999999999</v>
      </c>
      <c r="N1911">
        <v>47.79</v>
      </c>
    </row>
    <row r="1912" spans="1:14">
      <c r="A1912" s="1" t="s">
        <v>1924</v>
      </c>
      <c r="B1912">
        <f>HYPERLINK("https://www.suredividend.com/sure-analysis-research-database/","Murphy Oil Corp.")</f>
        <v>0</v>
      </c>
      <c r="C1912" t="s">
        <v>3189</v>
      </c>
      <c r="D1912">
        <v>46.14</v>
      </c>
      <c r="E1912">
        <v>0.023034177231678</v>
      </c>
      <c r="F1912">
        <v>0.1000000000000001</v>
      </c>
      <c r="G1912">
        <v>0.01924487649145656</v>
      </c>
      <c r="H1912">
        <v>1.06279693746963</v>
      </c>
      <c r="I1912">
        <v>7203.680401</v>
      </c>
      <c r="J1912">
        <v>7.078003373303622</v>
      </c>
      <c r="K1912">
        <v>0.165030580352427</v>
      </c>
      <c r="L1912">
        <v>1.138513299387781</v>
      </c>
      <c r="M1912">
        <v>50.21</v>
      </c>
      <c r="N1912">
        <v>32.45</v>
      </c>
    </row>
    <row r="1913" spans="1:14">
      <c r="A1913" s="1" t="s">
        <v>1925</v>
      </c>
      <c r="B1913">
        <f>HYPERLINK("https://www.suredividend.com/sure-analysis-research-database/","Murphy USA Inc")</f>
        <v>0</v>
      </c>
      <c r="C1913" t="s">
        <v>3186</v>
      </c>
      <c r="D1913">
        <v>371.18</v>
      </c>
      <c r="E1913">
        <v>0.0040066339129</v>
      </c>
      <c r="F1913" t="s">
        <v>3182</v>
      </c>
      <c r="G1913" t="s">
        <v>3182</v>
      </c>
      <c r="H1913">
        <v>1.487182375790566</v>
      </c>
      <c r="I1913">
        <v>7962.929737</v>
      </c>
      <c r="J1913">
        <v>13.81733426430678</v>
      </c>
      <c r="K1913">
        <v>0.05843545680905957</v>
      </c>
      <c r="L1913">
        <v>0.147587623247069</v>
      </c>
      <c r="M1913">
        <v>382.04</v>
      </c>
      <c r="N1913">
        <v>231.05</v>
      </c>
    </row>
    <row r="1914" spans="1:14">
      <c r="A1914" s="1" t="s">
        <v>1926</v>
      </c>
      <c r="B1914">
        <f>HYPERLINK("https://www.suredividend.com/sure-analysis-research-database/","McEwen Mining Inc")</f>
        <v>0</v>
      </c>
      <c r="C1914" t="s">
        <v>3181</v>
      </c>
      <c r="D1914">
        <v>6.66</v>
      </c>
      <c r="E1914">
        <v>0</v>
      </c>
      <c r="F1914" t="s">
        <v>3182</v>
      </c>
      <c r="G1914" t="s">
        <v>3182</v>
      </c>
      <c r="H1914">
        <v>0</v>
      </c>
      <c r="I1914">
        <v>316.177626</v>
      </c>
      <c r="J1914" t="s">
        <v>3182</v>
      </c>
      <c r="K1914">
        <v>-0</v>
      </c>
      <c r="L1914">
        <v>1.481322746749159</v>
      </c>
      <c r="M1914">
        <v>10</v>
      </c>
      <c r="N1914">
        <v>3.39</v>
      </c>
    </row>
    <row r="1915" spans="1:14">
      <c r="A1915" s="1" t="s">
        <v>1927</v>
      </c>
      <c r="B1915">
        <f>HYPERLINK("https://www.suredividend.com/sure-analysis-research-database/","MVB Financial Corp.")</f>
        <v>0</v>
      </c>
      <c r="C1915" t="s">
        <v>3184</v>
      </c>
      <c r="D1915">
        <v>20.7</v>
      </c>
      <c r="E1915">
        <v>0.032150220219949</v>
      </c>
      <c r="F1915">
        <v>0</v>
      </c>
      <c r="G1915">
        <v>0.4147038431719823</v>
      </c>
      <c r="H1915">
        <v>0.665509558552957</v>
      </c>
      <c r="I1915">
        <v>263.300336</v>
      </c>
      <c r="J1915">
        <v>0</v>
      </c>
      <c r="K1915" t="s">
        <v>3182</v>
      </c>
      <c r="L1915">
        <v>0.92664977898227</v>
      </c>
      <c r="M1915">
        <v>26.84</v>
      </c>
      <c r="N1915">
        <v>15.73</v>
      </c>
    </row>
    <row r="1916" spans="1:14">
      <c r="A1916" s="1" t="s">
        <v>1928</v>
      </c>
      <c r="B1916">
        <f>HYPERLINK("https://www.suredividend.com/sure-analysis-research-database/","Microvision Inc.")</f>
        <v>0</v>
      </c>
      <c r="C1916" t="s">
        <v>3185</v>
      </c>
      <c r="D1916">
        <v>2.05</v>
      </c>
      <c r="E1916">
        <v>0</v>
      </c>
      <c r="F1916" t="s">
        <v>3182</v>
      </c>
      <c r="G1916" t="s">
        <v>3182</v>
      </c>
      <c r="H1916">
        <v>0</v>
      </c>
      <c r="I1916">
        <v>384.955712</v>
      </c>
      <c r="J1916" t="s">
        <v>3182</v>
      </c>
      <c r="K1916">
        <v>-0</v>
      </c>
      <c r="L1916">
        <v>2.277315461618207</v>
      </c>
      <c r="M1916">
        <v>8.199999999999999</v>
      </c>
      <c r="N1916">
        <v>1.82</v>
      </c>
    </row>
    <row r="1917" spans="1:14">
      <c r="A1917" s="1" t="s">
        <v>1929</v>
      </c>
      <c r="B1917">
        <f>HYPERLINK("https://www.suredividend.com/sure-analysis-MWA/","Mueller Water Products Inc")</f>
        <v>0</v>
      </c>
      <c r="C1917" t="s">
        <v>3183</v>
      </c>
      <c r="D1917">
        <v>12.6</v>
      </c>
      <c r="E1917">
        <v>0.01904761904761905</v>
      </c>
      <c r="F1917">
        <v>0.05172413793103448</v>
      </c>
      <c r="G1917">
        <v>0.04057159395880827</v>
      </c>
      <c r="H1917">
        <v>0.242418494479601</v>
      </c>
      <c r="I1917">
        <v>1971.716733</v>
      </c>
      <c r="J1917">
        <v>26.15008929708222</v>
      </c>
      <c r="K1917">
        <v>0.5056706184388839</v>
      </c>
      <c r="L1917">
        <v>1.041324942717862</v>
      </c>
      <c r="M1917">
        <v>16.55</v>
      </c>
      <c r="N1917">
        <v>10.41</v>
      </c>
    </row>
    <row r="1918" spans="1:14">
      <c r="A1918" s="1" t="s">
        <v>1930</v>
      </c>
      <c r="B1918">
        <f>HYPERLINK("https://www.suredividend.com/sure-analysis-research-database/","Maxim Integrated Products, Inc.")</f>
        <v>0</v>
      </c>
      <c r="C1918" t="s">
        <v>3185</v>
      </c>
      <c r="D1918">
        <v>103.14</v>
      </c>
      <c r="E1918">
        <v>0</v>
      </c>
      <c r="F1918" t="s">
        <v>3182</v>
      </c>
      <c r="G1918" t="s">
        <v>3182</v>
      </c>
      <c r="H1918">
        <v>0</v>
      </c>
      <c r="I1918">
        <v>0</v>
      </c>
      <c r="J1918">
        <v>0</v>
      </c>
      <c r="K1918">
        <v>0</v>
      </c>
    </row>
    <row r="1919" spans="1:14">
      <c r="A1919" s="1" t="s">
        <v>1931</v>
      </c>
      <c r="B1919">
        <f>HYPERLINK("https://www.suredividend.com/sure-analysis-research-database/","MaxLinear Inc")</f>
        <v>0</v>
      </c>
      <c r="C1919" t="s">
        <v>3185</v>
      </c>
      <c r="D1919">
        <v>15.67</v>
      </c>
      <c r="E1919">
        <v>0</v>
      </c>
      <c r="F1919" t="s">
        <v>3182</v>
      </c>
      <c r="G1919" t="s">
        <v>3182</v>
      </c>
      <c r="H1919">
        <v>0</v>
      </c>
      <c r="I1919">
        <v>1278.056185</v>
      </c>
      <c r="J1919" t="s">
        <v>3182</v>
      </c>
      <c r="K1919">
        <v>-0</v>
      </c>
      <c r="L1919">
        <v>1.922741873272701</v>
      </c>
      <c r="M1919">
        <v>43.66</v>
      </c>
      <c r="N1919">
        <v>13.43</v>
      </c>
    </row>
    <row r="1920" spans="1:14">
      <c r="A1920" s="1" t="s">
        <v>1932</v>
      </c>
      <c r="B1920">
        <f>HYPERLINK("https://www.suredividend.com/sure-analysis-research-database/","Myers Industries Inc.")</f>
        <v>0</v>
      </c>
      <c r="C1920" t="s">
        <v>3186</v>
      </c>
      <c r="D1920">
        <v>17.4</v>
      </c>
      <c r="E1920">
        <v>0.030700139712394</v>
      </c>
      <c r="F1920">
        <v>0</v>
      </c>
      <c r="G1920">
        <v>0</v>
      </c>
      <c r="H1920">
        <v>0.534182430995657</v>
      </c>
      <c r="I1920">
        <v>640.4860660000001</v>
      </c>
      <c r="J1920">
        <v>12.63784659826361</v>
      </c>
      <c r="K1920">
        <v>0.3899141832085087</v>
      </c>
      <c r="L1920">
        <v>0.852991616314537</v>
      </c>
      <c r="M1920">
        <v>25.93</v>
      </c>
      <c r="N1920">
        <v>15.65</v>
      </c>
    </row>
    <row r="1921" spans="1:14">
      <c r="A1921" s="1" t="s">
        <v>1933</v>
      </c>
      <c r="B1921">
        <f>HYPERLINK("https://www.suredividend.com/sure-analysis-research-database/","Myriad Genetics, Inc.")</f>
        <v>0</v>
      </c>
      <c r="C1921" t="s">
        <v>3180</v>
      </c>
      <c r="D1921">
        <v>15.98</v>
      </c>
      <c r="E1921">
        <v>0</v>
      </c>
      <c r="F1921" t="s">
        <v>3182</v>
      </c>
      <c r="G1921" t="s">
        <v>3182</v>
      </c>
      <c r="H1921">
        <v>0</v>
      </c>
      <c r="I1921">
        <v>1308.497147</v>
      </c>
      <c r="J1921" t="s">
        <v>3182</v>
      </c>
      <c r="K1921">
        <v>-0</v>
      </c>
      <c r="L1921">
        <v>1.261821088550863</v>
      </c>
      <c r="M1921">
        <v>24.21</v>
      </c>
      <c r="N1921">
        <v>13.82</v>
      </c>
    </row>
    <row r="1922" spans="1:14">
      <c r="A1922" s="1" t="s">
        <v>1934</v>
      </c>
      <c r="B1922">
        <f>HYPERLINK("https://www.suredividend.com/sure-analysis-research-database/","MYR Group Inc")</f>
        <v>0</v>
      </c>
      <c r="C1922" t="s">
        <v>3183</v>
      </c>
      <c r="D1922">
        <v>118.93</v>
      </c>
      <c r="E1922">
        <v>0</v>
      </c>
      <c r="F1922" t="s">
        <v>3182</v>
      </c>
      <c r="G1922" t="s">
        <v>3182</v>
      </c>
      <c r="H1922">
        <v>0</v>
      </c>
      <c r="I1922">
        <v>1987.264879</v>
      </c>
      <c r="J1922">
        <v>21.7137583573169</v>
      </c>
      <c r="K1922">
        <v>0</v>
      </c>
      <c r="L1922">
        <v>1.052598200001094</v>
      </c>
      <c r="M1922">
        <v>156.63</v>
      </c>
      <c r="N1922">
        <v>84.75</v>
      </c>
    </row>
    <row r="1923" spans="1:14">
      <c r="A1923" s="1" t="s">
        <v>1935</v>
      </c>
      <c r="B1923">
        <f>HYPERLINK("https://www.suredividend.com/sure-analysis-research-database/","Natural Alternatives International, Inc.")</f>
        <v>0</v>
      </c>
      <c r="C1923" t="s">
        <v>3188</v>
      </c>
      <c r="D1923">
        <v>6.1</v>
      </c>
      <c r="E1923">
        <v>0</v>
      </c>
      <c r="F1923" t="s">
        <v>3182</v>
      </c>
      <c r="G1923" t="s">
        <v>3182</v>
      </c>
      <c r="H1923">
        <v>0</v>
      </c>
      <c r="I1923">
        <v>37.141759</v>
      </c>
      <c r="J1923">
        <v>0</v>
      </c>
      <c r="K1923" t="s">
        <v>3182</v>
      </c>
      <c r="M1923">
        <v>10.12</v>
      </c>
      <c r="N1923">
        <v>5.06</v>
      </c>
    </row>
    <row r="1924" spans="1:14">
      <c r="A1924" s="1" t="s">
        <v>1936</v>
      </c>
      <c r="B1924">
        <f>HYPERLINK("https://www.suredividend.com/sure-analysis-research-database/","Nathan`s Famous, Inc.")</f>
        <v>0</v>
      </c>
      <c r="C1924" t="s">
        <v>3186</v>
      </c>
      <c r="D1924">
        <v>64.53</v>
      </c>
      <c r="E1924">
        <v>0.029827481194837</v>
      </c>
      <c r="F1924">
        <v>0.1111111111111112</v>
      </c>
      <c r="G1924">
        <v>0.1486983549970351</v>
      </c>
      <c r="H1924">
        <v>1.924767361502845</v>
      </c>
      <c r="I1924">
        <v>263.264332</v>
      </c>
      <c r="J1924">
        <v>0</v>
      </c>
      <c r="K1924" t="s">
        <v>3182</v>
      </c>
      <c r="L1924">
        <v>0.296003301900967</v>
      </c>
      <c r="M1924">
        <v>81.44</v>
      </c>
      <c r="N1924">
        <v>60.95</v>
      </c>
    </row>
    <row r="1925" spans="1:14">
      <c r="A1925" s="1" t="s">
        <v>1937</v>
      </c>
      <c r="B1925">
        <f>HYPERLINK("https://www.suredividend.com/sure-analysis-research-database/","National Instruments Corp.")</f>
        <v>0</v>
      </c>
      <c r="C1925" t="s">
        <v>3185</v>
      </c>
      <c r="D1925">
        <v>59.98</v>
      </c>
      <c r="E1925">
        <v>0</v>
      </c>
      <c r="F1925">
        <v>0</v>
      </c>
      <c r="G1925">
        <v>0.04012620718096094</v>
      </c>
      <c r="H1925">
        <v>1.107932966309952</v>
      </c>
      <c r="I1925">
        <v>0</v>
      </c>
      <c r="J1925">
        <v>0</v>
      </c>
      <c r="K1925">
        <v>0.8206910861555199</v>
      </c>
    </row>
    <row r="1926" spans="1:14">
      <c r="A1926" s="1" t="s">
        <v>1938</v>
      </c>
      <c r="B1926">
        <f>HYPERLINK("https://www.suredividend.com/sure-analysis-research-database/","Nature`s Sunshine Products, Inc.")</f>
        <v>0</v>
      </c>
      <c r="C1926" t="s">
        <v>3188</v>
      </c>
      <c r="D1926">
        <v>17.9</v>
      </c>
      <c r="E1926">
        <v>0</v>
      </c>
      <c r="F1926" t="s">
        <v>3182</v>
      </c>
      <c r="G1926" t="s">
        <v>3182</v>
      </c>
      <c r="H1926">
        <v>0</v>
      </c>
      <c r="I1926">
        <v>341.859373</v>
      </c>
      <c r="J1926">
        <v>64.18688942921517</v>
      </c>
      <c r="K1926">
        <v>0</v>
      </c>
      <c r="L1926">
        <v>0.8786027418163651</v>
      </c>
      <c r="M1926">
        <v>19.2</v>
      </c>
      <c r="N1926">
        <v>7.93</v>
      </c>
    </row>
    <row r="1927" spans="1:14">
      <c r="A1927" s="1" t="s">
        <v>1939</v>
      </c>
      <c r="B1927">
        <f>HYPERLINK("https://www.suredividend.com/sure-analysis-research-database/","Navistar International Corp.")</f>
        <v>0</v>
      </c>
      <c r="C1927" t="s">
        <v>3183</v>
      </c>
      <c r="D1927">
        <v>44.5</v>
      </c>
      <c r="E1927">
        <v>0</v>
      </c>
      <c r="F1927" t="s">
        <v>3182</v>
      </c>
      <c r="G1927" t="s">
        <v>3182</v>
      </c>
      <c r="H1927">
        <v>0</v>
      </c>
      <c r="I1927">
        <v>4438.643022</v>
      </c>
      <c r="J1927" t="s">
        <v>3182</v>
      </c>
      <c r="K1927">
        <v>-0</v>
      </c>
      <c r="L1927">
        <v>0.020363096359842</v>
      </c>
      <c r="M1927">
        <v>45.25</v>
      </c>
      <c r="N1927">
        <v>26.47</v>
      </c>
    </row>
    <row r="1928" spans="1:14">
      <c r="A1928" s="1" t="s">
        <v>1940</v>
      </c>
      <c r="B1928">
        <f>HYPERLINK("https://www.suredividend.com/sure-analysis-research-database/","Navidea Biopharmaceuticals Inc")</f>
        <v>0</v>
      </c>
      <c r="C1928" t="s">
        <v>3180</v>
      </c>
      <c r="D1928">
        <v>0.05</v>
      </c>
      <c r="E1928">
        <v>0</v>
      </c>
      <c r="F1928" t="s">
        <v>3182</v>
      </c>
      <c r="G1928" t="s">
        <v>3182</v>
      </c>
      <c r="H1928">
        <v>0</v>
      </c>
      <c r="I1928">
        <v>5.004219</v>
      </c>
      <c r="J1928" t="s">
        <v>3182</v>
      </c>
      <c r="K1928">
        <v>-0</v>
      </c>
      <c r="M1928">
        <v>0.0669</v>
      </c>
      <c r="N1928">
        <v>0.021</v>
      </c>
    </row>
    <row r="1929" spans="1:14">
      <c r="A1929" s="1" t="s">
        <v>1941</v>
      </c>
      <c r="B1929">
        <f>HYPERLINK("https://www.suredividend.com/sure-analysis-NAVI/","Navient Corp")</f>
        <v>0</v>
      </c>
      <c r="C1929" t="s">
        <v>3184</v>
      </c>
      <c r="D1929">
        <v>16.59</v>
      </c>
      <c r="E1929">
        <v>0.03857745629897529</v>
      </c>
      <c r="F1929">
        <v>0</v>
      </c>
      <c r="G1929">
        <v>0</v>
      </c>
      <c r="H1929">
        <v>0.627611287711013</v>
      </c>
      <c r="I1929">
        <v>1950.5044</v>
      </c>
      <c r="J1929">
        <v>5.403059278919668</v>
      </c>
      <c r="K1929">
        <v>0.2217707730427608</v>
      </c>
      <c r="L1929">
        <v>1.070876280447938</v>
      </c>
      <c r="M1929">
        <v>19.51</v>
      </c>
      <c r="N1929">
        <v>13.95</v>
      </c>
    </row>
    <row r="1930" spans="1:14">
      <c r="A1930" s="1" t="s">
        <v>1942</v>
      </c>
      <c r="B1930">
        <f>HYPERLINK("https://www.suredividend.com/sure-analysis-research-database/","NewAge Inc")</f>
        <v>0</v>
      </c>
      <c r="C1930" t="s">
        <v>3188</v>
      </c>
      <c r="D1930">
        <v>0.065</v>
      </c>
      <c r="E1930">
        <v>0</v>
      </c>
      <c r="F1930" t="s">
        <v>3182</v>
      </c>
      <c r="G1930" t="s">
        <v>3182</v>
      </c>
      <c r="H1930">
        <v>0</v>
      </c>
      <c r="I1930">
        <v>0</v>
      </c>
      <c r="J1930">
        <v>0</v>
      </c>
      <c r="K1930">
        <v>-0</v>
      </c>
    </row>
    <row r="1931" spans="1:14">
      <c r="A1931" s="1" t="s">
        <v>1943</v>
      </c>
      <c r="B1931">
        <f>HYPERLINK("https://www.suredividend.com/sure-analysis-research-database/","National Bank Holdings Corp")</f>
        <v>0</v>
      </c>
      <c r="C1931" t="s">
        <v>3184</v>
      </c>
      <c r="D1931">
        <v>31.73</v>
      </c>
      <c r="E1931">
        <v>0.031772072115553</v>
      </c>
      <c r="F1931">
        <v>0.1304347826086956</v>
      </c>
      <c r="G1931">
        <v>0.08869163325077611</v>
      </c>
      <c r="H1931">
        <v>1.008127848226522</v>
      </c>
      <c r="I1931">
        <v>1196.856679</v>
      </c>
      <c r="J1931">
        <v>11.37620765557425</v>
      </c>
      <c r="K1931">
        <v>0.3500443917453201</v>
      </c>
      <c r="L1931">
        <v>1.187838125008687</v>
      </c>
      <c r="M1931">
        <v>48.63</v>
      </c>
      <c r="N1931">
        <v>26.04</v>
      </c>
    </row>
    <row r="1932" spans="1:14">
      <c r="A1932" s="1" t="s">
        <v>1944</v>
      </c>
      <c r="B1932">
        <f>HYPERLINK("https://www.suredividend.com/sure-analysis-research-database/","Neurocrine Biosciences, Inc.")</f>
        <v>0</v>
      </c>
      <c r="C1932" t="s">
        <v>3180</v>
      </c>
      <c r="D1932">
        <v>113.39</v>
      </c>
      <c r="E1932">
        <v>0</v>
      </c>
      <c r="F1932" t="s">
        <v>3182</v>
      </c>
      <c r="G1932" t="s">
        <v>3182</v>
      </c>
      <c r="H1932">
        <v>0</v>
      </c>
      <c r="I1932">
        <v>11140.785549</v>
      </c>
      <c r="J1932">
        <v>58.32872015167539</v>
      </c>
      <c r="K1932">
        <v>0</v>
      </c>
      <c r="L1932">
        <v>0.459467837872064</v>
      </c>
      <c r="M1932">
        <v>129.29</v>
      </c>
      <c r="N1932">
        <v>89.04000000000001</v>
      </c>
    </row>
    <row r="1933" spans="1:14">
      <c r="A1933" s="1" t="s">
        <v>1945</v>
      </c>
      <c r="B1933">
        <f>HYPERLINK("https://www.suredividend.com/sure-analysis-research-database/","Northeast Bank")</f>
        <v>0</v>
      </c>
      <c r="C1933" t="s">
        <v>3184</v>
      </c>
      <c r="D1933">
        <v>49.09</v>
      </c>
      <c r="E1933">
        <v>0.0008142589695870001</v>
      </c>
      <c r="F1933" t="s">
        <v>3182</v>
      </c>
      <c r="G1933" t="s">
        <v>3182</v>
      </c>
      <c r="H1933">
        <v>0.039971972817044</v>
      </c>
      <c r="I1933">
        <v>441.66273</v>
      </c>
      <c r="J1933">
        <v>0</v>
      </c>
      <c r="K1933" t="s">
        <v>3182</v>
      </c>
      <c r="L1933">
        <v>0.680568911479138</v>
      </c>
      <c r="M1933">
        <v>49.16</v>
      </c>
      <c r="N1933">
        <v>33.12</v>
      </c>
    </row>
    <row r="1934" spans="1:14">
      <c r="A1934" s="1" t="s">
        <v>1946</v>
      </c>
      <c r="B1934">
        <f>HYPERLINK("https://www.suredividend.com/sure-analysis-research-database/","Nabors Industries Ltd")</f>
        <v>0</v>
      </c>
      <c r="C1934" t="s">
        <v>3189</v>
      </c>
      <c r="D1934">
        <v>98.95</v>
      </c>
      <c r="E1934">
        <v>0</v>
      </c>
      <c r="F1934" t="s">
        <v>3182</v>
      </c>
      <c r="G1934" t="s">
        <v>3182</v>
      </c>
      <c r="H1934">
        <v>0</v>
      </c>
      <c r="I1934">
        <v>936.572239</v>
      </c>
      <c r="J1934" t="s">
        <v>3182</v>
      </c>
      <c r="K1934">
        <v>-0</v>
      </c>
      <c r="L1934">
        <v>1.458682993741485</v>
      </c>
      <c r="M1934">
        <v>190.9</v>
      </c>
      <c r="N1934">
        <v>83.05</v>
      </c>
    </row>
    <row r="1935" spans="1:14">
      <c r="A1935" s="1" t="s">
        <v>1947</v>
      </c>
      <c r="B1935">
        <f>HYPERLINK("https://www.suredividend.com/sure-analysis-research-database/","NeuBase Therapeutics Inc")</f>
        <v>0</v>
      </c>
      <c r="C1935" t="s">
        <v>3180</v>
      </c>
      <c r="D1935">
        <v>0.641</v>
      </c>
      <c r="E1935">
        <v>0</v>
      </c>
      <c r="F1935" t="s">
        <v>3182</v>
      </c>
      <c r="G1935" t="s">
        <v>3182</v>
      </c>
      <c r="H1935">
        <v>0</v>
      </c>
      <c r="I1935">
        <v>1.514284</v>
      </c>
      <c r="J1935">
        <v>0</v>
      </c>
      <c r="K1935" t="s">
        <v>3182</v>
      </c>
      <c r="L1935">
        <v>1.983677781073337</v>
      </c>
      <c r="M1935">
        <v>8.199999999999999</v>
      </c>
      <c r="N1935">
        <v>0.6000000000000001</v>
      </c>
    </row>
    <row r="1936" spans="1:14">
      <c r="A1936" s="1" t="s">
        <v>1948</v>
      </c>
      <c r="B1936">
        <f>HYPERLINK("https://www.suredividend.com/sure-analysis-research-database/","NBT Bancorp. Inc.")</f>
        <v>0</v>
      </c>
      <c r="C1936" t="s">
        <v>3184</v>
      </c>
      <c r="D1936">
        <v>34.99</v>
      </c>
      <c r="E1936">
        <v>0.034180273270502</v>
      </c>
      <c r="F1936">
        <v>0.06666666666666643</v>
      </c>
      <c r="G1936">
        <v>0.0424022162772979</v>
      </c>
      <c r="H1936">
        <v>1.195967761734899</v>
      </c>
      <c r="I1936">
        <v>1496.232373</v>
      </c>
      <c r="J1936">
        <v>10.77790852345416</v>
      </c>
      <c r="K1936">
        <v>0.3714185595449996</v>
      </c>
      <c r="L1936">
        <v>0.814201718778747</v>
      </c>
      <c r="M1936">
        <v>46.71</v>
      </c>
      <c r="N1936">
        <v>26.78</v>
      </c>
    </row>
    <row r="1937" spans="1:14">
      <c r="A1937" s="1" t="s">
        <v>1949</v>
      </c>
      <c r="B1937">
        <f>HYPERLINK("https://www.suredividend.com/sure-analysis-research-database/","Novabay Pharmaceuticals Inc")</f>
        <v>0</v>
      </c>
      <c r="C1937" t="s">
        <v>3180</v>
      </c>
      <c r="D1937">
        <v>0.3546</v>
      </c>
      <c r="E1937">
        <v>0</v>
      </c>
      <c r="F1937" t="s">
        <v>3182</v>
      </c>
      <c r="G1937" t="s">
        <v>3182</v>
      </c>
      <c r="H1937">
        <v>0</v>
      </c>
      <c r="I1937">
        <v>1.494526</v>
      </c>
      <c r="J1937">
        <v>0</v>
      </c>
      <c r="K1937" t="s">
        <v>3182</v>
      </c>
      <c r="L1937">
        <v>0.725147264206193</v>
      </c>
      <c r="M1937">
        <v>3.73</v>
      </c>
      <c r="N1937">
        <v>0.3119</v>
      </c>
    </row>
    <row r="1938" spans="1:14">
      <c r="A1938" s="1" t="s">
        <v>1950</v>
      </c>
      <c r="B1938">
        <f>HYPERLINK("https://www.suredividend.com/sure-analysis-NC/","Nacco Industries Inc.")</f>
        <v>0</v>
      </c>
      <c r="C1938" t="s">
        <v>3189</v>
      </c>
      <c r="D1938">
        <v>34.4</v>
      </c>
      <c r="E1938">
        <v>0.02529069767441861</v>
      </c>
      <c r="F1938">
        <v>0.04819277108433728</v>
      </c>
      <c r="G1938">
        <v>0.05680549653640732</v>
      </c>
      <c r="H1938">
        <v>0.8419425619435601</v>
      </c>
      <c r="I1938">
        <v>204.323719</v>
      </c>
      <c r="J1938">
        <v>6.266061064769381</v>
      </c>
      <c r="K1938">
        <v>0.1926642018177483</v>
      </c>
      <c r="L1938">
        <v>0.7790092267393061</v>
      </c>
      <c r="M1938">
        <v>54.1</v>
      </c>
      <c r="N1938">
        <v>29.17</v>
      </c>
    </row>
    <row r="1939" spans="1:14">
      <c r="A1939" s="1" t="s">
        <v>1951</v>
      </c>
      <c r="B1939">
        <f>HYPERLINK("https://www.suredividend.com/sure-analysis-research-database/","Nicolet Bankshares Inc.")</f>
        <v>0</v>
      </c>
      <c r="C1939" t="s">
        <v>3184</v>
      </c>
      <c r="D1939">
        <v>78.01000000000001</v>
      </c>
      <c r="E1939">
        <v>0</v>
      </c>
      <c r="F1939" t="s">
        <v>3182</v>
      </c>
      <c r="G1939" t="s">
        <v>3182</v>
      </c>
      <c r="H1939">
        <v>0</v>
      </c>
      <c r="I1939">
        <v>994.903566</v>
      </c>
      <c r="J1939">
        <v>0</v>
      </c>
      <c r="K1939" t="s">
        <v>3182</v>
      </c>
    </row>
    <row r="1940" spans="1:14">
      <c r="A1940" s="1" t="s">
        <v>1952</v>
      </c>
      <c r="B1940">
        <f>HYPERLINK("https://www.suredividend.com/sure-analysis-research-database/","Neo Concept International Group Holdings Ltd")</f>
        <v>0</v>
      </c>
      <c r="C1940" t="s">
        <v>3182</v>
      </c>
      <c r="D1940">
        <v>27.99</v>
      </c>
      <c r="E1940">
        <v>0</v>
      </c>
      <c r="F1940" t="s">
        <v>3182</v>
      </c>
      <c r="G1940" t="s">
        <v>3182</v>
      </c>
      <c r="H1940">
        <v>0</v>
      </c>
      <c r="I1940">
        <v>0</v>
      </c>
      <c r="J1940">
        <v>0</v>
      </c>
      <c r="K1940" t="s">
        <v>3182</v>
      </c>
    </row>
    <row r="1941" spans="1:14">
      <c r="A1941" s="1" t="s">
        <v>1953</v>
      </c>
      <c r="B1941">
        <f>HYPERLINK("https://www.suredividend.com/sure-analysis-research-database/","Norwegian Cruise Line Holdings Ltd")</f>
        <v>0</v>
      </c>
      <c r="C1941" t="s">
        <v>3186</v>
      </c>
      <c r="D1941">
        <v>13.07</v>
      </c>
      <c r="E1941">
        <v>0</v>
      </c>
      <c r="F1941" t="s">
        <v>3182</v>
      </c>
      <c r="G1941" t="s">
        <v>3182</v>
      </c>
      <c r="H1941">
        <v>0</v>
      </c>
      <c r="I1941">
        <v>5560.286439</v>
      </c>
      <c r="J1941" t="s">
        <v>3182</v>
      </c>
      <c r="K1941">
        <v>-0</v>
      </c>
      <c r="L1941">
        <v>1.702822303362336</v>
      </c>
      <c r="M1941">
        <v>22.75</v>
      </c>
      <c r="N1941">
        <v>11.76</v>
      </c>
    </row>
    <row r="1942" spans="1:14">
      <c r="A1942" s="1" t="s">
        <v>1954</v>
      </c>
      <c r="B1942">
        <f>HYPERLINK("https://www.suredividend.com/sure-analysis-research-database/","National Cinemedia Inc")</f>
        <v>0</v>
      </c>
      <c r="C1942" t="s">
        <v>3191</v>
      </c>
      <c r="D1942">
        <v>4.04</v>
      </c>
      <c r="E1942">
        <v>0</v>
      </c>
      <c r="F1942" t="s">
        <v>3182</v>
      </c>
      <c r="G1942" t="s">
        <v>3182</v>
      </c>
      <c r="H1942">
        <v>0</v>
      </c>
      <c r="I1942">
        <v>391.00532</v>
      </c>
      <c r="J1942">
        <v>0.786731025754527</v>
      </c>
      <c r="K1942">
        <v>0</v>
      </c>
      <c r="L1942">
        <v>1.897938702519439</v>
      </c>
      <c r="M1942">
        <v>6.49</v>
      </c>
      <c r="N1942">
        <v>1.01</v>
      </c>
    </row>
    <row r="1943" spans="1:14">
      <c r="A1943" s="1" t="s">
        <v>1955</v>
      </c>
      <c r="B1943">
        <f>HYPERLINK("https://www.suredividend.com/sure-analysis-research-database/","NCS Multistage Holdings Inc")</f>
        <v>0</v>
      </c>
      <c r="C1943" t="s">
        <v>3189</v>
      </c>
      <c r="D1943">
        <v>13.63</v>
      </c>
      <c r="E1943">
        <v>0</v>
      </c>
      <c r="F1943" t="s">
        <v>3182</v>
      </c>
      <c r="G1943" t="s">
        <v>3182</v>
      </c>
      <c r="H1943">
        <v>0</v>
      </c>
      <c r="I1943">
        <v>33.245287</v>
      </c>
      <c r="J1943">
        <v>0</v>
      </c>
      <c r="K1943" t="s">
        <v>3182</v>
      </c>
      <c r="M1943">
        <v>31.47</v>
      </c>
      <c r="N1943">
        <v>12.38</v>
      </c>
    </row>
    <row r="1944" spans="1:14">
      <c r="A1944" s="1" t="s">
        <v>1956</v>
      </c>
      <c r="B1944">
        <f>HYPERLINK("https://www.suredividend.com/sure-analysis-NDAQ/","Nasdaq Inc")</f>
        <v>0</v>
      </c>
      <c r="C1944" t="s">
        <v>3184</v>
      </c>
      <c r="D1944">
        <v>49.86</v>
      </c>
      <c r="E1944">
        <v>0.01764941837144003</v>
      </c>
      <c r="F1944">
        <v>0.09999999999999987</v>
      </c>
      <c r="G1944">
        <v>-0.1294494367038759</v>
      </c>
      <c r="H1944">
        <v>0.830509866134384</v>
      </c>
      <c r="I1944">
        <v>24497.023738</v>
      </c>
      <c r="J1944">
        <v>22.24979449373297</v>
      </c>
      <c r="K1944">
        <v>0.3741035433037765</v>
      </c>
      <c r="L1944">
        <v>0.86302557086304</v>
      </c>
      <c r="M1944">
        <v>67.77</v>
      </c>
      <c r="N1944">
        <v>46.88</v>
      </c>
    </row>
    <row r="1945" spans="1:14">
      <c r="A1945" s="1" t="s">
        <v>1957</v>
      </c>
      <c r="B1945">
        <f>HYPERLINK("https://www.suredividend.com/sure-analysis-research-database/","Noodles &amp; Company")</f>
        <v>0</v>
      </c>
      <c r="C1945" t="s">
        <v>3186</v>
      </c>
      <c r="D1945">
        <v>2.07</v>
      </c>
      <c r="E1945">
        <v>0</v>
      </c>
      <c r="F1945" t="s">
        <v>3182</v>
      </c>
      <c r="G1945" t="s">
        <v>3182</v>
      </c>
      <c r="H1945">
        <v>0</v>
      </c>
      <c r="I1945">
        <v>96.10839</v>
      </c>
      <c r="J1945">
        <v>0</v>
      </c>
      <c r="K1945" t="s">
        <v>3182</v>
      </c>
      <c r="L1945">
        <v>1.249405895082478</v>
      </c>
      <c r="M1945">
        <v>6.55</v>
      </c>
      <c r="N1945">
        <v>1.96</v>
      </c>
    </row>
    <row r="1946" spans="1:14">
      <c r="A1946" s="1" t="s">
        <v>1958</v>
      </c>
      <c r="B1946">
        <f>HYPERLINK("https://www.suredividend.com/sure-analysis-NDSN/","Nordson Corp.")</f>
        <v>0</v>
      </c>
      <c r="C1946" t="s">
        <v>3183</v>
      </c>
      <c r="D1946">
        <v>217.23</v>
      </c>
      <c r="E1946">
        <v>0.01252129079777195</v>
      </c>
      <c r="F1946">
        <v>0.04615384615384621</v>
      </c>
      <c r="G1946">
        <v>0.142058035063606</v>
      </c>
      <c r="H1946">
        <v>2.609149360773889</v>
      </c>
      <c r="I1946">
        <v>12385.259183</v>
      </c>
      <c r="J1946">
        <v>24.72285270660167</v>
      </c>
      <c r="K1946">
        <v>0.300593244328789</v>
      </c>
      <c r="L1946">
        <v>0.9879917743641141</v>
      </c>
      <c r="M1946">
        <v>251.91</v>
      </c>
      <c r="N1946">
        <v>200.18</v>
      </c>
    </row>
    <row r="1947" spans="1:14">
      <c r="A1947" s="1" t="s">
        <v>1959</v>
      </c>
      <c r="B1947">
        <f>HYPERLINK("https://www.suredividend.com/sure-analysis-research-database/","Noble Corp Plc")</f>
        <v>0</v>
      </c>
      <c r="C1947" t="s">
        <v>3189</v>
      </c>
      <c r="D1947">
        <v>51.19</v>
      </c>
      <c r="E1947">
        <v>0.005860519865616001</v>
      </c>
      <c r="F1947" t="s">
        <v>3182</v>
      </c>
      <c r="G1947" t="s">
        <v>3182</v>
      </c>
      <c r="H1947">
        <v>0.300000011920928</v>
      </c>
      <c r="I1947">
        <v>7017.320336</v>
      </c>
      <c r="J1947">
        <v>0</v>
      </c>
      <c r="K1947" t="s">
        <v>3182</v>
      </c>
      <c r="L1947">
        <v>0.9958839364087481</v>
      </c>
      <c r="M1947">
        <v>55.34</v>
      </c>
      <c r="N1947">
        <v>33.22</v>
      </c>
    </row>
    <row r="1948" spans="1:14">
      <c r="A1948" s="1" t="s">
        <v>1960</v>
      </c>
      <c r="B1948">
        <f>HYPERLINK("https://www.suredividend.com/sure-analysis-NEE/","NextEra Energy Inc")</f>
        <v>0</v>
      </c>
      <c r="C1948" t="s">
        <v>3190</v>
      </c>
      <c r="D1948">
        <v>59.91</v>
      </c>
      <c r="E1948">
        <v>0.03121348689701219</v>
      </c>
      <c r="F1948">
        <v>0.1000000000000001</v>
      </c>
      <c r="G1948">
        <v>-0.1588145980261129</v>
      </c>
      <c r="H1948">
        <v>1.8098176133034</v>
      </c>
      <c r="I1948">
        <v>121240.70556</v>
      </c>
      <c r="J1948">
        <v>14.96983646873318</v>
      </c>
      <c r="K1948">
        <v>0.4468685464946667</v>
      </c>
      <c r="L1948">
        <v>0.7079616770752051</v>
      </c>
      <c r="M1948">
        <v>86.88</v>
      </c>
      <c r="N1948">
        <v>47.15</v>
      </c>
    </row>
    <row r="1949" spans="1:14">
      <c r="A1949" s="1" t="s">
        <v>1961</v>
      </c>
      <c r="B1949">
        <f>HYPERLINK("https://www.suredividend.com/sure-analysis-NEM/","Newmont Corp")</f>
        <v>0</v>
      </c>
      <c r="C1949" t="s">
        <v>3181</v>
      </c>
      <c r="D1949">
        <v>37.96</v>
      </c>
      <c r="E1949">
        <v>0.04214963119072708</v>
      </c>
      <c r="F1949">
        <v>-0.2727272727272727</v>
      </c>
      <c r="G1949">
        <v>0.2336341725167208</v>
      </c>
      <c r="H1949">
        <v>1.721715896898741</v>
      </c>
      <c r="I1949">
        <v>30170.615326</v>
      </c>
      <c r="J1949" t="s">
        <v>3182</v>
      </c>
      <c r="K1949" t="s">
        <v>3182</v>
      </c>
      <c r="L1949">
        <v>0.685040758814336</v>
      </c>
      <c r="M1949">
        <v>58.32</v>
      </c>
      <c r="N1949">
        <v>34.81</v>
      </c>
    </row>
    <row r="1950" spans="1:14">
      <c r="A1950" s="1" t="s">
        <v>1962</v>
      </c>
      <c r="B1950">
        <f>HYPERLINK("https://www.suredividend.com/sure-analysis-research-database/","Neogenomics Inc.")</f>
        <v>0</v>
      </c>
      <c r="C1950" t="s">
        <v>3180</v>
      </c>
      <c r="D1950">
        <v>14.42</v>
      </c>
      <c r="E1950">
        <v>0</v>
      </c>
      <c r="F1950" t="s">
        <v>3182</v>
      </c>
      <c r="G1950" t="s">
        <v>3182</v>
      </c>
      <c r="H1950">
        <v>0</v>
      </c>
      <c r="I1950">
        <v>1839.29612</v>
      </c>
      <c r="J1950" t="s">
        <v>3182</v>
      </c>
      <c r="K1950">
        <v>-0</v>
      </c>
      <c r="L1950">
        <v>1.90938294925472</v>
      </c>
      <c r="M1950">
        <v>20.54</v>
      </c>
      <c r="N1950">
        <v>6.97</v>
      </c>
    </row>
    <row r="1951" spans="1:14">
      <c r="A1951" s="1" t="s">
        <v>1963</v>
      </c>
      <c r="B1951">
        <f>HYPERLINK("https://www.suredividend.com/sure-analysis-research-database/","Neogen Corp.")</f>
        <v>0</v>
      </c>
      <c r="C1951" t="s">
        <v>3180</v>
      </c>
      <c r="D1951">
        <v>15.44</v>
      </c>
      <c r="E1951">
        <v>0</v>
      </c>
      <c r="F1951" t="s">
        <v>3182</v>
      </c>
      <c r="G1951" t="s">
        <v>3182</v>
      </c>
      <c r="H1951">
        <v>0</v>
      </c>
      <c r="I1951">
        <v>3339.835386</v>
      </c>
      <c r="J1951" t="s">
        <v>3182</v>
      </c>
      <c r="K1951">
        <v>-0</v>
      </c>
      <c r="L1951">
        <v>1.211194418186431</v>
      </c>
      <c r="M1951">
        <v>24.1</v>
      </c>
      <c r="N1951">
        <v>13.05</v>
      </c>
    </row>
    <row r="1952" spans="1:14">
      <c r="A1952" s="1" t="s">
        <v>1964</v>
      </c>
      <c r="B1952">
        <f>HYPERLINK("https://www.suredividend.com/sure-analysis-research-database/","Neonode Inc.")</f>
        <v>0</v>
      </c>
      <c r="C1952" t="s">
        <v>3185</v>
      </c>
      <c r="D1952">
        <v>1.19</v>
      </c>
      <c r="E1952">
        <v>0</v>
      </c>
      <c r="F1952" t="s">
        <v>3182</v>
      </c>
      <c r="G1952" t="s">
        <v>3182</v>
      </c>
      <c r="H1952">
        <v>0</v>
      </c>
      <c r="I1952">
        <v>18.491982</v>
      </c>
      <c r="J1952" t="s">
        <v>3182</v>
      </c>
      <c r="K1952">
        <v>-0</v>
      </c>
      <c r="L1952">
        <v>1.106373282219046</v>
      </c>
      <c r="M1952">
        <v>14.75</v>
      </c>
      <c r="N1952">
        <v>1.02</v>
      </c>
    </row>
    <row r="1953" spans="1:14">
      <c r="A1953" s="1" t="s">
        <v>1965</v>
      </c>
      <c r="B1953">
        <f>HYPERLINK("https://www.suredividend.com/sure-analysis-research-database/","Neos Therapeutics Inc")</f>
        <v>0</v>
      </c>
      <c r="C1953" t="s">
        <v>3180</v>
      </c>
      <c r="D1953">
        <v>1.15</v>
      </c>
      <c r="E1953">
        <v>0</v>
      </c>
      <c r="F1953" t="s">
        <v>3182</v>
      </c>
      <c r="G1953" t="s">
        <v>3182</v>
      </c>
      <c r="H1953">
        <v>0</v>
      </c>
      <c r="I1953">
        <v>0</v>
      </c>
      <c r="J1953">
        <v>0</v>
      </c>
      <c r="K1953">
        <v>-0</v>
      </c>
    </row>
    <row r="1954" spans="1:14">
      <c r="A1954" s="1" t="s">
        <v>1966</v>
      </c>
      <c r="B1954">
        <f>HYPERLINK("https://www.suredividend.com/sure-analysis-research-database/","Minerva Neurosciences Inc")</f>
        <v>0</v>
      </c>
      <c r="C1954" t="s">
        <v>3180</v>
      </c>
      <c r="D1954">
        <v>5.38</v>
      </c>
      <c r="E1954">
        <v>0</v>
      </c>
      <c r="F1954" t="s">
        <v>3182</v>
      </c>
      <c r="G1954" t="s">
        <v>3182</v>
      </c>
      <c r="H1954">
        <v>0</v>
      </c>
      <c r="I1954">
        <v>37.624524</v>
      </c>
      <c r="J1954">
        <v>0</v>
      </c>
      <c r="K1954" t="s">
        <v>3182</v>
      </c>
      <c r="L1954">
        <v>1.859872108754623</v>
      </c>
      <c r="M1954">
        <v>13.22</v>
      </c>
      <c r="N1954">
        <v>1.26</v>
      </c>
    </row>
    <row r="1955" spans="1:14">
      <c r="A1955" s="1" t="s">
        <v>1967</v>
      </c>
      <c r="B1955">
        <f>HYPERLINK("https://www.suredividend.com/sure-analysis-research-database/","Net Element Inc.")</f>
        <v>0</v>
      </c>
      <c r="C1955" t="s">
        <v>3185</v>
      </c>
      <c r="D1955">
        <v>11.77</v>
      </c>
      <c r="E1955">
        <v>0</v>
      </c>
      <c r="F1955" t="s">
        <v>3182</v>
      </c>
      <c r="G1955" t="s">
        <v>3182</v>
      </c>
      <c r="H1955">
        <v>0</v>
      </c>
      <c r="I1955">
        <v>70.74211699999999</v>
      </c>
      <c r="J1955">
        <v>0</v>
      </c>
      <c r="K1955" t="s">
        <v>3182</v>
      </c>
      <c r="M1955">
        <v>19.15</v>
      </c>
      <c r="N1955">
        <v>5.72</v>
      </c>
    </row>
    <row r="1956" spans="1:14">
      <c r="A1956" s="1" t="s">
        <v>1968</v>
      </c>
      <c r="B1956">
        <f>HYPERLINK("https://www.suredividend.com/sure-analysis-NEU/","NewMarket Corp.")</f>
        <v>0</v>
      </c>
      <c r="C1956" t="s">
        <v>3181</v>
      </c>
      <c r="D1956">
        <v>480.85</v>
      </c>
      <c r="E1956">
        <v>0.01871685556826453</v>
      </c>
      <c r="F1956">
        <v>0.0714285714285714</v>
      </c>
      <c r="G1956">
        <v>0.05154749679728043</v>
      </c>
      <c r="H1956">
        <v>8.631618197912603</v>
      </c>
      <c r="I1956">
        <v>4611.424108</v>
      </c>
      <c r="J1956">
        <v>11.59756578730949</v>
      </c>
      <c r="K1956">
        <v>0.2090992780502084</v>
      </c>
      <c r="L1956">
        <v>0.6065221215456751</v>
      </c>
      <c r="M1956">
        <v>490.62</v>
      </c>
      <c r="N1956">
        <v>286.29</v>
      </c>
    </row>
    <row r="1957" spans="1:14">
      <c r="A1957" s="1" t="s">
        <v>1969</v>
      </c>
      <c r="B1957">
        <f>HYPERLINK("https://www.suredividend.com/sure-analysis-research-database/","New Relic Inc")</f>
        <v>0</v>
      </c>
      <c r="C1957" t="s">
        <v>3185</v>
      </c>
      <c r="D1957">
        <v>86.91</v>
      </c>
      <c r="E1957">
        <v>0</v>
      </c>
      <c r="F1957" t="s">
        <v>3182</v>
      </c>
      <c r="G1957" t="s">
        <v>3182</v>
      </c>
      <c r="H1957">
        <v>0</v>
      </c>
      <c r="I1957">
        <v>6172.666378</v>
      </c>
      <c r="J1957" t="s">
        <v>3182</v>
      </c>
      <c r="K1957">
        <v>-0</v>
      </c>
      <c r="L1957">
        <v>0.835137863476853</v>
      </c>
      <c r="M1957">
        <v>86.93000000000001</v>
      </c>
      <c r="N1957">
        <v>50.3</v>
      </c>
    </row>
    <row r="1958" spans="1:14">
      <c r="A1958" s="1" t="s">
        <v>1970</v>
      </c>
      <c r="B1958">
        <f>HYPERLINK("https://www.suredividend.com/sure-analysis-research-database/","Northfield Bancorp Inc")</f>
        <v>0</v>
      </c>
      <c r="C1958" t="s">
        <v>3184</v>
      </c>
      <c r="D1958">
        <v>9.119999999999999</v>
      </c>
      <c r="E1958">
        <v>0.055232105472851</v>
      </c>
      <c r="F1958">
        <v>0</v>
      </c>
      <c r="G1958">
        <v>0.05387395206178347</v>
      </c>
      <c r="H1958">
        <v>0.5037168019124041</v>
      </c>
      <c r="I1958">
        <v>410.28849</v>
      </c>
      <c r="J1958">
        <v>7.832324560171044</v>
      </c>
      <c r="K1958">
        <v>0.4342386223382794</v>
      </c>
      <c r="L1958">
        <v>0.699945504934783</v>
      </c>
      <c r="M1958">
        <v>15.2</v>
      </c>
      <c r="N1958">
        <v>8.390000000000001</v>
      </c>
    </row>
    <row r="1959" spans="1:14">
      <c r="A1959" s="1" t="s">
        <v>1971</v>
      </c>
      <c r="B1959">
        <f>HYPERLINK("https://www.suredividend.com/sure-analysis-NFG/","National Fuel Gas Co.")</f>
        <v>0</v>
      </c>
      <c r="C1959" t="s">
        <v>3189</v>
      </c>
      <c r="D1959">
        <v>53.08</v>
      </c>
      <c r="E1959">
        <v>0.03730218538055765</v>
      </c>
      <c r="F1959">
        <v>0.04210526315789465</v>
      </c>
      <c r="G1959">
        <v>0.03096341426769689</v>
      </c>
      <c r="H1959">
        <v>1.913364733992414</v>
      </c>
      <c r="I1959">
        <v>4873.768762</v>
      </c>
      <c r="J1959">
        <v>8.682506542438343</v>
      </c>
      <c r="K1959">
        <v>0.3141814013123833</v>
      </c>
      <c r="L1959">
        <v>0.7999256484889451</v>
      </c>
      <c r="M1959">
        <v>64.54000000000001</v>
      </c>
      <c r="N1959">
        <v>48.33</v>
      </c>
    </row>
    <row r="1960" spans="1:14">
      <c r="A1960" s="1" t="s">
        <v>1972</v>
      </c>
      <c r="B1960">
        <f>HYPERLINK("https://www.suredividend.com/sure-analysis-research-database/","Netflix Inc.")</f>
        <v>0</v>
      </c>
      <c r="C1960" t="s">
        <v>3191</v>
      </c>
      <c r="D1960">
        <v>424.71</v>
      </c>
      <c r="E1960">
        <v>0</v>
      </c>
      <c r="F1960" t="s">
        <v>3182</v>
      </c>
      <c r="G1960" t="s">
        <v>3182</v>
      </c>
      <c r="H1960">
        <v>0</v>
      </c>
      <c r="I1960">
        <v>187634.757848</v>
      </c>
      <c r="J1960">
        <v>41.46224979155158</v>
      </c>
      <c r="K1960">
        <v>0</v>
      </c>
      <c r="L1960">
        <v>1.430555911169171</v>
      </c>
      <c r="M1960">
        <v>485</v>
      </c>
      <c r="N1960">
        <v>252.09</v>
      </c>
    </row>
    <row r="1961" spans="1:14">
      <c r="A1961" s="1" t="s">
        <v>1973</v>
      </c>
      <c r="B1961">
        <f>HYPERLINK("https://www.suredividend.com/sure-analysis-research-database/","National General Holdings Corp")</f>
        <v>0</v>
      </c>
      <c r="C1961" t="s">
        <v>3184</v>
      </c>
      <c r="D1961">
        <v>34.18</v>
      </c>
      <c r="E1961">
        <v>0</v>
      </c>
      <c r="F1961" t="s">
        <v>3182</v>
      </c>
      <c r="G1961" t="s">
        <v>3182</v>
      </c>
      <c r="H1961">
        <v>0.200000002980232</v>
      </c>
      <c r="I1961">
        <v>0</v>
      </c>
      <c r="J1961">
        <v>0</v>
      </c>
      <c r="K1961">
        <v>0.05154639252067836</v>
      </c>
    </row>
    <row r="1962" spans="1:14">
      <c r="A1962" s="1" t="s">
        <v>1974</v>
      </c>
      <c r="B1962">
        <f>HYPERLINK("https://www.suredividend.com/sure-analysis-research-database/","Natural Gas Services Group, Inc.")</f>
        <v>0</v>
      </c>
      <c r="C1962" t="s">
        <v>3189</v>
      </c>
      <c r="D1962">
        <v>14.72</v>
      </c>
      <c r="E1962">
        <v>0</v>
      </c>
      <c r="F1962" t="s">
        <v>3182</v>
      </c>
      <c r="G1962" t="s">
        <v>3182</v>
      </c>
      <c r="H1962">
        <v>0</v>
      </c>
      <c r="I1962">
        <v>183.076938</v>
      </c>
      <c r="J1962">
        <v>4817.814164210527</v>
      </c>
      <c r="K1962">
        <v>0</v>
      </c>
      <c r="L1962">
        <v>0.303428522313518</v>
      </c>
      <c r="M1962">
        <v>15.39</v>
      </c>
      <c r="N1962">
        <v>9.41</v>
      </c>
    </row>
    <row r="1963" spans="1:14">
      <c r="A1963" s="1" t="s">
        <v>1975</v>
      </c>
      <c r="B1963">
        <f>HYPERLINK("https://www.suredividend.com/sure-analysis-research-database/","Natural Grocers by Vitamin Cottage Inc")</f>
        <v>0</v>
      </c>
      <c r="C1963" t="s">
        <v>3188</v>
      </c>
      <c r="D1963">
        <v>13.04</v>
      </c>
      <c r="E1963">
        <v>0.030297113407904</v>
      </c>
      <c r="F1963" t="s">
        <v>3182</v>
      </c>
      <c r="G1963" t="s">
        <v>3182</v>
      </c>
      <c r="H1963">
        <v>0.395074358839079</v>
      </c>
      <c r="I1963">
        <v>296.501707</v>
      </c>
      <c r="J1963">
        <v>15.18730253751985</v>
      </c>
      <c r="K1963">
        <v>0.4621833865688805</v>
      </c>
      <c r="L1963">
        <v>0.8411000840378821</v>
      </c>
      <c r="M1963">
        <v>13.69</v>
      </c>
      <c r="N1963">
        <v>7.8</v>
      </c>
    </row>
    <row r="1964" spans="1:14">
      <c r="A1964" s="1" t="s">
        <v>1976</v>
      </c>
      <c r="B1964">
        <f>HYPERLINK("https://www.suredividend.com/sure-analysis-research-database/","Ingevity Corp")</f>
        <v>0</v>
      </c>
      <c r="C1964" t="s">
        <v>3181</v>
      </c>
      <c r="D1964">
        <v>42.29</v>
      </c>
      <c r="E1964">
        <v>0</v>
      </c>
      <c r="F1964" t="s">
        <v>3182</v>
      </c>
      <c r="G1964" t="s">
        <v>3182</v>
      </c>
      <c r="H1964">
        <v>0</v>
      </c>
      <c r="I1964">
        <v>1531.931398</v>
      </c>
      <c r="J1964">
        <v>8.645211052144468</v>
      </c>
      <c r="K1964">
        <v>0</v>
      </c>
      <c r="L1964">
        <v>1.213008303908748</v>
      </c>
      <c r="M1964">
        <v>90.81</v>
      </c>
      <c r="N1964">
        <v>38.1</v>
      </c>
    </row>
    <row r="1965" spans="1:14">
      <c r="A1965" s="1" t="s">
        <v>1977</v>
      </c>
      <c r="B1965">
        <f>HYPERLINK("https://www.suredividend.com/sure-analysis-NHC/","National Healthcare Corp.")</f>
        <v>0</v>
      </c>
      <c r="C1965" t="s">
        <v>3180</v>
      </c>
      <c r="D1965">
        <v>67.92</v>
      </c>
      <c r="E1965">
        <v>0.03474676089517079</v>
      </c>
      <c r="F1965">
        <v>0.0350877192982455</v>
      </c>
      <c r="G1965">
        <v>0.03365688434519343</v>
      </c>
      <c r="H1965">
        <v>2.277152821875159</v>
      </c>
      <c r="I1965">
        <v>1040.571281</v>
      </c>
      <c r="J1965">
        <v>32.59118267852669</v>
      </c>
      <c r="K1965">
        <v>1.094785010516903</v>
      </c>
      <c r="L1965">
        <v>0.5331355202549041</v>
      </c>
      <c r="M1965">
        <v>68.95999999999999</v>
      </c>
      <c r="N1965">
        <v>49.61</v>
      </c>
    </row>
    <row r="1966" spans="1:14">
      <c r="A1966" s="1" t="s">
        <v>1978</v>
      </c>
      <c r="B1966">
        <f>HYPERLINK("https://www.suredividend.com/sure-analysis-NHI/","National Health Investors, Inc.")</f>
        <v>0</v>
      </c>
      <c r="C1966" t="s">
        <v>3187</v>
      </c>
      <c r="D1966">
        <v>51.4</v>
      </c>
      <c r="E1966">
        <v>0.07003891050583658</v>
      </c>
      <c r="F1966">
        <v>0</v>
      </c>
      <c r="G1966">
        <v>-0.0208516376390232</v>
      </c>
      <c r="H1966">
        <v>3.5065454237786</v>
      </c>
      <c r="I1966">
        <v>2231.265827</v>
      </c>
      <c r="J1966">
        <v>20.17528823805993</v>
      </c>
      <c r="K1966">
        <v>1.380529694401023</v>
      </c>
      <c r="L1966">
        <v>0.7593907489351841</v>
      </c>
      <c r="M1966">
        <v>57.06</v>
      </c>
      <c r="N1966">
        <v>45.56</v>
      </c>
    </row>
    <row r="1967" spans="1:14">
      <c r="A1967" s="1" t="s">
        <v>1979</v>
      </c>
      <c r="B1967">
        <f>HYPERLINK("https://www.suredividend.com/sure-analysis-research-database/","Natural Health Trends Corp.")</f>
        <v>0</v>
      </c>
      <c r="C1967" t="s">
        <v>3186</v>
      </c>
      <c r="D1967">
        <v>5.59</v>
      </c>
      <c r="E1967">
        <v>0.129771641634896</v>
      </c>
      <c r="F1967">
        <v>0</v>
      </c>
      <c r="G1967">
        <v>0.02129568760013512</v>
      </c>
      <c r="H1967">
        <v>0.725423476739069</v>
      </c>
      <c r="I1967">
        <v>64.378761</v>
      </c>
      <c r="J1967">
        <v>0</v>
      </c>
      <c r="K1967" t="s">
        <v>3182</v>
      </c>
      <c r="L1967">
        <v>0.8135918731421951</v>
      </c>
      <c r="M1967">
        <v>5.89</v>
      </c>
      <c r="N1967">
        <v>2.84</v>
      </c>
    </row>
    <row r="1968" spans="1:14">
      <c r="A1968" s="1" t="s">
        <v>1980</v>
      </c>
      <c r="B1968">
        <f>HYPERLINK("https://www.suredividend.com/sure-analysis-research-database/","NiSource Inc")</f>
        <v>0</v>
      </c>
      <c r="C1968" t="s">
        <v>3190</v>
      </c>
      <c r="D1968">
        <v>25.78</v>
      </c>
      <c r="E1968">
        <v>0.038244903261427</v>
      </c>
      <c r="F1968">
        <v>0.06382978723404253</v>
      </c>
      <c r="G1968">
        <v>0.04563955259127317</v>
      </c>
      <c r="H1968">
        <v>0.985953606079593</v>
      </c>
      <c r="I1968">
        <v>10657.850069</v>
      </c>
      <c r="J1968">
        <v>16.60359879884717</v>
      </c>
      <c r="K1968">
        <v>0.6846900042219396</v>
      </c>
      <c r="L1968">
        <v>0.54483280811628</v>
      </c>
      <c r="M1968">
        <v>28.41</v>
      </c>
      <c r="N1968">
        <v>22.63</v>
      </c>
    </row>
    <row r="1969" spans="1:14">
      <c r="A1969" s="1" t="s">
        <v>1981</v>
      </c>
      <c r="B1969">
        <f>HYPERLINK("https://www.suredividend.com/sure-analysis-research-database/","Nicholas Financial, Inc.")</f>
        <v>0</v>
      </c>
      <c r="C1969" t="s">
        <v>3184</v>
      </c>
      <c r="D1969">
        <v>4.74</v>
      </c>
      <c r="E1969">
        <v>0</v>
      </c>
      <c r="F1969" t="s">
        <v>3182</v>
      </c>
      <c r="G1969" t="s">
        <v>3182</v>
      </c>
      <c r="H1969">
        <v>0</v>
      </c>
      <c r="I1969">
        <v>34.602</v>
      </c>
      <c r="J1969">
        <v>0</v>
      </c>
      <c r="K1969" t="s">
        <v>3182</v>
      </c>
      <c r="M1969">
        <v>8.57</v>
      </c>
      <c r="N1969">
        <v>4.37</v>
      </c>
    </row>
    <row r="1970" spans="1:14">
      <c r="A1970" s="1" t="s">
        <v>1982</v>
      </c>
      <c r="B1970">
        <f>HYPERLINK("https://www.suredividend.com/sure-analysis-research-database/","Nine Energy Service Inc")</f>
        <v>0</v>
      </c>
      <c r="C1970" t="s">
        <v>3189</v>
      </c>
      <c r="D1970">
        <v>3.55</v>
      </c>
      <c r="E1970">
        <v>0</v>
      </c>
      <c r="F1970" t="s">
        <v>3182</v>
      </c>
      <c r="G1970" t="s">
        <v>3182</v>
      </c>
      <c r="H1970">
        <v>0</v>
      </c>
      <c r="I1970">
        <v>125.494506</v>
      </c>
      <c r="J1970">
        <v>9.211281983998823</v>
      </c>
      <c r="K1970">
        <v>0</v>
      </c>
      <c r="L1970">
        <v>2.05917602451424</v>
      </c>
      <c r="M1970">
        <v>17.1</v>
      </c>
      <c r="N1970">
        <v>2.9</v>
      </c>
    </row>
    <row r="1971" spans="1:14">
      <c r="A1971" s="1" t="s">
        <v>1983</v>
      </c>
      <c r="B1971">
        <f>HYPERLINK("https://www.suredividend.com/sure-analysis-NJR/","New Jersey Resources Corporation")</f>
        <v>0</v>
      </c>
      <c r="C1971" t="s">
        <v>3190</v>
      </c>
      <c r="D1971">
        <v>42.5</v>
      </c>
      <c r="E1971">
        <v>0.03952941176470588</v>
      </c>
      <c r="F1971">
        <v>0.07692307692307687</v>
      </c>
      <c r="G1971">
        <v>0.07504014914181223</v>
      </c>
      <c r="H1971">
        <v>1.569466601755402</v>
      </c>
      <c r="I1971">
        <v>4146.381855</v>
      </c>
      <c r="J1971">
        <v>14.69191577906754</v>
      </c>
      <c r="K1971">
        <v>0.5411953799156559</v>
      </c>
      <c r="L1971">
        <v>0.618850660915204</v>
      </c>
      <c r="M1971">
        <v>54.85</v>
      </c>
      <c r="N1971">
        <v>38.92</v>
      </c>
    </row>
    <row r="1972" spans="1:14">
      <c r="A1972" s="1" t="s">
        <v>1984</v>
      </c>
      <c r="B1972">
        <f>HYPERLINK("https://www.suredividend.com/sure-analysis-NKE/","Nike, Inc.")</f>
        <v>0</v>
      </c>
      <c r="C1972" t="s">
        <v>3186</v>
      </c>
      <c r="D1972">
        <v>105.08</v>
      </c>
      <c r="E1972">
        <v>0.01294251998477351</v>
      </c>
      <c r="F1972">
        <v>0.1147540983606559</v>
      </c>
      <c r="G1972">
        <v>0.09096607850144967</v>
      </c>
      <c r="H1972">
        <v>1.35340642757519</v>
      </c>
      <c r="I1972">
        <v>163924.8</v>
      </c>
      <c r="J1972">
        <v>25.45908010586698</v>
      </c>
      <c r="K1972">
        <v>0.4177180332022191</v>
      </c>
      <c r="L1972">
        <v>1.169843676420405</v>
      </c>
      <c r="M1972">
        <v>130.07</v>
      </c>
      <c r="N1972">
        <v>88.66</v>
      </c>
    </row>
    <row r="1973" spans="1:14">
      <c r="A1973" s="1" t="s">
        <v>1985</v>
      </c>
      <c r="B1973">
        <f>HYPERLINK("https://www.suredividend.com/sure-analysis-research-database/","National Bankshares Inc.")</f>
        <v>0</v>
      </c>
      <c r="C1973" t="s">
        <v>3184</v>
      </c>
      <c r="D1973">
        <v>24.08</v>
      </c>
      <c r="E1973">
        <v>0.06044170523930201</v>
      </c>
      <c r="F1973" t="s">
        <v>3182</v>
      </c>
      <c r="G1973" t="s">
        <v>3182</v>
      </c>
      <c r="H1973">
        <v>1.455436262162395</v>
      </c>
      <c r="I1973">
        <v>141.873075</v>
      </c>
      <c r="J1973">
        <v>5.93511860441767</v>
      </c>
      <c r="K1973">
        <v>0.3602565005352463</v>
      </c>
      <c r="L1973">
        <v>0.359534171818654</v>
      </c>
      <c r="M1973">
        <v>41.71</v>
      </c>
      <c r="N1973">
        <v>22.28</v>
      </c>
    </row>
    <row r="1974" spans="1:14">
      <c r="A1974" s="1" t="s">
        <v>1986</v>
      </c>
      <c r="B1974">
        <f>HYPERLINK("https://www.suredividend.com/sure-analysis-research-database/","Nektar Therapeutics")</f>
        <v>0</v>
      </c>
      <c r="C1974" t="s">
        <v>3180</v>
      </c>
      <c r="D1974">
        <v>0.4941</v>
      </c>
      <c r="E1974">
        <v>0</v>
      </c>
      <c r="F1974" t="s">
        <v>3182</v>
      </c>
      <c r="G1974" t="s">
        <v>3182</v>
      </c>
      <c r="H1974">
        <v>0</v>
      </c>
      <c r="I1974">
        <v>93.937636</v>
      </c>
      <c r="J1974" t="s">
        <v>3182</v>
      </c>
      <c r="K1974">
        <v>-0</v>
      </c>
      <c r="L1974">
        <v>2.017714497352631</v>
      </c>
      <c r="M1974">
        <v>4.37</v>
      </c>
      <c r="N1974">
        <v>0.44</v>
      </c>
    </row>
    <row r="1975" spans="1:14">
      <c r="A1975" s="1" t="s">
        <v>1987</v>
      </c>
      <c r="B1975">
        <f>HYPERLINK("https://www.suredividend.com/sure-analysis-research-database/","NL Industries, Inc.")</f>
        <v>0</v>
      </c>
      <c r="C1975" t="s">
        <v>3183</v>
      </c>
      <c r="D1975">
        <v>4.7</v>
      </c>
      <c r="E1975">
        <v>0.058487576927444</v>
      </c>
      <c r="F1975" t="s">
        <v>3182</v>
      </c>
      <c r="G1975" t="s">
        <v>3182</v>
      </c>
      <c r="H1975">
        <v>0.27489161155899</v>
      </c>
      <c r="I1975">
        <v>229.517375</v>
      </c>
      <c r="J1975" t="s">
        <v>3182</v>
      </c>
      <c r="K1975" t="s">
        <v>3182</v>
      </c>
      <c r="L1975">
        <v>0.8583115373603251</v>
      </c>
      <c r="M1975">
        <v>7.73</v>
      </c>
      <c r="N1975">
        <v>4.51</v>
      </c>
    </row>
    <row r="1976" spans="1:14">
      <c r="A1976" s="1" t="s">
        <v>1988</v>
      </c>
      <c r="B1976">
        <f>HYPERLINK("https://www.suredividend.com/sure-analysis-research-database/","Nielsen Holdings plc")</f>
        <v>0</v>
      </c>
      <c r="C1976" t="s">
        <v>3183</v>
      </c>
      <c r="D1976">
        <v>27.98</v>
      </c>
      <c r="E1976">
        <v>0.008546166511954001</v>
      </c>
      <c r="F1976" t="s">
        <v>3182</v>
      </c>
      <c r="G1976" t="s">
        <v>3182</v>
      </c>
      <c r="H1976">
        <v>0.239121739004478</v>
      </c>
      <c r="I1976">
        <v>10068.164861</v>
      </c>
      <c r="J1976">
        <v>18.99653747392453</v>
      </c>
      <c r="K1976">
        <v>0.1626678496629102</v>
      </c>
      <c r="M1976">
        <v>28</v>
      </c>
      <c r="N1976">
        <v>15.89</v>
      </c>
    </row>
    <row r="1977" spans="1:14">
      <c r="A1977" s="1" t="s">
        <v>1989</v>
      </c>
      <c r="B1977">
        <f>HYPERLINK("https://www.suredividend.com/sure-analysis-research-database/","Neoleukin Therapeutics Inc")</f>
        <v>0</v>
      </c>
      <c r="C1977" t="s">
        <v>3180</v>
      </c>
      <c r="D1977">
        <v>3.4</v>
      </c>
      <c r="E1977">
        <v>0</v>
      </c>
      <c r="F1977" t="s">
        <v>3182</v>
      </c>
      <c r="G1977" t="s">
        <v>3182</v>
      </c>
      <c r="H1977">
        <v>0</v>
      </c>
      <c r="I1977">
        <v>149.672859</v>
      </c>
      <c r="J1977">
        <v>0</v>
      </c>
      <c r="K1977" t="s">
        <v>3182</v>
      </c>
      <c r="L1977">
        <v>0.493905055614309</v>
      </c>
      <c r="M1977">
        <v>4.7</v>
      </c>
      <c r="N1977">
        <v>1.88</v>
      </c>
    </row>
    <row r="1978" spans="1:14">
      <c r="A1978" s="1" t="s">
        <v>1990</v>
      </c>
      <c r="B1978">
        <f>HYPERLINK("https://www.suredividend.com/sure-analysis-NLY/","Annaly Capital Management Inc")</f>
        <v>0</v>
      </c>
      <c r="C1978" t="s">
        <v>3187</v>
      </c>
      <c r="D1978">
        <v>16.9</v>
      </c>
      <c r="E1978">
        <v>0.1538461538461539</v>
      </c>
      <c r="F1978">
        <v>-0.2613636363636364</v>
      </c>
      <c r="G1978">
        <v>0.1672353193296932</v>
      </c>
      <c r="H1978">
        <v>2.682021459971082</v>
      </c>
      <c r="I1978">
        <v>8347.044913</v>
      </c>
      <c r="J1978" t="s">
        <v>3182</v>
      </c>
      <c r="K1978" t="s">
        <v>3182</v>
      </c>
      <c r="L1978">
        <v>1.287989071887272</v>
      </c>
      <c r="M1978">
        <v>24.58</v>
      </c>
      <c r="N1978">
        <v>14.52</v>
      </c>
    </row>
    <row r="1979" spans="1:14">
      <c r="A1979" s="1" t="s">
        <v>1991</v>
      </c>
      <c r="B1979">
        <f>HYPERLINK("https://www.suredividend.com/sure-analysis-research-database/","NMI Holdings Inc")</f>
        <v>0</v>
      </c>
      <c r="C1979" t="s">
        <v>3184</v>
      </c>
      <c r="D1979">
        <v>27.96</v>
      </c>
      <c r="E1979">
        <v>0</v>
      </c>
      <c r="F1979" t="s">
        <v>3182</v>
      </c>
      <c r="G1979" t="s">
        <v>3182</v>
      </c>
      <c r="H1979">
        <v>0</v>
      </c>
      <c r="I1979">
        <v>2300.56977</v>
      </c>
      <c r="J1979">
        <v>7.554741133587285</v>
      </c>
      <c r="K1979">
        <v>0</v>
      </c>
      <c r="L1979">
        <v>0.878256396641897</v>
      </c>
      <c r="M1979">
        <v>30.14</v>
      </c>
      <c r="N1979">
        <v>19.02</v>
      </c>
    </row>
    <row r="1980" spans="1:14">
      <c r="A1980" s="1" t="s">
        <v>1992</v>
      </c>
      <c r="B1980">
        <f>HYPERLINK("https://www.suredividend.com/sure-analysis-research-database/","Newmark Group Inc")</f>
        <v>0</v>
      </c>
      <c r="C1980" t="s">
        <v>3187</v>
      </c>
      <c r="D1980">
        <v>6.81</v>
      </c>
      <c r="E1980">
        <v>0.017487636805242</v>
      </c>
      <c r="F1980">
        <v>0</v>
      </c>
      <c r="G1980">
        <v>-0.1972584382397693</v>
      </c>
      <c r="H1980">
        <v>0.119090806643702</v>
      </c>
      <c r="I1980">
        <v>1037.792033</v>
      </c>
      <c r="J1980">
        <v>34.0561163288813</v>
      </c>
      <c r="K1980">
        <v>0.8769573390552431</v>
      </c>
      <c r="L1980">
        <v>1.567668988459306</v>
      </c>
      <c r="M1980">
        <v>9.24</v>
      </c>
      <c r="N1980">
        <v>5.02</v>
      </c>
    </row>
    <row r="1981" spans="1:14">
      <c r="A1981" s="1" t="s">
        <v>1993</v>
      </c>
      <c r="B1981">
        <f>HYPERLINK("https://www.suredividend.com/sure-analysis-research-database/","NN Inc")</f>
        <v>0</v>
      </c>
      <c r="C1981" t="s">
        <v>3183</v>
      </c>
      <c r="D1981">
        <v>1.86</v>
      </c>
      <c r="E1981">
        <v>0</v>
      </c>
      <c r="F1981" t="s">
        <v>3182</v>
      </c>
      <c r="G1981" t="s">
        <v>3182</v>
      </c>
      <c r="H1981">
        <v>0</v>
      </c>
      <c r="I1981">
        <v>87.454611</v>
      </c>
      <c r="J1981" t="s">
        <v>3182</v>
      </c>
      <c r="K1981">
        <v>-0</v>
      </c>
      <c r="L1981">
        <v>1.201806666530616</v>
      </c>
      <c r="M1981">
        <v>3.25</v>
      </c>
      <c r="N1981">
        <v>0.967</v>
      </c>
    </row>
    <row r="1982" spans="1:14">
      <c r="A1982" s="1" t="s">
        <v>1994</v>
      </c>
      <c r="B1982">
        <f>HYPERLINK("https://www.suredividend.com/sure-analysis-research-database/","Nelnet Inc")</f>
        <v>0</v>
      </c>
      <c r="C1982" t="s">
        <v>3184</v>
      </c>
      <c r="D1982">
        <v>86.94</v>
      </c>
      <c r="E1982">
        <v>0.011912025340375</v>
      </c>
      <c r="F1982">
        <v>0.08333333333333348</v>
      </c>
      <c r="G1982">
        <v>0.07631692251481081</v>
      </c>
      <c r="H1982">
        <v>1.035631483092258</v>
      </c>
      <c r="I1982">
        <v>2317.037158</v>
      </c>
      <c r="J1982">
        <v>12.10402481123353</v>
      </c>
      <c r="K1982">
        <v>0.2022717740414566</v>
      </c>
      <c r="L1982">
        <v>0.584099961971267</v>
      </c>
      <c r="M1982">
        <v>101.31</v>
      </c>
      <c r="N1982">
        <v>81.67</v>
      </c>
    </row>
    <row r="1983" spans="1:14">
      <c r="A1983" s="1" t="s">
        <v>1995</v>
      </c>
      <c r="B1983">
        <f>HYPERLINK("https://www.suredividend.com/sure-analysis-NNN/","NNN REIT Inc")</f>
        <v>0</v>
      </c>
      <c r="C1983" t="s">
        <v>3187</v>
      </c>
      <c r="D1983">
        <v>38.84</v>
      </c>
      <c r="E1983">
        <v>0.05818743563336765</v>
      </c>
      <c r="F1983">
        <v>0.02727272727272734</v>
      </c>
      <c r="G1983">
        <v>0.02474471859817773</v>
      </c>
      <c r="H1983">
        <v>2.18231554162989</v>
      </c>
      <c r="I1983">
        <v>7085.987894</v>
      </c>
      <c r="J1983">
        <v>19.28333127502606</v>
      </c>
      <c r="K1983">
        <v>1.069762520406809</v>
      </c>
      <c r="L1983">
        <v>0.647527888948884</v>
      </c>
      <c r="M1983">
        <v>45.77</v>
      </c>
      <c r="N1983">
        <v>33.83</v>
      </c>
    </row>
    <row r="1984" spans="1:14">
      <c r="A1984" s="1" t="s">
        <v>1996</v>
      </c>
      <c r="B1984">
        <f>HYPERLINK("https://www.suredividend.com/sure-analysis-research-database/","NanoViricides Inc")</f>
        <v>0</v>
      </c>
      <c r="C1984" t="s">
        <v>3180</v>
      </c>
      <c r="D1984">
        <v>1.14</v>
      </c>
      <c r="E1984">
        <v>0</v>
      </c>
      <c r="F1984" t="s">
        <v>3182</v>
      </c>
      <c r="G1984" t="s">
        <v>3182</v>
      </c>
      <c r="H1984">
        <v>0</v>
      </c>
      <c r="I1984">
        <v>13.39044</v>
      </c>
      <c r="J1984">
        <v>0</v>
      </c>
      <c r="K1984" t="s">
        <v>3182</v>
      </c>
      <c r="L1984">
        <v>0.607000335697166</v>
      </c>
      <c r="M1984">
        <v>2</v>
      </c>
      <c r="N1984">
        <v>1.04</v>
      </c>
    </row>
    <row r="1985" spans="1:14">
      <c r="A1985" s="1" t="s">
        <v>1997</v>
      </c>
      <c r="B1985">
        <f>HYPERLINK("https://www.suredividend.com/sure-analysis-NOC/","Northrop Grumman Corp.")</f>
        <v>0</v>
      </c>
      <c r="C1985" t="s">
        <v>3183</v>
      </c>
      <c r="D1985">
        <v>475.77</v>
      </c>
      <c r="E1985">
        <v>0.01572188242217878</v>
      </c>
      <c r="F1985">
        <v>0.08092485549132955</v>
      </c>
      <c r="G1985">
        <v>0.09277832450524226</v>
      </c>
      <c r="H1985">
        <v>7.155846957531355</v>
      </c>
      <c r="I1985">
        <v>71742.597681</v>
      </c>
      <c r="J1985">
        <v>15.35915171929994</v>
      </c>
      <c r="K1985">
        <v>0.2342339429633832</v>
      </c>
      <c r="L1985">
        <v>0.239770266243203</v>
      </c>
      <c r="M1985">
        <v>543.15</v>
      </c>
      <c r="N1985">
        <v>414.56</v>
      </c>
    </row>
    <row r="1986" spans="1:14">
      <c r="A1986" s="1" t="s">
        <v>1998</v>
      </c>
      <c r="B1986">
        <f>HYPERLINK("https://www.suredividend.com/sure-analysis-research-database/","NI Holdings Inc")</f>
        <v>0</v>
      </c>
      <c r="C1986" t="s">
        <v>3184</v>
      </c>
      <c r="D1986">
        <v>12.65</v>
      </c>
      <c r="E1986">
        <v>0</v>
      </c>
      <c r="F1986" t="s">
        <v>3182</v>
      </c>
      <c r="G1986" t="s">
        <v>3182</v>
      </c>
      <c r="H1986">
        <v>0</v>
      </c>
      <c r="I1986">
        <v>263.914357</v>
      </c>
      <c r="J1986">
        <v>0</v>
      </c>
      <c r="K1986" t="s">
        <v>3182</v>
      </c>
      <c r="L1986">
        <v>0.624612491613426</v>
      </c>
      <c r="M1986">
        <v>15.28</v>
      </c>
      <c r="N1986">
        <v>12.01</v>
      </c>
    </row>
    <row r="1987" spans="1:14">
      <c r="A1987" s="1" t="s">
        <v>1999</v>
      </c>
      <c r="B1987">
        <f>HYPERLINK("https://www.suredividend.com/sure-analysis-research-database/","Northern Oil and Gas Inc.")</f>
        <v>0</v>
      </c>
      <c r="C1987" t="s">
        <v>3189</v>
      </c>
      <c r="D1987">
        <v>38.69</v>
      </c>
      <c r="E1987">
        <v>0.035406640731688</v>
      </c>
      <c r="F1987" t="s">
        <v>3182</v>
      </c>
      <c r="G1987" t="s">
        <v>3182</v>
      </c>
      <c r="H1987">
        <v>1.369882929909013</v>
      </c>
      <c r="I1987">
        <v>3599.050507</v>
      </c>
      <c r="J1987">
        <v>2.94484688240088</v>
      </c>
      <c r="K1987">
        <v>0.1002108946531831</v>
      </c>
      <c r="L1987">
        <v>1.159918452480018</v>
      </c>
      <c r="M1987">
        <v>43.22</v>
      </c>
      <c r="N1987">
        <v>24.75</v>
      </c>
    </row>
    <row r="1988" spans="1:14">
      <c r="A1988" s="1" t="s">
        <v>2000</v>
      </c>
      <c r="B1988">
        <f>HYPERLINK("https://www.suredividend.com/sure-analysis-research-database/","NOV Inc")</f>
        <v>0</v>
      </c>
      <c r="C1988" t="s">
        <v>3189</v>
      </c>
      <c r="D1988">
        <v>20.48</v>
      </c>
      <c r="E1988">
        <v>0.009725196602106001</v>
      </c>
      <c r="F1988" t="s">
        <v>3182</v>
      </c>
      <c r="G1988" t="s">
        <v>3182</v>
      </c>
      <c r="H1988">
        <v>0.199172026411132</v>
      </c>
      <c r="I1988">
        <v>8067.624878</v>
      </c>
      <c r="J1988">
        <v>16.16758492601203</v>
      </c>
      <c r="K1988">
        <v>0.1580730368342318</v>
      </c>
      <c r="L1988">
        <v>1.037666311414369</v>
      </c>
      <c r="M1988">
        <v>24.62</v>
      </c>
      <c r="N1988">
        <v>13.97</v>
      </c>
    </row>
    <row r="1989" spans="1:14">
      <c r="A1989" s="1" t="s">
        <v>2001</v>
      </c>
      <c r="B1989">
        <f>HYPERLINK("https://www.suredividend.com/sure-analysis-research-database/","Novanta Inc")</f>
        <v>0</v>
      </c>
      <c r="C1989" t="s">
        <v>3185</v>
      </c>
      <c r="D1989">
        <v>137.2</v>
      </c>
      <c r="E1989">
        <v>0</v>
      </c>
      <c r="F1989" t="s">
        <v>3182</v>
      </c>
      <c r="G1989" t="s">
        <v>3182</v>
      </c>
      <c r="H1989">
        <v>0</v>
      </c>
      <c r="I1989">
        <v>4912.902739</v>
      </c>
      <c r="J1989">
        <v>63.89022496358718</v>
      </c>
      <c r="K1989">
        <v>0</v>
      </c>
      <c r="L1989">
        <v>1.584638665255176</v>
      </c>
      <c r="M1989">
        <v>187.61</v>
      </c>
      <c r="N1989">
        <v>126.83</v>
      </c>
    </row>
    <row r="1990" spans="1:14">
      <c r="A1990" s="1" t="s">
        <v>2002</v>
      </c>
      <c r="B1990">
        <f>HYPERLINK("https://www.suredividend.com/sure-analysis-research-database/","ServiceNow Inc")</f>
        <v>0</v>
      </c>
      <c r="C1990" t="s">
        <v>3185</v>
      </c>
      <c r="D1990">
        <v>599.4299999999999</v>
      </c>
      <c r="E1990">
        <v>0</v>
      </c>
      <c r="F1990" t="s">
        <v>3182</v>
      </c>
      <c r="G1990" t="s">
        <v>3182</v>
      </c>
      <c r="H1990">
        <v>0</v>
      </c>
      <c r="I1990">
        <v>122883.15</v>
      </c>
      <c r="J1990">
        <v>77.47991803278688</v>
      </c>
      <c r="K1990">
        <v>0</v>
      </c>
      <c r="L1990">
        <v>1.687264539768913</v>
      </c>
      <c r="M1990">
        <v>614.36</v>
      </c>
      <c r="N1990">
        <v>351.25</v>
      </c>
    </row>
    <row r="1991" spans="1:14">
      <c r="A1991" s="1" t="s">
        <v>2003</v>
      </c>
      <c r="B1991">
        <f>HYPERLINK("https://www.suredividend.com/sure-analysis-research-database/","Neenah Inc")</f>
        <v>0</v>
      </c>
      <c r="C1991" t="s">
        <v>3181</v>
      </c>
      <c r="D1991">
        <v>32</v>
      </c>
      <c r="E1991">
        <v>0.058252615601215</v>
      </c>
      <c r="F1991" t="s">
        <v>3182</v>
      </c>
      <c r="G1991" t="s">
        <v>3182</v>
      </c>
      <c r="H1991">
        <v>1.864083699238888</v>
      </c>
      <c r="I1991">
        <v>537.253888</v>
      </c>
      <c r="J1991" t="s">
        <v>3182</v>
      </c>
      <c r="K1991" t="s">
        <v>3182</v>
      </c>
      <c r="L1991">
        <v>0.7464642607469351</v>
      </c>
      <c r="M1991">
        <v>55.11</v>
      </c>
      <c r="N1991">
        <v>31.05</v>
      </c>
    </row>
    <row r="1992" spans="1:14">
      <c r="A1992" s="1" t="s">
        <v>2004</v>
      </c>
      <c r="B1992">
        <f>HYPERLINK("https://www.suredividend.com/sure-analysis-research-database/","National Presto Industries, Inc.")</f>
        <v>0</v>
      </c>
      <c r="C1992" t="s">
        <v>3183</v>
      </c>
      <c r="D1992">
        <v>76.58</v>
      </c>
      <c r="E1992">
        <v>0.013058239749281</v>
      </c>
      <c r="F1992" t="s">
        <v>3182</v>
      </c>
      <c r="G1992" t="s">
        <v>3182</v>
      </c>
      <c r="H1992">
        <v>1</v>
      </c>
      <c r="I1992">
        <v>542.139763</v>
      </c>
      <c r="J1992">
        <v>21.27623573564617</v>
      </c>
      <c r="K1992">
        <v>0.2785515320334262</v>
      </c>
      <c r="L1992">
        <v>0.643549903010319</v>
      </c>
      <c r="M1992">
        <v>82.59</v>
      </c>
      <c r="N1992">
        <v>63.56</v>
      </c>
    </row>
    <row r="1993" spans="1:14">
      <c r="A1993" s="1" t="s">
        <v>2005</v>
      </c>
      <c r="B1993">
        <f>HYPERLINK("https://www.suredividend.com/sure-analysis-research-database/","EnPro Industries Inc")</f>
        <v>0</v>
      </c>
      <c r="C1993" t="s">
        <v>3183</v>
      </c>
      <c r="D1993">
        <v>116.11</v>
      </c>
      <c r="E1993">
        <v>0.009868480149142001</v>
      </c>
      <c r="F1993">
        <v>0.03571428571428559</v>
      </c>
      <c r="G1993">
        <v>0.03857377308425858</v>
      </c>
      <c r="H1993">
        <v>1.145829230116914</v>
      </c>
      <c r="I1993">
        <v>2427.554034</v>
      </c>
      <c r="J1993">
        <v>15.56124380794872</v>
      </c>
      <c r="K1993">
        <v>0.1538025812237468</v>
      </c>
      <c r="L1993">
        <v>1.078941045384594</v>
      </c>
      <c r="M1993">
        <v>144.54</v>
      </c>
      <c r="N1993">
        <v>91.29000000000001</v>
      </c>
    </row>
    <row r="1994" spans="1:14">
      <c r="A1994" s="1" t="s">
        <v>2006</v>
      </c>
      <c r="B1994">
        <f>HYPERLINK("https://www.suredividend.com/sure-analysis-research-database/","NeoPhotonics Corporation")</f>
        <v>0</v>
      </c>
      <c r="C1994" t="s">
        <v>3185</v>
      </c>
      <c r="D1994">
        <v>16.01</v>
      </c>
      <c r="E1994">
        <v>0</v>
      </c>
      <c r="F1994" t="s">
        <v>3182</v>
      </c>
      <c r="G1994" t="s">
        <v>3182</v>
      </c>
      <c r="H1994">
        <v>0</v>
      </c>
      <c r="I1994">
        <v>859.559257</v>
      </c>
      <c r="J1994">
        <v>0</v>
      </c>
      <c r="K1994" t="s">
        <v>3182</v>
      </c>
      <c r="L1994">
        <v>0.274869353252886</v>
      </c>
      <c r="M1994">
        <v>16.14</v>
      </c>
      <c r="N1994">
        <v>7.95</v>
      </c>
    </row>
    <row r="1995" spans="1:14">
      <c r="A1995" s="1" t="s">
        <v>2007</v>
      </c>
      <c r="B1995">
        <f>HYPERLINK("https://www.suredividend.com/sure-analysis-research-database/","Newpark Resources, Inc.")</f>
        <v>0</v>
      </c>
      <c r="C1995" t="s">
        <v>3189</v>
      </c>
      <c r="D1995">
        <v>7.36</v>
      </c>
      <c r="E1995">
        <v>0</v>
      </c>
      <c r="F1995" t="s">
        <v>3182</v>
      </c>
      <c r="G1995" t="s">
        <v>3182</v>
      </c>
      <c r="H1995">
        <v>0</v>
      </c>
      <c r="I1995">
        <v>626.24888</v>
      </c>
      <c r="J1995" t="s">
        <v>3182</v>
      </c>
      <c r="K1995">
        <v>-0</v>
      </c>
      <c r="L1995">
        <v>0.746802520716043</v>
      </c>
      <c r="M1995">
        <v>7.54</v>
      </c>
      <c r="N1995">
        <v>3.4</v>
      </c>
    </row>
    <row r="1996" spans="1:14">
      <c r="A1996" s="1" t="s">
        <v>2008</v>
      </c>
      <c r="B1996">
        <f>HYPERLINK("https://www.suredividend.com/sure-analysis-research-database/","National Research Corp")</f>
        <v>0</v>
      </c>
      <c r="C1996" t="s">
        <v>3180</v>
      </c>
      <c r="D1996">
        <v>41.93</v>
      </c>
      <c r="E1996">
        <v>0.010995993054406</v>
      </c>
      <c r="F1996" t="s">
        <v>3182</v>
      </c>
      <c r="G1996" t="s">
        <v>3182</v>
      </c>
      <c r="H1996">
        <v>0.461061988771283</v>
      </c>
      <c r="I1996">
        <v>1030.125925</v>
      </c>
      <c r="J1996">
        <v>35.32546638386886</v>
      </c>
      <c r="K1996">
        <v>0.3907304989587144</v>
      </c>
      <c r="L1996">
        <v>0.5293580603519641</v>
      </c>
      <c r="M1996">
        <v>47</v>
      </c>
      <c r="N1996">
        <v>34.06</v>
      </c>
    </row>
    <row r="1997" spans="1:14">
      <c r="A1997" s="1" t="s">
        <v>2009</v>
      </c>
      <c r="B1997">
        <f>HYPERLINK("https://www.suredividend.com/sure-analysis-NRG/","NRG Energy Inc.")</f>
        <v>0</v>
      </c>
      <c r="C1997" t="s">
        <v>3190</v>
      </c>
      <c r="D1997">
        <v>45.13</v>
      </c>
      <c r="E1997">
        <v>0.03345889652116109</v>
      </c>
      <c r="F1997">
        <v>0.07857142857142851</v>
      </c>
      <c r="G1997">
        <v>0.6594307757788702</v>
      </c>
      <c r="H1997">
        <v>1.48828699071904</v>
      </c>
      <c r="I1997">
        <v>10340.069616</v>
      </c>
      <c r="J1997" t="s">
        <v>3182</v>
      </c>
      <c r="K1997" t="s">
        <v>3182</v>
      </c>
      <c r="L1997">
        <v>1.057359217805982</v>
      </c>
      <c r="M1997">
        <v>46.26</v>
      </c>
      <c r="N1997">
        <v>29.35</v>
      </c>
    </row>
    <row r="1998" spans="1:14">
      <c r="A1998" s="1" t="s">
        <v>2010</v>
      </c>
      <c r="B1998">
        <f>HYPERLINK("https://www.suredividend.com/sure-analysis-NRIM/","Northrim Bancorp, Inc.")</f>
        <v>0</v>
      </c>
      <c r="C1998" t="s">
        <v>3184</v>
      </c>
      <c r="D1998">
        <v>42.59</v>
      </c>
      <c r="E1998">
        <v>0.05635125616341864</v>
      </c>
      <c r="F1998">
        <v>0.2000000000000002</v>
      </c>
      <c r="G1998">
        <v>0.173160676311841</v>
      </c>
      <c r="H1998">
        <v>2.254403460214585</v>
      </c>
      <c r="I1998">
        <v>240.626728</v>
      </c>
      <c r="J1998">
        <v>0</v>
      </c>
      <c r="K1998" t="s">
        <v>3182</v>
      </c>
      <c r="L1998">
        <v>0.503222342083261</v>
      </c>
      <c r="M1998">
        <v>54.02</v>
      </c>
      <c r="N1998">
        <v>32.34</v>
      </c>
    </row>
    <row r="1999" spans="1:14">
      <c r="A1999" s="1" t="s">
        <v>2011</v>
      </c>
      <c r="B1999">
        <f>HYPERLINK("https://www.suredividend.com/sure-analysis-NSA/","National Storage Affiliates Trust")</f>
        <v>0</v>
      </c>
      <c r="C1999" t="s">
        <v>3187</v>
      </c>
      <c r="D1999">
        <v>29.59</v>
      </c>
      <c r="E1999">
        <v>0.07570125042244003</v>
      </c>
      <c r="F1999">
        <v>0.0181818181818183</v>
      </c>
      <c r="G1999">
        <v>0.1329568106011707</v>
      </c>
      <c r="H1999">
        <v>2.169163378179432</v>
      </c>
      <c r="I1999">
        <v>2640.549283</v>
      </c>
      <c r="J1999">
        <v>27.51345986329488</v>
      </c>
      <c r="K1999">
        <v>2.367565354921886</v>
      </c>
      <c r="L1999">
        <v>1.030339872282951</v>
      </c>
      <c r="M1999">
        <v>42.8</v>
      </c>
      <c r="N1999">
        <v>27.86</v>
      </c>
    </row>
    <row r="2000" spans="1:14">
      <c r="A2000" s="1" t="s">
        <v>2012</v>
      </c>
      <c r="B2000">
        <f>HYPERLINK("https://www.suredividend.com/sure-analysis-NSC/","Norfolk Southern Corp.")</f>
        <v>0</v>
      </c>
      <c r="C2000" t="s">
        <v>3183</v>
      </c>
      <c r="D2000">
        <v>191.86</v>
      </c>
      <c r="E2000">
        <v>0.02814552277702491</v>
      </c>
      <c r="F2000">
        <v>0.08870967741935498</v>
      </c>
      <c r="G2000">
        <v>0.09437726796212376</v>
      </c>
      <c r="H2000">
        <v>5.346669070138787</v>
      </c>
      <c r="I2000">
        <v>43386.517041</v>
      </c>
      <c r="J2000">
        <v>20.77898325729885</v>
      </c>
      <c r="K2000">
        <v>0.5849747341508519</v>
      </c>
      <c r="L2000">
        <v>0.920901475347171</v>
      </c>
      <c r="M2000">
        <v>255.22</v>
      </c>
      <c r="N2000">
        <v>181.79</v>
      </c>
    </row>
    <row r="2001" spans="1:14">
      <c r="A2001" s="1" t="s">
        <v>2013</v>
      </c>
      <c r="B2001">
        <f>HYPERLINK("https://www.suredividend.com/sure-analysis-research-database/","National Security Group, Inc.")</f>
        <v>0</v>
      </c>
      <c r="C2001" t="s">
        <v>3184</v>
      </c>
      <c r="D2001">
        <v>16.36</v>
      </c>
      <c r="E2001">
        <v>0</v>
      </c>
      <c r="F2001" t="s">
        <v>3182</v>
      </c>
      <c r="G2001" t="s">
        <v>3182</v>
      </c>
      <c r="H2001">
        <v>0.239999994635582</v>
      </c>
      <c r="I2001">
        <v>0</v>
      </c>
      <c r="J2001">
        <v>0</v>
      </c>
      <c r="K2001" t="s">
        <v>3182</v>
      </c>
    </row>
    <row r="2002" spans="1:14">
      <c r="A2002" s="1" t="s">
        <v>2014</v>
      </c>
      <c r="B2002">
        <f>HYPERLINK("https://www.suredividend.com/sure-analysis-research-database/","Insight Enterprises Inc.")</f>
        <v>0</v>
      </c>
      <c r="C2002" t="s">
        <v>3185</v>
      </c>
      <c r="D2002">
        <v>143.03</v>
      </c>
      <c r="E2002">
        <v>0</v>
      </c>
      <c r="F2002" t="s">
        <v>3182</v>
      </c>
      <c r="G2002" t="s">
        <v>3182</v>
      </c>
      <c r="H2002">
        <v>0</v>
      </c>
      <c r="I2002">
        <v>5088.00147</v>
      </c>
      <c r="J2002">
        <v>19.18212635773449</v>
      </c>
      <c r="K2002">
        <v>0</v>
      </c>
      <c r="L2002">
        <v>0.6114819527802651</v>
      </c>
      <c r="M2002">
        <v>162.05</v>
      </c>
      <c r="N2002">
        <v>92.41</v>
      </c>
    </row>
    <row r="2003" spans="1:14">
      <c r="A2003" s="1" t="s">
        <v>2015</v>
      </c>
      <c r="B2003">
        <f>HYPERLINK("https://www.suredividend.com/sure-analysis-NSP/","Insperity Inc")</f>
        <v>0</v>
      </c>
      <c r="C2003" t="s">
        <v>3183</v>
      </c>
      <c r="D2003">
        <v>107.55</v>
      </c>
      <c r="E2003">
        <v>0.02119944211994421</v>
      </c>
      <c r="F2003">
        <v>0.09615384615384626</v>
      </c>
      <c r="G2003">
        <v>0.1369744888101381</v>
      </c>
      <c r="H2003">
        <v>2.163724068083478</v>
      </c>
      <c r="I2003">
        <v>4009.532509</v>
      </c>
      <c r="J2003">
        <v>21.09536378934797</v>
      </c>
      <c r="K2003">
        <v>0.4388892633029368</v>
      </c>
      <c r="L2003">
        <v>0.8924900188757001</v>
      </c>
      <c r="M2003">
        <v>129.72</v>
      </c>
      <c r="N2003">
        <v>93.34</v>
      </c>
    </row>
    <row r="2004" spans="1:14">
      <c r="A2004" s="1" t="s">
        <v>2016</v>
      </c>
      <c r="B2004">
        <f>HYPERLINK("https://www.suredividend.com/sure-analysis-research-database/","NAPCO Security Technologies Inc")</f>
        <v>0</v>
      </c>
      <c r="C2004" t="s">
        <v>3183</v>
      </c>
      <c r="D2004">
        <v>18.56</v>
      </c>
      <c r="E2004">
        <v>0.004310344731242</v>
      </c>
      <c r="F2004" t="s">
        <v>3182</v>
      </c>
      <c r="G2004" t="s">
        <v>3182</v>
      </c>
      <c r="H2004">
        <v>0.07999999821186</v>
      </c>
      <c r="I2004">
        <v>682.453</v>
      </c>
      <c r="J2004">
        <v>25.15770266966491</v>
      </c>
      <c r="K2004">
        <v>0.1091256284434047</v>
      </c>
      <c r="L2004">
        <v>1.05961683179586</v>
      </c>
      <c r="M2004">
        <v>40.98</v>
      </c>
      <c r="N2004">
        <v>17.76</v>
      </c>
    </row>
    <row r="2005" spans="1:14">
      <c r="A2005" s="1" t="s">
        <v>2017</v>
      </c>
      <c r="B2005">
        <f>HYPERLINK("https://www.suredividend.com/sure-analysis-research-database/","Nanostring Technologies Inc")</f>
        <v>0</v>
      </c>
      <c r="C2005" t="s">
        <v>3180</v>
      </c>
      <c r="D2005">
        <v>1.41</v>
      </c>
      <c r="E2005">
        <v>0</v>
      </c>
      <c r="F2005" t="s">
        <v>3182</v>
      </c>
      <c r="G2005" t="s">
        <v>3182</v>
      </c>
      <c r="H2005">
        <v>0</v>
      </c>
      <c r="I2005">
        <v>67.039225</v>
      </c>
      <c r="J2005">
        <v>0</v>
      </c>
      <c r="K2005" t="s">
        <v>3182</v>
      </c>
      <c r="L2005">
        <v>2.585598445706575</v>
      </c>
      <c r="M2005">
        <v>13.2</v>
      </c>
      <c r="N2005">
        <v>1.18</v>
      </c>
    </row>
    <row r="2006" spans="1:14">
      <c r="A2006" s="1" t="s">
        <v>2018</v>
      </c>
      <c r="B2006">
        <f>HYPERLINK("https://www.suredividend.com/sure-analysis-NTAP/","Netapp Inc")</f>
        <v>0</v>
      </c>
      <c r="C2006" t="s">
        <v>3185</v>
      </c>
      <c r="D2006">
        <v>74.73</v>
      </c>
      <c r="E2006">
        <v>0.02676301351532182</v>
      </c>
      <c r="F2006">
        <v>0</v>
      </c>
      <c r="G2006">
        <v>0.04563955259127317</v>
      </c>
      <c r="H2006">
        <v>1.963421357116745</v>
      </c>
      <c r="I2006">
        <v>15603.624</v>
      </c>
      <c r="J2006">
        <v>12.90622332506204</v>
      </c>
      <c r="K2006">
        <v>0.353769613894909</v>
      </c>
      <c r="L2006">
        <v>0.953974501410461</v>
      </c>
      <c r="M2006">
        <v>79.47</v>
      </c>
      <c r="N2006">
        <v>55.66</v>
      </c>
    </row>
    <row r="2007" spans="1:14">
      <c r="A2007" s="1" t="s">
        <v>2019</v>
      </c>
      <c r="B2007">
        <f>HYPERLINK("https://www.suredividend.com/sure-analysis-research-database/","Netscout Systems Inc")</f>
        <v>0</v>
      </c>
      <c r="C2007" t="s">
        <v>3185</v>
      </c>
      <c r="D2007">
        <v>21.76</v>
      </c>
      <c r="E2007">
        <v>0</v>
      </c>
      <c r="F2007" t="s">
        <v>3182</v>
      </c>
      <c r="G2007" t="s">
        <v>3182</v>
      </c>
      <c r="H2007">
        <v>0</v>
      </c>
      <c r="I2007">
        <v>1569.948945</v>
      </c>
      <c r="J2007">
        <v>25.08707166251199</v>
      </c>
      <c r="K2007">
        <v>0</v>
      </c>
      <c r="L2007">
        <v>0.6975720111127991</v>
      </c>
      <c r="M2007">
        <v>38.02</v>
      </c>
      <c r="N2007">
        <v>21.15</v>
      </c>
    </row>
    <row r="2008" spans="1:14">
      <c r="A2008" s="1" t="s">
        <v>2020</v>
      </c>
      <c r="B2008">
        <f>HYPERLINK("https://www.suredividend.com/sure-analysis-research-database/","Netgear Inc")</f>
        <v>0</v>
      </c>
      <c r="C2008" t="s">
        <v>3185</v>
      </c>
      <c r="D2008">
        <v>12.43</v>
      </c>
      <c r="E2008">
        <v>0</v>
      </c>
      <c r="F2008" t="s">
        <v>3182</v>
      </c>
      <c r="G2008" t="s">
        <v>3182</v>
      </c>
      <c r="H2008">
        <v>0</v>
      </c>
      <c r="I2008">
        <v>365.443206</v>
      </c>
      <c r="J2008" t="s">
        <v>3182</v>
      </c>
      <c r="K2008">
        <v>-0</v>
      </c>
      <c r="L2008">
        <v>0.725485767737713</v>
      </c>
      <c r="M2008">
        <v>21.79</v>
      </c>
      <c r="N2008">
        <v>10.4</v>
      </c>
    </row>
    <row r="2009" spans="1:14">
      <c r="A2009" s="1" t="s">
        <v>2021</v>
      </c>
      <c r="B2009">
        <f>HYPERLINK("https://www.suredividend.com/sure-analysis-research-database/","Northern Technologies International Corp.")</f>
        <v>0</v>
      </c>
      <c r="C2009" t="s">
        <v>3181</v>
      </c>
      <c r="D2009">
        <v>12.39</v>
      </c>
      <c r="E2009">
        <v>0.022214509109676</v>
      </c>
      <c r="F2009" t="s">
        <v>3182</v>
      </c>
      <c r="G2009" t="s">
        <v>3182</v>
      </c>
      <c r="H2009">
        <v>0.275237767868888</v>
      </c>
      <c r="I2009">
        <v>116.093346</v>
      </c>
      <c r="J2009">
        <v>0</v>
      </c>
      <c r="K2009" t="s">
        <v>3182</v>
      </c>
      <c r="L2009">
        <v>0.359805053579985</v>
      </c>
      <c r="M2009">
        <v>13.75</v>
      </c>
      <c r="N2009">
        <v>9.869999999999999</v>
      </c>
    </row>
    <row r="2010" spans="1:14">
      <c r="A2010" s="1" t="s">
        <v>2022</v>
      </c>
      <c r="B2010">
        <f>HYPERLINK("https://www.suredividend.com/sure-analysis-research-database/","Network-1 Technologies Inc")</f>
        <v>0</v>
      </c>
      <c r="C2010" t="s">
        <v>3185</v>
      </c>
      <c r="D2010">
        <v>2.1794</v>
      </c>
      <c r="E2010">
        <v>0.045884188992436</v>
      </c>
      <c r="F2010" t="s">
        <v>3182</v>
      </c>
      <c r="G2010" t="s">
        <v>3182</v>
      </c>
      <c r="H2010">
        <v>0.100000001490116</v>
      </c>
      <c r="I2010">
        <v>51.779406</v>
      </c>
      <c r="J2010">
        <v>0</v>
      </c>
      <c r="K2010" t="s">
        <v>3182</v>
      </c>
      <c r="M2010">
        <v>2.6</v>
      </c>
      <c r="N2010">
        <v>2</v>
      </c>
    </row>
    <row r="2011" spans="1:14">
      <c r="A2011" s="1" t="s">
        <v>2023</v>
      </c>
      <c r="B2011">
        <f>HYPERLINK("https://www.suredividend.com/sure-analysis-research-database/","Intellia Therapeutics Inc")</f>
        <v>0</v>
      </c>
      <c r="C2011" t="s">
        <v>3180</v>
      </c>
      <c r="D2011">
        <v>26.48</v>
      </c>
      <c r="E2011">
        <v>0</v>
      </c>
      <c r="F2011" t="s">
        <v>3182</v>
      </c>
      <c r="G2011" t="s">
        <v>3182</v>
      </c>
      <c r="H2011">
        <v>0</v>
      </c>
      <c r="I2011">
        <v>2343.240356</v>
      </c>
      <c r="J2011" t="s">
        <v>3182</v>
      </c>
      <c r="K2011">
        <v>-0</v>
      </c>
      <c r="L2011">
        <v>1.782822461595087</v>
      </c>
      <c r="M2011">
        <v>57.49</v>
      </c>
      <c r="N2011">
        <v>22.81</v>
      </c>
    </row>
    <row r="2012" spans="1:14">
      <c r="A2012" s="1" t="s">
        <v>2024</v>
      </c>
      <c r="B2012">
        <f>HYPERLINK("https://www.suredividend.com/sure-analysis-research-database/","Nutanix Inc")</f>
        <v>0</v>
      </c>
      <c r="C2012" t="s">
        <v>3185</v>
      </c>
      <c r="D2012">
        <v>37.36</v>
      </c>
      <c r="E2012">
        <v>0</v>
      </c>
      <c r="F2012" t="s">
        <v>3182</v>
      </c>
      <c r="G2012" t="s">
        <v>3182</v>
      </c>
      <c r="H2012">
        <v>0</v>
      </c>
      <c r="I2012">
        <v>8809.487999999999</v>
      </c>
      <c r="J2012" t="s">
        <v>3182</v>
      </c>
      <c r="K2012">
        <v>-0</v>
      </c>
      <c r="L2012">
        <v>1.182046432400391</v>
      </c>
      <c r="M2012">
        <v>39.63</v>
      </c>
      <c r="N2012">
        <v>23.35</v>
      </c>
    </row>
    <row r="2013" spans="1:14">
      <c r="A2013" s="1" t="s">
        <v>2025</v>
      </c>
      <c r="B2013">
        <f>HYPERLINK("https://www.suredividend.com/sure-analysis-research-database/","Natera Inc")</f>
        <v>0</v>
      </c>
      <c r="C2013" t="s">
        <v>3180</v>
      </c>
      <c r="D2013">
        <v>40.55</v>
      </c>
      <c r="E2013">
        <v>0</v>
      </c>
      <c r="F2013" t="s">
        <v>3182</v>
      </c>
      <c r="G2013" t="s">
        <v>3182</v>
      </c>
      <c r="H2013">
        <v>0</v>
      </c>
      <c r="I2013">
        <v>4647.098448</v>
      </c>
      <c r="J2013" t="s">
        <v>3182</v>
      </c>
      <c r="K2013">
        <v>-0</v>
      </c>
      <c r="L2013">
        <v>1.112256294047632</v>
      </c>
      <c r="M2013">
        <v>63</v>
      </c>
      <c r="N2013">
        <v>34</v>
      </c>
    </row>
    <row r="2014" spans="1:14">
      <c r="A2014" s="1" t="s">
        <v>2026</v>
      </c>
      <c r="B2014">
        <f>HYPERLINK("https://www.suredividend.com/sure-analysis-NTRS/","Northern Trust Corp.")</f>
        <v>0</v>
      </c>
      <c r="C2014" t="s">
        <v>3184</v>
      </c>
      <c r="D2014">
        <v>70.09999999999999</v>
      </c>
      <c r="E2014">
        <v>0.0427960057061341</v>
      </c>
      <c r="F2014" t="s">
        <v>3182</v>
      </c>
      <c r="G2014" t="s">
        <v>3182</v>
      </c>
      <c r="H2014">
        <v>2.921210395731743</v>
      </c>
      <c r="I2014">
        <v>14513.249537</v>
      </c>
      <c r="J2014">
        <v>13.24080789800201</v>
      </c>
      <c r="K2014">
        <v>0.5543093730041259</v>
      </c>
      <c r="L2014">
        <v>1.354852143428752</v>
      </c>
      <c r="M2014">
        <v>95.58</v>
      </c>
      <c r="N2014">
        <v>62.44</v>
      </c>
    </row>
    <row r="2015" spans="1:14">
      <c r="A2015" s="1" t="s">
        <v>2027</v>
      </c>
      <c r="B2015">
        <f>HYPERLINK("https://www.suredividend.com/sure-analysis-research-database/","Natus Medical Inc")</f>
        <v>0</v>
      </c>
      <c r="C2015" t="s">
        <v>3180</v>
      </c>
      <c r="D2015">
        <v>32.96</v>
      </c>
      <c r="E2015">
        <v>0</v>
      </c>
      <c r="F2015" t="s">
        <v>3182</v>
      </c>
      <c r="G2015" t="s">
        <v>3182</v>
      </c>
      <c r="H2015">
        <v>0</v>
      </c>
      <c r="I2015">
        <v>0</v>
      </c>
      <c r="J2015">
        <v>0</v>
      </c>
      <c r="K2015">
        <v>0</v>
      </c>
    </row>
    <row r="2016" spans="1:14">
      <c r="A2016" s="1" t="s">
        <v>2028</v>
      </c>
      <c r="B2016">
        <f>HYPERLINK("https://www.suredividend.com/sure-analysis-research-database/","Netsol Technologies, Inc.")</f>
        <v>0</v>
      </c>
      <c r="C2016" t="s">
        <v>3185</v>
      </c>
      <c r="D2016">
        <v>1.88</v>
      </c>
      <c r="E2016">
        <v>0</v>
      </c>
      <c r="F2016" t="s">
        <v>3182</v>
      </c>
      <c r="G2016" t="s">
        <v>3182</v>
      </c>
      <c r="H2016">
        <v>0</v>
      </c>
      <c r="I2016">
        <v>21.330209</v>
      </c>
      <c r="J2016" t="s">
        <v>3182</v>
      </c>
      <c r="K2016">
        <v>-0</v>
      </c>
      <c r="M2016">
        <v>3.3</v>
      </c>
      <c r="N2016">
        <v>1.72</v>
      </c>
    </row>
    <row r="2017" spans="1:14">
      <c r="A2017" s="1" t="s">
        <v>2029</v>
      </c>
      <c r="B2017">
        <f>HYPERLINK("https://www.suredividend.com/sure-analysis-research-database/","Nuance Communications Inc")</f>
        <v>0</v>
      </c>
      <c r="C2017" t="s">
        <v>3185</v>
      </c>
      <c r="D2017">
        <v>55.99</v>
      </c>
      <c r="E2017">
        <v>0</v>
      </c>
      <c r="F2017" t="s">
        <v>3182</v>
      </c>
      <c r="G2017" t="s">
        <v>3182</v>
      </c>
      <c r="H2017">
        <v>0</v>
      </c>
      <c r="I2017">
        <v>0</v>
      </c>
      <c r="J2017">
        <v>0</v>
      </c>
      <c r="K2017">
        <v>-0</v>
      </c>
    </row>
    <row r="2018" spans="1:14">
      <c r="A2018" s="1" t="s">
        <v>2030</v>
      </c>
      <c r="B2018">
        <f>HYPERLINK("https://www.suredividend.com/sure-analysis-NUE/","Nucor Corp.")</f>
        <v>0</v>
      </c>
      <c r="C2018" t="s">
        <v>3181</v>
      </c>
      <c r="D2018">
        <v>151.26</v>
      </c>
      <c r="E2018">
        <v>0.01348671162237208</v>
      </c>
      <c r="F2018">
        <v>0.02000000000000002</v>
      </c>
      <c r="G2018">
        <v>0.04978904632428516</v>
      </c>
      <c r="H2018">
        <v>2.030046540014619</v>
      </c>
      <c r="I2018">
        <v>37621.764442</v>
      </c>
      <c r="J2018">
        <v>6.806629230593875</v>
      </c>
      <c r="K2018">
        <v>0.09380991404873469</v>
      </c>
      <c r="L2018">
        <v>1.269415327929902</v>
      </c>
      <c r="M2018">
        <v>180.89</v>
      </c>
      <c r="N2018">
        <v>127.71</v>
      </c>
    </row>
    <row r="2019" spans="1:14">
      <c r="A2019" s="1" t="s">
        <v>2031</v>
      </c>
      <c r="B2019">
        <f>HYPERLINK("https://www.suredividend.com/sure-analysis-research-database/","Neurometrix Inc.")</f>
        <v>0</v>
      </c>
      <c r="C2019" t="s">
        <v>3180</v>
      </c>
      <c r="D2019">
        <v>0.4803</v>
      </c>
      <c r="E2019">
        <v>0</v>
      </c>
      <c r="F2019" t="s">
        <v>3182</v>
      </c>
      <c r="G2019" t="s">
        <v>3182</v>
      </c>
      <c r="H2019">
        <v>0</v>
      </c>
      <c r="I2019">
        <v>4.126437</v>
      </c>
      <c r="J2019">
        <v>0</v>
      </c>
      <c r="K2019" t="s">
        <v>3182</v>
      </c>
      <c r="L2019">
        <v>1.099790465429909</v>
      </c>
      <c r="M2019">
        <v>2.18</v>
      </c>
      <c r="N2019">
        <v>0.45</v>
      </c>
    </row>
    <row r="2020" spans="1:14">
      <c r="A2020" s="1" t="s">
        <v>2032</v>
      </c>
      <c r="B2020">
        <f>HYPERLINK("https://www.suredividend.com/sure-analysis-NUS/","Nu Skin Enterprises, Inc.")</f>
        <v>0</v>
      </c>
      <c r="C2020" t="s">
        <v>3188</v>
      </c>
      <c r="D2020">
        <v>16.86</v>
      </c>
      <c r="E2020">
        <v>0.09252669039145908</v>
      </c>
      <c r="F2020">
        <v>0.0129870129870131</v>
      </c>
      <c r="G2020">
        <v>0.01333804570728625</v>
      </c>
      <c r="H2020">
        <v>1.523682368151178</v>
      </c>
      <c r="I2020">
        <v>842.308487</v>
      </c>
      <c r="J2020">
        <v>12.01701292711112</v>
      </c>
      <c r="K2020">
        <v>1.088344548679413</v>
      </c>
      <c r="L2020">
        <v>0.807919969670137</v>
      </c>
      <c r="M2020">
        <v>43.88</v>
      </c>
      <c r="N2020">
        <v>16.2</v>
      </c>
    </row>
    <row r="2021" spans="1:14">
      <c r="A2021" s="1" t="s">
        <v>2033</v>
      </c>
      <c r="B2021">
        <f>HYPERLINK("https://www.suredividend.com/sure-analysis-research-database/","Nuvasive Inc")</f>
        <v>0</v>
      </c>
      <c r="C2021" t="s">
        <v>3180</v>
      </c>
      <c r="D2021">
        <v>39.75</v>
      </c>
      <c r="E2021">
        <v>0</v>
      </c>
      <c r="F2021" t="s">
        <v>3182</v>
      </c>
      <c r="G2021" t="s">
        <v>3182</v>
      </c>
      <c r="H2021">
        <v>0</v>
      </c>
      <c r="I2021">
        <v>0</v>
      </c>
      <c r="J2021">
        <v>0</v>
      </c>
      <c r="K2021">
        <v>0</v>
      </c>
    </row>
    <row r="2022" spans="1:14">
      <c r="A2022" s="1" t="s">
        <v>2034</v>
      </c>
      <c r="B2022">
        <f>HYPERLINK("https://www.suredividend.com/sure-analysis-research-database/","Novavax, Inc.")</f>
        <v>0</v>
      </c>
      <c r="C2022" t="s">
        <v>3180</v>
      </c>
      <c r="D2022">
        <v>7.14</v>
      </c>
      <c r="E2022">
        <v>0</v>
      </c>
      <c r="F2022" t="s">
        <v>3182</v>
      </c>
      <c r="G2022" t="s">
        <v>3182</v>
      </c>
      <c r="H2022">
        <v>0</v>
      </c>
      <c r="I2022">
        <v>674.045881</v>
      </c>
      <c r="J2022" t="s">
        <v>3182</v>
      </c>
      <c r="K2022">
        <v>-0</v>
      </c>
      <c r="L2022">
        <v>1.817013211535969</v>
      </c>
      <c r="M2022">
        <v>25.66</v>
      </c>
      <c r="N2022">
        <v>5.61</v>
      </c>
    </row>
    <row r="2023" spans="1:14">
      <c r="A2023" s="1" t="s">
        <v>2035</v>
      </c>
      <c r="B2023">
        <f>HYPERLINK("https://www.suredividend.com/sure-analysis-NVDA/","NVIDIA Corp")</f>
        <v>0</v>
      </c>
      <c r="C2023" t="s">
        <v>3185</v>
      </c>
      <c r="D2023">
        <v>435.06</v>
      </c>
      <c r="E2023">
        <v>0.0003677653656966855</v>
      </c>
      <c r="F2023">
        <v>0</v>
      </c>
      <c r="G2023">
        <v>-0.242141716744801</v>
      </c>
      <c r="H2023">
        <v>0.159975031763125</v>
      </c>
      <c r="I2023">
        <v>1074598.2</v>
      </c>
      <c r="J2023">
        <v>104.0773075060533</v>
      </c>
      <c r="K2023">
        <v>0.03864131202007851</v>
      </c>
      <c r="L2023">
        <v>2.230428337583284</v>
      </c>
      <c r="M2023">
        <v>502.62</v>
      </c>
      <c r="N2023">
        <v>136.89</v>
      </c>
    </row>
    <row r="2024" spans="1:14">
      <c r="A2024" s="1" t="s">
        <v>2036</v>
      </c>
      <c r="B2024">
        <f>HYPERLINK("https://www.suredividend.com/sure-analysis-research-database/","NVE Corp")</f>
        <v>0</v>
      </c>
      <c r="C2024" t="s">
        <v>3185</v>
      </c>
      <c r="D2024">
        <v>68.12</v>
      </c>
      <c r="E2024">
        <v>0.05690289882883801</v>
      </c>
      <c r="F2024">
        <v>0</v>
      </c>
      <c r="G2024">
        <v>0</v>
      </c>
      <c r="H2024">
        <v>3.876225468220493</v>
      </c>
      <c r="I2024">
        <v>329.251276</v>
      </c>
      <c r="J2024">
        <v>15.24928141635055</v>
      </c>
      <c r="K2024">
        <v>0.8691088493767922</v>
      </c>
      <c r="L2024">
        <v>0.7329067953323041</v>
      </c>
      <c r="M2024">
        <v>96.02</v>
      </c>
      <c r="N2024">
        <v>57.44</v>
      </c>
    </row>
    <row r="2025" spans="1:14">
      <c r="A2025" s="1" t="s">
        <v>2037</v>
      </c>
      <c r="B2025">
        <f>HYPERLINK("https://www.suredividend.com/sure-analysis-research-database/","NV5 Global Inc")</f>
        <v>0</v>
      </c>
      <c r="C2025" t="s">
        <v>3183</v>
      </c>
      <c r="D2025">
        <v>95.51000000000001</v>
      </c>
      <c r="E2025">
        <v>0</v>
      </c>
      <c r="F2025" t="s">
        <v>3182</v>
      </c>
      <c r="G2025" t="s">
        <v>3182</v>
      </c>
      <c r="H2025">
        <v>0</v>
      </c>
      <c r="I2025">
        <v>1517.67816</v>
      </c>
      <c r="J2025">
        <v>33.41210751249368</v>
      </c>
      <c r="K2025">
        <v>0</v>
      </c>
      <c r="L2025">
        <v>1.073442372976846</v>
      </c>
      <c r="M2025">
        <v>154.97</v>
      </c>
      <c r="N2025">
        <v>89.3</v>
      </c>
    </row>
    <row r="2026" spans="1:14">
      <c r="A2026" s="1" t="s">
        <v>2038</v>
      </c>
      <c r="B2026">
        <f>HYPERLINK("https://www.suredividend.com/sure-analysis-research-database/","Nova Lifestyle Inc")</f>
        <v>0</v>
      </c>
      <c r="C2026" t="s">
        <v>3186</v>
      </c>
      <c r="D2026">
        <v>1.89</v>
      </c>
      <c r="E2026">
        <v>0</v>
      </c>
      <c r="F2026" t="s">
        <v>3182</v>
      </c>
      <c r="G2026" t="s">
        <v>3182</v>
      </c>
      <c r="H2026">
        <v>0</v>
      </c>
      <c r="I2026">
        <v>2.810859</v>
      </c>
      <c r="J2026">
        <v>0</v>
      </c>
      <c r="K2026" t="s">
        <v>3182</v>
      </c>
      <c r="M2026">
        <v>6.85</v>
      </c>
      <c r="N2026">
        <v>1.74</v>
      </c>
    </row>
    <row r="2027" spans="1:14">
      <c r="A2027" s="1" t="s">
        <v>2039</v>
      </c>
      <c r="B2027">
        <f>HYPERLINK("https://www.suredividend.com/sure-analysis-research-database/","InVivo Therapeutics Holdings Corp")</f>
        <v>0</v>
      </c>
      <c r="C2027" t="s">
        <v>3180</v>
      </c>
      <c r="D2027">
        <v>0.92</v>
      </c>
      <c r="E2027">
        <v>0</v>
      </c>
      <c r="F2027" t="s">
        <v>3182</v>
      </c>
      <c r="G2027" t="s">
        <v>3182</v>
      </c>
      <c r="H2027">
        <v>0</v>
      </c>
      <c r="I2027">
        <v>2.85701</v>
      </c>
      <c r="J2027">
        <v>0</v>
      </c>
      <c r="K2027" t="s">
        <v>3182</v>
      </c>
      <c r="L2027">
        <v>1.146651622208721</v>
      </c>
      <c r="M2027">
        <v>3.06</v>
      </c>
      <c r="N2027">
        <v>0.7495000000000001</v>
      </c>
    </row>
    <row r="2028" spans="1:14">
      <c r="A2028" s="1" t="s">
        <v>2040</v>
      </c>
      <c r="B2028">
        <f>HYPERLINK("https://www.suredividend.com/sure-analysis-research-database/","NVR Inc.")</f>
        <v>0</v>
      </c>
      <c r="C2028" t="s">
        <v>3186</v>
      </c>
      <c r="D2028">
        <v>5698.91</v>
      </c>
      <c r="E2028">
        <v>0</v>
      </c>
      <c r="F2028" t="s">
        <v>3182</v>
      </c>
      <c r="G2028" t="s">
        <v>3182</v>
      </c>
      <c r="H2028">
        <v>0</v>
      </c>
      <c r="I2028">
        <v>18293.370025</v>
      </c>
      <c r="J2028">
        <v>11.33039133441723</v>
      </c>
      <c r="K2028">
        <v>0</v>
      </c>
      <c r="L2028">
        <v>1.019325148957952</v>
      </c>
      <c r="M2028">
        <v>6525</v>
      </c>
      <c r="N2028">
        <v>4050.71</v>
      </c>
    </row>
    <row r="2029" spans="1:14">
      <c r="A2029" s="1" t="s">
        <v>2041</v>
      </c>
      <c r="B2029">
        <f>HYPERLINK("https://www.suredividend.com/sure-analysis-research-database/","Nevro Corp")</f>
        <v>0</v>
      </c>
      <c r="C2029" t="s">
        <v>3180</v>
      </c>
      <c r="D2029">
        <v>14.97</v>
      </c>
      <c r="E2029">
        <v>0</v>
      </c>
      <c r="F2029" t="s">
        <v>3182</v>
      </c>
      <c r="G2029" t="s">
        <v>3182</v>
      </c>
      <c r="H2029">
        <v>0</v>
      </c>
      <c r="I2029">
        <v>540.718226</v>
      </c>
      <c r="J2029">
        <v>210.9708257276629</v>
      </c>
      <c r="K2029">
        <v>0</v>
      </c>
      <c r="L2029">
        <v>1.170691105321118</v>
      </c>
      <c r="M2029">
        <v>48.1</v>
      </c>
      <c r="N2029">
        <v>13.98</v>
      </c>
    </row>
    <row r="2030" spans="1:14">
      <c r="A2030" s="1" t="s">
        <v>2042</v>
      </c>
      <c r="B2030">
        <f>HYPERLINK("https://www.suredividend.com/sure-analysis-research-database/","nVent Electric plc")</f>
        <v>0</v>
      </c>
      <c r="C2030" t="s">
        <v>3183</v>
      </c>
      <c r="D2030">
        <v>49.44</v>
      </c>
      <c r="E2030">
        <v>0.014083847394642</v>
      </c>
      <c r="F2030">
        <v>0</v>
      </c>
      <c r="G2030">
        <v>0</v>
      </c>
      <c r="H2030">
        <v>0.6963054151911241</v>
      </c>
      <c r="I2030">
        <v>8202.67959</v>
      </c>
      <c r="J2030">
        <v>17.41915393875557</v>
      </c>
      <c r="K2030">
        <v>0.2486805054254015</v>
      </c>
      <c r="L2030">
        <v>1.056343896794358</v>
      </c>
      <c r="M2030">
        <v>58.77</v>
      </c>
      <c r="N2030">
        <v>36.14</v>
      </c>
    </row>
    <row r="2031" spans="1:14">
      <c r="A2031" s="1" t="s">
        <v>2043</v>
      </c>
      <c r="B2031">
        <f>HYPERLINK("https://www.suredividend.com/sure-analysis-research-database/","Invitae Corp")</f>
        <v>0</v>
      </c>
      <c r="C2031" t="s">
        <v>3180</v>
      </c>
      <c r="D2031">
        <v>0.6298</v>
      </c>
      <c r="E2031">
        <v>0</v>
      </c>
      <c r="F2031" t="s">
        <v>3182</v>
      </c>
      <c r="G2031" t="s">
        <v>3182</v>
      </c>
      <c r="H2031">
        <v>0</v>
      </c>
      <c r="I2031">
        <v>168.165458</v>
      </c>
      <c r="J2031" t="s">
        <v>3182</v>
      </c>
      <c r="K2031">
        <v>-0</v>
      </c>
      <c r="L2031">
        <v>3.094763284380772</v>
      </c>
      <c r="M2031">
        <v>3.78</v>
      </c>
      <c r="N2031">
        <v>0.51</v>
      </c>
    </row>
    <row r="2032" spans="1:14">
      <c r="A2032" s="1" t="s">
        <v>2044</v>
      </c>
      <c r="B2032">
        <f>HYPERLINK("https://www.suredividend.com/sure-analysis-NWBI/","Northwest Bancshares Inc")</f>
        <v>0</v>
      </c>
      <c r="C2032" t="s">
        <v>3184</v>
      </c>
      <c r="D2032">
        <v>10.7</v>
      </c>
      <c r="E2032">
        <v>0.07476635514018692</v>
      </c>
      <c r="F2032">
        <v>0</v>
      </c>
      <c r="G2032">
        <v>0.02129568760013512</v>
      </c>
      <c r="H2032">
        <v>0.7578911502293141</v>
      </c>
      <c r="I2032">
        <v>1359.922995</v>
      </c>
      <c r="J2032">
        <v>9.834489155415421</v>
      </c>
      <c r="K2032">
        <v>0.6953129818617559</v>
      </c>
      <c r="L2032">
        <v>0.9550803796557301</v>
      </c>
      <c r="M2032">
        <v>13.57</v>
      </c>
      <c r="N2032">
        <v>9.220000000000001</v>
      </c>
    </row>
    <row r="2033" spans="1:14">
      <c r="A2033" s="1" t="s">
        <v>2045</v>
      </c>
      <c r="B2033">
        <f>HYPERLINK("https://www.suredividend.com/sure-analysis-NWE/","NorthWestern Energy Group Inc")</f>
        <v>0</v>
      </c>
      <c r="C2033" t="s">
        <v>3190</v>
      </c>
      <c r="D2033">
        <v>50.76</v>
      </c>
      <c r="E2033">
        <v>0.0504334121355398</v>
      </c>
      <c r="F2033">
        <v>0.01587301587301582</v>
      </c>
      <c r="G2033">
        <v>0.03077400337593272</v>
      </c>
      <c r="H2033">
        <v>0</v>
      </c>
      <c r="I2033">
        <v>3108.656001</v>
      </c>
      <c r="J2033">
        <v>0</v>
      </c>
      <c r="K2033" t="s">
        <v>3182</v>
      </c>
      <c r="L2033">
        <v>1.077235047061399</v>
      </c>
      <c r="M2033">
        <v>50.89</v>
      </c>
      <c r="N2033">
        <v>45.97</v>
      </c>
    </row>
    <row r="2034" spans="1:14">
      <c r="A2034" s="1" t="s">
        <v>2046</v>
      </c>
      <c r="B2034">
        <f>HYPERLINK("https://www.suredividend.com/sure-analysis-NWFL/","Norwood Financial Corp.")</f>
        <v>0</v>
      </c>
      <c r="C2034" t="s">
        <v>3184</v>
      </c>
      <c r="D2034">
        <v>27.54</v>
      </c>
      <c r="E2034">
        <v>0.04212055192447349</v>
      </c>
      <c r="F2034">
        <v>0.03571428571428559</v>
      </c>
      <c r="G2034">
        <v>0.03857377308425858</v>
      </c>
      <c r="H2034">
        <v>1.1283540949438</v>
      </c>
      <c r="I2034">
        <v>222.229899</v>
      </c>
      <c r="J2034">
        <v>0</v>
      </c>
      <c r="K2034" t="s">
        <v>3182</v>
      </c>
      <c r="L2034">
        <v>0.3784847770359051</v>
      </c>
      <c r="M2034">
        <v>32.99</v>
      </c>
      <c r="N2034">
        <v>21.86</v>
      </c>
    </row>
    <row r="2035" spans="1:14">
      <c r="A2035" s="1" t="s">
        <v>2047</v>
      </c>
      <c r="B2035">
        <f>HYPERLINK("https://www.suredividend.com/sure-analysis-research-database/","New Home Company Inc (The)")</f>
        <v>0</v>
      </c>
      <c r="C2035" t="s">
        <v>3186</v>
      </c>
      <c r="D2035">
        <v>8.99</v>
      </c>
      <c r="E2035">
        <v>0</v>
      </c>
      <c r="F2035" t="s">
        <v>3182</v>
      </c>
      <c r="G2035" t="s">
        <v>3182</v>
      </c>
      <c r="H2035">
        <v>0</v>
      </c>
      <c r="I2035">
        <v>163.263911</v>
      </c>
      <c r="J2035">
        <v>0</v>
      </c>
      <c r="K2035" t="s">
        <v>3182</v>
      </c>
      <c r="M2035">
        <v>9</v>
      </c>
      <c r="N2035">
        <v>3.81</v>
      </c>
    </row>
    <row r="2036" spans="1:14">
      <c r="A2036" s="1" t="s">
        <v>2048</v>
      </c>
      <c r="B2036">
        <f>HYPERLINK("https://www.suredividend.com/sure-analysis-NWL/","Newell Brands Inc")</f>
        <v>0</v>
      </c>
      <c r="C2036" t="s">
        <v>3188</v>
      </c>
      <c r="D2036">
        <v>6.8</v>
      </c>
      <c r="E2036">
        <v>0.0411764705882353</v>
      </c>
      <c r="F2036">
        <v>-0.6956521739130435</v>
      </c>
      <c r="G2036">
        <v>-0.2117317382570955</v>
      </c>
      <c r="H2036">
        <v>0.5857201357802511</v>
      </c>
      <c r="I2036">
        <v>2816.56</v>
      </c>
      <c r="J2036" t="s">
        <v>3182</v>
      </c>
      <c r="K2036" t="s">
        <v>3182</v>
      </c>
      <c r="L2036">
        <v>1.282045350437164</v>
      </c>
      <c r="M2036">
        <v>16.14</v>
      </c>
      <c r="N2036">
        <v>6.5</v>
      </c>
    </row>
    <row r="2037" spans="1:14">
      <c r="A2037" s="1" t="s">
        <v>2049</v>
      </c>
      <c r="B2037">
        <f>HYPERLINK("https://www.suredividend.com/sure-analysis-research-database/","National Western Life Group Inc")</f>
        <v>0</v>
      </c>
      <c r="C2037" t="s">
        <v>3184</v>
      </c>
      <c r="D2037">
        <v>478.47</v>
      </c>
      <c r="E2037">
        <v>0.0007523982993810001</v>
      </c>
      <c r="F2037" t="s">
        <v>3182</v>
      </c>
      <c r="G2037" t="s">
        <v>3182</v>
      </c>
      <c r="H2037">
        <v>0.360000014305114</v>
      </c>
      <c r="I2037">
        <v>1644.032489</v>
      </c>
      <c r="J2037">
        <v>21.96142785733369</v>
      </c>
      <c r="K2037">
        <v>0.0168855541418909</v>
      </c>
      <c r="L2037">
        <v>0.9680416927129301</v>
      </c>
      <c r="M2037">
        <v>488.9</v>
      </c>
      <c r="N2037">
        <v>194.25</v>
      </c>
    </row>
    <row r="2038" spans="1:14">
      <c r="A2038" s="1" t="s">
        <v>2050</v>
      </c>
      <c r="B2038">
        <f>HYPERLINK("https://www.suredividend.com/sure-analysis-NWN/","Northwest Natural Holding Co")</f>
        <v>0</v>
      </c>
      <c r="C2038" t="s">
        <v>3190</v>
      </c>
      <c r="D2038">
        <v>38.58</v>
      </c>
      <c r="E2038">
        <v>0.05054432348367029</v>
      </c>
      <c r="F2038">
        <v>0.005154639175257936</v>
      </c>
      <c r="G2038">
        <v>0.005208615197356048</v>
      </c>
      <c r="H2038">
        <v>1.907833155187901</v>
      </c>
      <c r="I2038">
        <v>1391.396265</v>
      </c>
      <c r="J2038">
        <v>13.74028543964291</v>
      </c>
      <c r="K2038">
        <v>0.6694151421711934</v>
      </c>
      <c r="L2038">
        <v>0.5135578837222831</v>
      </c>
      <c r="M2038">
        <v>50.6</v>
      </c>
      <c r="N2038">
        <v>36.07</v>
      </c>
    </row>
    <row r="2039" spans="1:14">
      <c r="A2039" s="1" t="s">
        <v>2051</v>
      </c>
      <c r="B2039">
        <f>HYPERLINK("https://www.suredividend.com/sure-analysis-research-database/","Northwest Pipe Co.")</f>
        <v>0</v>
      </c>
      <c r="C2039" t="s">
        <v>3183</v>
      </c>
      <c r="D2039">
        <v>28.25</v>
      </c>
      <c r="E2039">
        <v>0</v>
      </c>
      <c r="F2039" t="s">
        <v>3182</v>
      </c>
      <c r="G2039" t="s">
        <v>3182</v>
      </c>
      <c r="H2039">
        <v>0</v>
      </c>
      <c r="I2039">
        <v>282.901037</v>
      </c>
      <c r="J2039">
        <v>10.20308857792044</v>
      </c>
      <c r="K2039">
        <v>0</v>
      </c>
      <c r="L2039">
        <v>0.8583812579065521</v>
      </c>
      <c r="M2039">
        <v>40.6</v>
      </c>
      <c r="N2039">
        <v>25.58</v>
      </c>
    </row>
    <row r="2040" spans="1:14">
      <c r="A2040" s="1" t="s">
        <v>2052</v>
      </c>
      <c r="B2040">
        <f>HYPERLINK("https://www.suredividend.com/sure-analysis-research-database/","News Corp")</f>
        <v>0</v>
      </c>
      <c r="C2040" t="s">
        <v>3191</v>
      </c>
      <c r="D2040">
        <v>22.1</v>
      </c>
      <c r="E2040">
        <v>0.009008101005138</v>
      </c>
      <c r="F2040" t="s">
        <v>3182</v>
      </c>
      <c r="G2040" t="s">
        <v>3182</v>
      </c>
      <c r="H2040">
        <v>0.199079032213552</v>
      </c>
      <c r="I2040">
        <v>12340.628171</v>
      </c>
      <c r="J2040">
        <v>82.82300786174497</v>
      </c>
      <c r="K2040">
        <v>0.7734228135724631</v>
      </c>
      <c r="L2040">
        <v>1.175383168209125</v>
      </c>
      <c r="M2040">
        <v>23.17</v>
      </c>
      <c r="N2040">
        <v>14.92</v>
      </c>
    </row>
    <row r="2041" spans="1:14">
      <c r="A2041" s="1" t="s">
        <v>2053</v>
      </c>
      <c r="B2041">
        <f>HYPERLINK("https://www.suredividend.com/sure-analysis-research-database/","News Corp")</f>
        <v>0</v>
      </c>
      <c r="C2041" t="s">
        <v>3191</v>
      </c>
      <c r="D2041">
        <v>21.25</v>
      </c>
      <c r="E2041">
        <v>0.009367161007700001</v>
      </c>
      <c r="F2041" t="s">
        <v>3182</v>
      </c>
      <c r="G2041" t="s">
        <v>3182</v>
      </c>
      <c r="H2041">
        <v>0.199052171413625</v>
      </c>
      <c r="I2041">
        <v>12340.628171</v>
      </c>
      <c r="J2041">
        <v>82.82300786174495</v>
      </c>
      <c r="K2041">
        <v>0.7733184592603924</v>
      </c>
      <c r="L2041">
        <v>1.17969775117294</v>
      </c>
      <c r="M2041">
        <v>22.32</v>
      </c>
      <c r="N2041">
        <v>14.76</v>
      </c>
    </row>
    <row r="2042" spans="1:14">
      <c r="A2042" s="1" t="s">
        <v>2054</v>
      </c>
      <c r="B2042">
        <f>HYPERLINK("https://www.suredividend.com/sure-analysis-research-database/","Quanex Building Products Corp")</f>
        <v>0</v>
      </c>
      <c r="C2042" t="s">
        <v>3183</v>
      </c>
      <c r="D2042">
        <v>28.18</v>
      </c>
      <c r="E2042">
        <v>0.011302792685593</v>
      </c>
      <c r="F2042">
        <v>0</v>
      </c>
      <c r="G2042">
        <v>0</v>
      </c>
      <c r="H2042">
        <v>0.318512697880028</v>
      </c>
      <c r="I2042">
        <v>929.554836</v>
      </c>
      <c r="J2042">
        <v>11.65060080415111</v>
      </c>
      <c r="K2042">
        <v>0.1316168173057967</v>
      </c>
      <c r="L2042">
        <v>1.30154798770955</v>
      </c>
      <c r="M2042">
        <v>29.54</v>
      </c>
      <c r="N2042">
        <v>18.6</v>
      </c>
    </row>
    <row r="2043" spans="1:14">
      <c r="A2043" s="1" t="s">
        <v>2055</v>
      </c>
      <c r="B2043">
        <f>HYPERLINK("https://www.suredividend.com/sure-analysis-research-database/","NextGen Healthcare Inc")</f>
        <v>0</v>
      </c>
      <c r="C2043" t="s">
        <v>3180</v>
      </c>
      <c r="D2043">
        <v>23.91</v>
      </c>
      <c r="E2043">
        <v>0</v>
      </c>
      <c r="F2043" t="s">
        <v>3182</v>
      </c>
      <c r="G2043" t="s">
        <v>3182</v>
      </c>
      <c r="H2043">
        <v>0</v>
      </c>
      <c r="I2043">
        <v>1604.286736</v>
      </c>
      <c r="J2043" t="s">
        <v>3182</v>
      </c>
      <c r="K2043">
        <v>-0</v>
      </c>
      <c r="L2043">
        <v>0.494704246151156</v>
      </c>
      <c r="M2043">
        <v>23.93</v>
      </c>
      <c r="N2043">
        <v>15.23</v>
      </c>
    </row>
    <row r="2044" spans="1:14">
      <c r="A2044" s="1" t="s">
        <v>2056</v>
      </c>
      <c r="B2044">
        <f>HYPERLINK("https://www.suredividend.com/sure-analysis-NXRT/","NexPoint Residential Trust Inc")</f>
        <v>0</v>
      </c>
      <c r="C2044" t="s">
        <v>3187</v>
      </c>
      <c r="D2044">
        <v>28.6</v>
      </c>
      <c r="E2044">
        <v>0.06468531468531469</v>
      </c>
      <c r="F2044">
        <v>0.1052631578947367</v>
      </c>
      <c r="G2044">
        <v>0.08838693361354388</v>
      </c>
      <c r="H2044">
        <v>1.653375490426232</v>
      </c>
      <c r="I2044">
        <v>734.285352</v>
      </c>
      <c r="J2044" t="s">
        <v>3182</v>
      </c>
      <c r="K2044" t="s">
        <v>3182</v>
      </c>
      <c r="L2044">
        <v>1.19819943271071</v>
      </c>
      <c r="M2044">
        <v>51.22</v>
      </c>
      <c r="N2044">
        <v>26.21</v>
      </c>
    </row>
    <row r="2045" spans="1:14">
      <c r="A2045" s="1" t="s">
        <v>2057</v>
      </c>
      <c r="B2045">
        <f>HYPERLINK("https://www.suredividend.com/sure-analysis-NXST/","Nexstar Media Group Inc")</f>
        <v>0</v>
      </c>
      <c r="C2045" t="s">
        <v>3191</v>
      </c>
      <c r="D2045">
        <v>150.97</v>
      </c>
      <c r="E2045">
        <v>0.035768695767371</v>
      </c>
      <c r="F2045">
        <v>0.5</v>
      </c>
      <c r="G2045">
        <v>0.2457309396155174</v>
      </c>
      <c r="H2045">
        <v>4.892851059977898</v>
      </c>
      <c r="I2045">
        <v>5296.419216</v>
      </c>
      <c r="J2045">
        <v>7.57713764832618</v>
      </c>
      <c r="K2045">
        <v>0.265338994575808</v>
      </c>
      <c r="L2045">
        <v>1.09628254910432</v>
      </c>
      <c r="M2045">
        <v>212.84</v>
      </c>
      <c r="N2045">
        <v>132.3</v>
      </c>
    </row>
    <row r="2046" spans="1:14">
      <c r="A2046" s="1" t="s">
        <v>2058</v>
      </c>
      <c r="B2046">
        <f>HYPERLINK("https://www.suredividend.com/sure-analysis-research-database/","Nxt-ID Inc")</f>
        <v>0</v>
      </c>
      <c r="C2046" t="s">
        <v>3183</v>
      </c>
      <c r="D2046">
        <v>2.42</v>
      </c>
      <c r="E2046">
        <v>0</v>
      </c>
      <c r="F2046" t="s">
        <v>3182</v>
      </c>
      <c r="G2046" t="s">
        <v>3182</v>
      </c>
      <c r="H2046">
        <v>0</v>
      </c>
      <c r="I2046">
        <v>21.529479</v>
      </c>
      <c r="J2046">
        <v>0</v>
      </c>
      <c r="K2046" t="s">
        <v>3182</v>
      </c>
      <c r="M2046">
        <v>19.2</v>
      </c>
      <c r="N2046">
        <v>2.1</v>
      </c>
    </row>
    <row r="2047" spans="1:14">
      <c r="A2047" s="1" t="s">
        <v>2059</v>
      </c>
      <c r="B2047">
        <f>HYPERLINK("https://www.suredividend.com/sure-analysis-NYCB/","New York Community Bancorp Inc.")</f>
        <v>0</v>
      </c>
      <c r="C2047" t="s">
        <v>3184</v>
      </c>
      <c r="D2047">
        <v>9.890000000000001</v>
      </c>
      <c r="E2047">
        <v>0.06875631951466127</v>
      </c>
      <c r="F2047">
        <v>0</v>
      </c>
      <c r="G2047">
        <v>0</v>
      </c>
      <c r="H2047">
        <v>0.664926033932918</v>
      </c>
      <c r="I2047">
        <v>7145.280638</v>
      </c>
      <c r="J2047">
        <v>2.665155030913838</v>
      </c>
      <c r="K2047">
        <v>0.1500961701880176</v>
      </c>
      <c r="L2047">
        <v>1.623568189171663</v>
      </c>
      <c r="M2047">
        <v>14.04</v>
      </c>
      <c r="N2047">
        <v>5.63</v>
      </c>
    </row>
    <row r="2048" spans="1:14">
      <c r="A2048" s="1" t="s">
        <v>2060</v>
      </c>
      <c r="B2048">
        <f>HYPERLINK("https://www.suredividend.com/sure-analysis-NYMT/","New York Mortgage Trust Inc")</f>
        <v>0</v>
      </c>
      <c r="C2048" t="s">
        <v>3187</v>
      </c>
      <c r="D2048">
        <v>7.83</v>
      </c>
      <c r="E2048">
        <v>0.1532567049808429</v>
      </c>
      <c r="F2048" t="s">
        <v>3182</v>
      </c>
      <c r="G2048" t="s">
        <v>3182</v>
      </c>
      <c r="H2048">
        <v>1.305361152197198</v>
      </c>
      <c r="I2048">
        <v>714.490624</v>
      </c>
      <c r="J2048" t="s">
        <v>3182</v>
      </c>
      <c r="K2048" t="s">
        <v>3182</v>
      </c>
      <c r="L2048">
        <v>1.264883275782599</v>
      </c>
      <c r="M2048">
        <v>11.34</v>
      </c>
      <c r="N2048">
        <v>7.23</v>
      </c>
    </row>
    <row r="2049" spans="1:14">
      <c r="A2049" s="1" t="s">
        <v>2061</v>
      </c>
      <c r="B2049">
        <f>HYPERLINK("https://www.suredividend.com/sure-analysis-research-database/","New York Times Co.")</f>
        <v>0</v>
      </c>
      <c r="C2049" t="s">
        <v>3191</v>
      </c>
      <c r="D2049">
        <v>41.63</v>
      </c>
      <c r="E2049">
        <v>0.012193681614228</v>
      </c>
      <c r="F2049">
        <v>0.2222222222222223</v>
      </c>
      <c r="G2049">
        <v>0.2242399253642746</v>
      </c>
      <c r="H2049">
        <v>0.5076229656003201</v>
      </c>
      <c r="I2049">
        <v>6808.938274</v>
      </c>
      <c r="J2049">
        <v>38.62175562683638</v>
      </c>
      <c r="K2049">
        <v>0.4788895901889811</v>
      </c>
      <c r="L2049">
        <v>0.7703483415917091</v>
      </c>
      <c r="M2049">
        <v>45.18</v>
      </c>
      <c r="N2049">
        <v>31.11</v>
      </c>
    </row>
    <row r="2050" spans="1:14">
      <c r="A2050" s="1" t="s">
        <v>2062</v>
      </c>
      <c r="B2050">
        <f>HYPERLINK("https://www.suredividend.com/sure-analysis-O/","Realty Income Corp.")</f>
        <v>0</v>
      </c>
      <c r="C2050" t="s">
        <v>3187</v>
      </c>
      <c r="D2050">
        <v>50.03</v>
      </c>
      <c r="E2050">
        <v>0.06136318209074555</v>
      </c>
      <c r="F2050">
        <v>0.001956947162426559</v>
      </c>
      <c r="G2050">
        <v>0.007183500005790711</v>
      </c>
      <c r="H2050">
        <v>2.967987048708989</v>
      </c>
      <c r="I2050">
        <v>35460.642027</v>
      </c>
      <c r="J2050">
        <v>40.88799133254849</v>
      </c>
      <c r="K2050">
        <v>2.214915707991783</v>
      </c>
      <c r="L2050">
        <v>0.611658353636321</v>
      </c>
      <c r="M2050">
        <v>66.14</v>
      </c>
      <c r="N2050">
        <v>44.79</v>
      </c>
    </row>
    <row r="2051" spans="1:14">
      <c r="A2051" s="1" t="s">
        <v>2063</v>
      </c>
      <c r="B2051">
        <f>HYPERLINK("https://www.suredividend.com/sure-analysis-research-database/","Oasis Petroleum Inc.")</f>
        <v>0</v>
      </c>
      <c r="C2051" t="s">
        <v>3189</v>
      </c>
      <c r="D2051">
        <v>109.3</v>
      </c>
      <c r="E2051">
        <v>0.016078129074666</v>
      </c>
      <c r="F2051" t="s">
        <v>3182</v>
      </c>
      <c r="G2051" t="s">
        <v>3182</v>
      </c>
      <c r="H2051">
        <v>1.757339507861067</v>
      </c>
      <c r="I2051">
        <v>2145.305533</v>
      </c>
      <c r="J2051" t="s">
        <v>3182</v>
      </c>
      <c r="K2051" t="s">
        <v>3182</v>
      </c>
      <c r="L2051">
        <v>0.91924262363451</v>
      </c>
      <c r="M2051">
        <v>158.98</v>
      </c>
      <c r="N2051">
        <v>67.28</v>
      </c>
    </row>
    <row r="2052" spans="1:14">
      <c r="A2052" s="1" t="s">
        <v>2064</v>
      </c>
      <c r="B2052">
        <f>HYPERLINK("https://www.suredividend.com/sure-analysis-research-database/","Ocean Bio-Chem, Inc.")</f>
        <v>0</v>
      </c>
      <c r="C2052" t="s">
        <v>3183</v>
      </c>
      <c r="D2052">
        <v>13.03</v>
      </c>
      <c r="E2052">
        <v>0</v>
      </c>
      <c r="F2052" t="s">
        <v>3182</v>
      </c>
      <c r="G2052" t="s">
        <v>3182</v>
      </c>
      <c r="H2052">
        <v>0.139999996870756</v>
      </c>
      <c r="I2052">
        <v>0</v>
      </c>
      <c r="J2052">
        <v>0</v>
      </c>
      <c r="K2052" t="s">
        <v>3182</v>
      </c>
    </row>
    <row r="2053" spans="1:14">
      <c r="A2053" s="1" t="s">
        <v>2065</v>
      </c>
      <c r="B2053">
        <f>HYPERLINK("https://www.suredividend.com/sure-analysis-research-database/","Origin Bancorp Inc")</f>
        <v>0</v>
      </c>
      <c r="C2053" t="s">
        <v>3184</v>
      </c>
      <c r="D2053">
        <v>30.41</v>
      </c>
      <c r="E2053">
        <v>0</v>
      </c>
      <c r="F2053" t="s">
        <v>3182</v>
      </c>
      <c r="G2053" t="s">
        <v>3182</v>
      </c>
      <c r="H2053">
        <v>0.600000023841857</v>
      </c>
      <c r="I2053">
        <v>906.191256</v>
      </c>
      <c r="J2053">
        <v>0</v>
      </c>
      <c r="K2053" t="s">
        <v>3182</v>
      </c>
    </row>
    <row r="2054" spans="1:14">
      <c r="A2054" s="1" t="s">
        <v>2066</v>
      </c>
      <c r="B2054">
        <f>HYPERLINK("https://www.suredividend.com/sure-analysis-research-database/","Owens Corning")</f>
        <v>0</v>
      </c>
      <c r="C2054" t="s">
        <v>3183</v>
      </c>
      <c r="D2054">
        <v>118.54</v>
      </c>
      <c r="E2054">
        <v>0.017436820998709</v>
      </c>
      <c r="F2054">
        <v>0.4857142857142855</v>
      </c>
      <c r="G2054">
        <v>0.1877256418249378</v>
      </c>
      <c r="H2054">
        <v>2.066960761187044</v>
      </c>
      <c r="I2054">
        <v>10535.237284</v>
      </c>
      <c r="J2054">
        <v>8.860586445954583</v>
      </c>
      <c r="K2054">
        <v>0.1604783199679382</v>
      </c>
      <c r="L2054">
        <v>1.339231762188378</v>
      </c>
      <c r="M2054">
        <v>146.41</v>
      </c>
      <c r="N2054">
        <v>80.33</v>
      </c>
    </row>
    <row r="2055" spans="1:14">
      <c r="A2055" s="1" t="s">
        <v>2067</v>
      </c>
      <c r="B2055">
        <f>HYPERLINK("https://www.suredividend.com/sure-analysis-research-database/","Optical Cable Corp.")</f>
        <v>0</v>
      </c>
      <c r="C2055" t="s">
        <v>3185</v>
      </c>
      <c r="D2055">
        <v>2.7399</v>
      </c>
      <c r="E2055">
        <v>0</v>
      </c>
      <c r="F2055" t="s">
        <v>3182</v>
      </c>
      <c r="G2055" t="s">
        <v>3182</v>
      </c>
      <c r="H2055">
        <v>0</v>
      </c>
      <c r="I2055">
        <v>21.627897</v>
      </c>
      <c r="J2055">
        <v>0</v>
      </c>
      <c r="K2055" t="s">
        <v>3182</v>
      </c>
      <c r="M2055">
        <v>4.85</v>
      </c>
      <c r="N2055">
        <v>2.26</v>
      </c>
    </row>
    <row r="2056" spans="1:14">
      <c r="A2056" s="1" t="s">
        <v>2068</v>
      </c>
      <c r="B2056">
        <f>HYPERLINK("https://www.suredividend.com/sure-analysis-research-database/","OceanFirst Financial Corp.")</f>
        <v>0</v>
      </c>
      <c r="C2056" t="s">
        <v>3184</v>
      </c>
      <c r="D2056">
        <v>13.57</v>
      </c>
      <c r="E2056">
        <v>0.0574727929836</v>
      </c>
      <c r="F2056">
        <v>0</v>
      </c>
      <c r="G2056">
        <v>0.03303780411393231</v>
      </c>
      <c r="H2056">
        <v>0.7799058007874561</v>
      </c>
      <c r="I2056">
        <v>806.349728</v>
      </c>
      <c r="J2056">
        <v>5.617322046855733</v>
      </c>
      <c r="K2056">
        <v>0.3196335249128918</v>
      </c>
      <c r="L2056">
        <v>1.251109081486906</v>
      </c>
      <c r="M2056">
        <v>24.04</v>
      </c>
      <c r="N2056">
        <v>12.01</v>
      </c>
    </row>
    <row r="2057" spans="1:14">
      <c r="A2057" s="1" t="s">
        <v>2069</v>
      </c>
      <c r="B2057">
        <f>HYPERLINK("https://www.suredividend.com/sure-analysis-research-database/","Ocwen Financial Corp.")</f>
        <v>0</v>
      </c>
      <c r="C2057" t="s">
        <v>3184</v>
      </c>
      <c r="D2057">
        <v>24.44</v>
      </c>
      <c r="E2057">
        <v>0</v>
      </c>
      <c r="F2057" t="s">
        <v>3182</v>
      </c>
      <c r="G2057" t="s">
        <v>3182</v>
      </c>
      <c r="H2057">
        <v>0</v>
      </c>
      <c r="I2057">
        <v>187.626076</v>
      </c>
      <c r="J2057" t="s">
        <v>3182</v>
      </c>
      <c r="K2057">
        <v>-0</v>
      </c>
      <c r="L2057">
        <v>1.01787554975186</v>
      </c>
      <c r="M2057">
        <v>37.17</v>
      </c>
      <c r="N2057">
        <v>21.15</v>
      </c>
    </row>
    <row r="2058" spans="1:14">
      <c r="A2058" s="1" t="s">
        <v>2070</v>
      </c>
      <c r="B2058">
        <f>HYPERLINK("https://www.suredividend.com/sure-analysis-research-database/","Ocular Therapeutix Inc")</f>
        <v>0</v>
      </c>
      <c r="C2058" t="s">
        <v>3180</v>
      </c>
      <c r="D2058">
        <v>3.27</v>
      </c>
      <c r="E2058">
        <v>0</v>
      </c>
      <c r="F2058" t="s">
        <v>3182</v>
      </c>
      <c r="G2058" t="s">
        <v>3182</v>
      </c>
      <c r="H2058">
        <v>0</v>
      </c>
      <c r="I2058">
        <v>259.58893</v>
      </c>
      <c r="J2058" t="s">
        <v>3182</v>
      </c>
      <c r="K2058">
        <v>-0</v>
      </c>
      <c r="L2058">
        <v>1.728427832658111</v>
      </c>
      <c r="M2058">
        <v>7.96</v>
      </c>
      <c r="N2058">
        <v>2.23</v>
      </c>
    </row>
    <row r="2059" spans="1:14">
      <c r="A2059" s="1" t="s">
        <v>2071</v>
      </c>
      <c r="B2059">
        <f>HYPERLINK("https://www.suredividend.com/sure-analysis-research-database/","Oncocyte Corporation")</f>
        <v>0</v>
      </c>
      <c r="C2059" t="s">
        <v>3180</v>
      </c>
      <c r="D2059">
        <v>2.35</v>
      </c>
      <c r="E2059">
        <v>0</v>
      </c>
      <c r="F2059" t="s">
        <v>3182</v>
      </c>
      <c r="G2059" t="s">
        <v>3182</v>
      </c>
      <c r="H2059">
        <v>0</v>
      </c>
      <c r="I2059">
        <v>19.366181</v>
      </c>
      <c r="J2059">
        <v>0</v>
      </c>
      <c r="K2059" t="s">
        <v>3182</v>
      </c>
      <c r="L2059">
        <v>2.093340102313359</v>
      </c>
      <c r="M2059">
        <v>13.97</v>
      </c>
      <c r="N2059">
        <v>2.2</v>
      </c>
    </row>
    <row r="2060" spans="1:14">
      <c r="A2060" s="1" t="s">
        <v>2072</v>
      </c>
      <c r="B2060">
        <f>HYPERLINK("https://www.suredividend.com/sure-analysis-ODC/","Oil-Dri Corp. Of America")</f>
        <v>0</v>
      </c>
      <c r="C2060" t="s">
        <v>3181</v>
      </c>
      <c r="D2060">
        <v>57.03</v>
      </c>
      <c r="E2060">
        <v>0.02034017183938278</v>
      </c>
      <c r="F2060">
        <v>0.03571428571428559</v>
      </c>
      <c r="G2060">
        <v>0.03857377308425858</v>
      </c>
      <c r="H2060">
        <v>1.1178634257605</v>
      </c>
      <c r="I2060">
        <v>291.3511</v>
      </c>
      <c r="J2060">
        <v>10.39314736275104</v>
      </c>
      <c r="K2060">
        <v>0.3297532229382006</v>
      </c>
      <c r="L2060">
        <v>0.372907401076374</v>
      </c>
      <c r="M2060">
        <v>69.09</v>
      </c>
      <c r="N2060">
        <v>28.84</v>
      </c>
    </row>
    <row r="2061" spans="1:14">
      <c r="A2061" s="1" t="s">
        <v>2073</v>
      </c>
      <c r="B2061">
        <f>HYPERLINK("https://www.suredividend.com/sure-analysis-ODFL/","Old Dominion Freight Line, Inc.")</f>
        <v>0</v>
      </c>
      <c r="C2061" t="s">
        <v>3183</v>
      </c>
      <c r="D2061">
        <v>388.83</v>
      </c>
      <c r="E2061">
        <v>0.004114908829051257</v>
      </c>
      <c r="F2061">
        <v>0.3333333333333333</v>
      </c>
      <c r="G2061">
        <v>0.2520547720070587</v>
      </c>
      <c r="H2061">
        <v>1.496742452677136</v>
      </c>
      <c r="I2061">
        <v>42486.707935</v>
      </c>
      <c r="J2061">
        <v>33.22570670527007</v>
      </c>
      <c r="K2061">
        <v>0.1300384407191256</v>
      </c>
      <c r="L2061">
        <v>1.339594632704737</v>
      </c>
      <c r="M2061">
        <v>437.25</v>
      </c>
      <c r="N2061">
        <v>263.27</v>
      </c>
    </row>
    <row r="2062" spans="1:14">
      <c r="A2062" s="1" t="s">
        <v>2074</v>
      </c>
      <c r="B2062">
        <f>HYPERLINK("https://www.suredividend.com/sure-analysis-research-database/","ODP Corporation (The)")</f>
        <v>0</v>
      </c>
      <c r="C2062" t="s">
        <v>3186</v>
      </c>
      <c r="D2062">
        <v>46.88</v>
      </c>
      <c r="E2062">
        <v>0</v>
      </c>
      <c r="F2062" t="s">
        <v>3182</v>
      </c>
      <c r="G2062" t="s">
        <v>3182</v>
      </c>
      <c r="H2062">
        <v>0</v>
      </c>
      <c r="I2062">
        <v>1783.757653</v>
      </c>
      <c r="J2062">
        <v>9.388198176</v>
      </c>
      <c r="K2062">
        <v>0</v>
      </c>
      <c r="L2062">
        <v>1.096656069692908</v>
      </c>
      <c r="M2062">
        <v>53.59</v>
      </c>
      <c r="N2062">
        <v>38.71</v>
      </c>
    </row>
    <row r="2063" spans="1:14">
      <c r="A2063" s="1" t="s">
        <v>2075</v>
      </c>
      <c r="B2063">
        <f>HYPERLINK("https://www.suredividend.com/sure-analysis-research-database/","Odonate Therapeutics Inc")</f>
        <v>0</v>
      </c>
      <c r="C2063" t="s">
        <v>3180</v>
      </c>
      <c r="D2063">
        <v>1.12</v>
      </c>
      <c r="E2063">
        <v>0</v>
      </c>
      <c r="F2063" t="s">
        <v>3182</v>
      </c>
      <c r="G2063" t="s">
        <v>3182</v>
      </c>
      <c r="H2063">
        <v>0</v>
      </c>
      <c r="I2063">
        <v>0</v>
      </c>
      <c r="J2063">
        <v>0</v>
      </c>
      <c r="K2063" t="s">
        <v>3182</v>
      </c>
    </row>
    <row r="2064" spans="1:14">
      <c r="A2064" s="1" t="s">
        <v>2076</v>
      </c>
      <c r="B2064">
        <f>HYPERLINK("https://www.suredividend.com/sure-analysis-research-database/","Orion Energy Systems Inc")</f>
        <v>0</v>
      </c>
      <c r="C2064" t="s">
        <v>3183</v>
      </c>
      <c r="D2064">
        <v>1.03</v>
      </c>
      <c r="E2064">
        <v>0</v>
      </c>
      <c r="F2064" t="s">
        <v>3182</v>
      </c>
      <c r="G2064" t="s">
        <v>3182</v>
      </c>
      <c r="H2064">
        <v>0</v>
      </c>
      <c r="I2064">
        <v>33.477635</v>
      </c>
      <c r="J2064">
        <v>0</v>
      </c>
      <c r="K2064" t="s">
        <v>3182</v>
      </c>
      <c r="L2064">
        <v>0.4603721696951341</v>
      </c>
      <c r="M2064">
        <v>2.45</v>
      </c>
      <c r="N2064">
        <v>0.92</v>
      </c>
    </row>
    <row r="2065" spans="1:14">
      <c r="A2065" s="1" t="s">
        <v>2077</v>
      </c>
      <c r="B2065">
        <f>HYPERLINK("https://www.suredividend.com/sure-analysis-research-database/","Oconee Federal Financial Corp")</f>
        <v>0</v>
      </c>
      <c r="C2065" t="s">
        <v>3184</v>
      </c>
      <c r="D2065">
        <v>13.52</v>
      </c>
      <c r="E2065">
        <v>0</v>
      </c>
      <c r="F2065">
        <v>0</v>
      </c>
      <c r="G2065">
        <v>0</v>
      </c>
      <c r="H2065">
        <v>0.298175244002407</v>
      </c>
      <c r="I2065">
        <v>0</v>
      </c>
      <c r="J2065">
        <v>0</v>
      </c>
      <c r="K2065" t="s">
        <v>3182</v>
      </c>
    </row>
    <row r="2066" spans="1:14">
      <c r="A2066" s="1" t="s">
        <v>2078</v>
      </c>
      <c r="B2066">
        <f>HYPERLINK("https://www.suredividend.com/sure-analysis-research-database/","OFG Bancorp")</f>
        <v>0</v>
      </c>
      <c r="C2066" t="s">
        <v>3184</v>
      </c>
      <c r="D2066">
        <v>31.24</v>
      </c>
      <c r="E2066">
        <v>0.027207281867667</v>
      </c>
      <c r="F2066">
        <v>0.09999999999999987</v>
      </c>
      <c r="G2066">
        <v>0.2573753098024454</v>
      </c>
      <c r="H2066">
        <v>0.849955485545929</v>
      </c>
      <c r="I2066">
        <v>1472.378875</v>
      </c>
      <c r="J2066">
        <v>8.239942667890402</v>
      </c>
      <c r="K2066">
        <v>0.2272608250122805</v>
      </c>
      <c r="L2066">
        <v>0.9260313015821841</v>
      </c>
      <c r="M2066">
        <v>34.04</v>
      </c>
      <c r="N2066">
        <v>21.98</v>
      </c>
    </row>
    <row r="2067" spans="1:14">
      <c r="A2067" s="1" t="s">
        <v>2079</v>
      </c>
      <c r="B2067">
        <f>HYPERLINK("https://www.suredividend.com/sure-analysis-research-database/","Orthofix Medical Inc")</f>
        <v>0</v>
      </c>
      <c r="C2067" t="s">
        <v>3180</v>
      </c>
      <c r="D2067">
        <v>11.69</v>
      </c>
      <c r="E2067">
        <v>0</v>
      </c>
      <c r="F2067" t="s">
        <v>3182</v>
      </c>
      <c r="G2067" t="s">
        <v>3182</v>
      </c>
      <c r="H2067">
        <v>0</v>
      </c>
      <c r="I2067">
        <v>429.475181</v>
      </c>
      <c r="J2067" t="s">
        <v>3182</v>
      </c>
      <c r="K2067">
        <v>-0</v>
      </c>
      <c r="L2067">
        <v>1.347926485507681</v>
      </c>
      <c r="M2067">
        <v>23.19</v>
      </c>
      <c r="N2067">
        <v>10.54</v>
      </c>
    </row>
    <row r="2068" spans="1:14">
      <c r="A2068" s="1" t="s">
        <v>2080</v>
      </c>
      <c r="B2068">
        <f>HYPERLINK("https://www.suredividend.com/sure-analysis-research-database/","Omega Flex Inc")</f>
        <v>0</v>
      </c>
      <c r="C2068" t="s">
        <v>3183</v>
      </c>
      <c r="D2068">
        <v>73.23</v>
      </c>
      <c r="E2068">
        <v>0.017565178335834</v>
      </c>
      <c r="F2068">
        <v>0.03125</v>
      </c>
      <c r="G2068">
        <v>0.06576275663547437</v>
      </c>
      <c r="H2068">
        <v>1.286298009533191</v>
      </c>
      <c r="I2068">
        <v>739.2071999999999</v>
      </c>
      <c r="J2068">
        <v>32.11291542030497</v>
      </c>
      <c r="K2068">
        <v>0.5641657936549083</v>
      </c>
      <c r="L2068">
        <v>0.991301492017111</v>
      </c>
      <c r="M2068">
        <v>125.91</v>
      </c>
      <c r="N2068">
        <v>71</v>
      </c>
    </row>
    <row r="2069" spans="1:14">
      <c r="A2069" s="1" t="s">
        <v>2081</v>
      </c>
      <c r="B2069">
        <f>HYPERLINK("https://www.suredividend.com/sure-analysis-OGE/","Oge Energy Corp.")</f>
        <v>0</v>
      </c>
      <c r="C2069" t="s">
        <v>3190</v>
      </c>
      <c r="D2069">
        <v>35.53</v>
      </c>
      <c r="E2069">
        <v>0.04700253307064452</v>
      </c>
      <c r="F2069">
        <v>0.00990099009900991</v>
      </c>
      <c r="G2069">
        <v>0.02758612793428594</v>
      </c>
      <c r="H2069">
        <v>1.630948991126206</v>
      </c>
      <c r="I2069">
        <v>7116.210043</v>
      </c>
      <c r="J2069">
        <v>16.1805594427467</v>
      </c>
      <c r="K2069">
        <v>0.744725566724295</v>
      </c>
      <c r="L2069">
        <v>0.5995165500937151</v>
      </c>
      <c r="M2069">
        <v>39.16</v>
      </c>
      <c r="N2069">
        <v>30.84</v>
      </c>
    </row>
    <row r="2070" spans="1:14">
      <c r="A2070" s="1" t="s">
        <v>2082</v>
      </c>
      <c r="B2070">
        <f>HYPERLINK("https://www.suredividend.com/sure-analysis-research-database/","Oragenics Inc")</f>
        <v>0</v>
      </c>
      <c r="C2070" t="s">
        <v>3180</v>
      </c>
      <c r="D2070">
        <v>3.88</v>
      </c>
      <c r="E2070">
        <v>0</v>
      </c>
      <c r="F2070" t="s">
        <v>3182</v>
      </c>
      <c r="G2070" t="s">
        <v>3182</v>
      </c>
      <c r="H2070">
        <v>0</v>
      </c>
      <c r="I2070">
        <v>9.852814</v>
      </c>
      <c r="J2070">
        <v>0</v>
      </c>
      <c r="K2070" t="s">
        <v>3182</v>
      </c>
      <c r="L2070">
        <v>0.00672073736057</v>
      </c>
      <c r="M2070">
        <v>13.78</v>
      </c>
      <c r="N2070">
        <v>2.6</v>
      </c>
    </row>
    <row r="2071" spans="1:14">
      <c r="A2071" s="1" t="s">
        <v>2083</v>
      </c>
      <c r="B2071">
        <f>HYPERLINK("https://www.suredividend.com/sure-analysis-OGS/","ONE Gas Inc")</f>
        <v>0</v>
      </c>
      <c r="C2071" t="s">
        <v>3190</v>
      </c>
      <c r="D2071">
        <v>62.35</v>
      </c>
      <c r="E2071">
        <v>0.04170008019246191</v>
      </c>
      <c r="F2071">
        <v>0.04838709677419351</v>
      </c>
      <c r="G2071">
        <v>0.07159605222536181</v>
      </c>
      <c r="H2071">
        <v>2.538174475556994</v>
      </c>
      <c r="I2071">
        <v>3457.560018</v>
      </c>
      <c r="J2071">
        <v>15.19599534788666</v>
      </c>
      <c r="K2071">
        <v>0.6190669452578035</v>
      </c>
      <c r="L2071">
        <v>0.600727936275501</v>
      </c>
      <c r="M2071">
        <v>86.81</v>
      </c>
      <c r="N2071">
        <v>59.38</v>
      </c>
    </row>
    <row r="2072" spans="1:14">
      <c r="A2072" s="1" t="s">
        <v>2084</v>
      </c>
      <c r="B2072">
        <f>HYPERLINK("https://www.suredividend.com/sure-analysis-OHI/","Omega Healthcare Investors, Inc.")</f>
        <v>0</v>
      </c>
      <c r="C2072" t="s">
        <v>3187</v>
      </c>
      <c r="D2072">
        <v>33.73</v>
      </c>
      <c r="E2072">
        <v>0.07945449155054848</v>
      </c>
      <c r="F2072">
        <v>0</v>
      </c>
      <c r="G2072">
        <v>0.003012102765607816</v>
      </c>
      <c r="H2072">
        <v>2.595925075426109</v>
      </c>
      <c r="I2072">
        <v>8259.548581999999</v>
      </c>
      <c r="J2072">
        <v>33.89909576299707</v>
      </c>
      <c r="K2072">
        <v>2.598523599025135</v>
      </c>
      <c r="L2072">
        <v>0.5616534865817371</v>
      </c>
      <c r="M2072">
        <v>34.06</v>
      </c>
      <c r="N2072">
        <v>23.9</v>
      </c>
    </row>
    <row r="2073" spans="1:14">
      <c r="A2073" s="1" t="s">
        <v>2085</v>
      </c>
      <c r="B2073">
        <f>HYPERLINK("https://www.suredividend.com/sure-analysis-research-database/","O-I Glass Inc")</f>
        <v>0</v>
      </c>
      <c r="C2073" t="s">
        <v>3186</v>
      </c>
      <c r="D2073">
        <v>14.51</v>
      </c>
      <c r="E2073">
        <v>0</v>
      </c>
      <c r="F2073" t="s">
        <v>3182</v>
      </c>
      <c r="G2073" t="s">
        <v>3182</v>
      </c>
      <c r="H2073">
        <v>0</v>
      </c>
      <c r="I2073">
        <v>2245.092876</v>
      </c>
      <c r="J2073">
        <v>0</v>
      </c>
      <c r="K2073" t="s">
        <v>3182</v>
      </c>
      <c r="L2073">
        <v>0.920411389625137</v>
      </c>
      <c r="M2073">
        <v>23.57</v>
      </c>
      <c r="N2073">
        <v>13.56</v>
      </c>
    </row>
    <row r="2074" spans="1:14">
      <c r="A2074" s="1" t="s">
        <v>2086</v>
      </c>
      <c r="B2074">
        <f>HYPERLINK("https://www.suredividend.com/sure-analysis-research-database/","Oceaneering International, Inc.")</f>
        <v>0</v>
      </c>
      <c r="C2074" t="s">
        <v>3189</v>
      </c>
      <c r="D2074">
        <v>22.96</v>
      </c>
      <c r="E2074">
        <v>0</v>
      </c>
      <c r="F2074" t="s">
        <v>3182</v>
      </c>
      <c r="G2074" t="s">
        <v>3182</v>
      </c>
      <c r="H2074">
        <v>0</v>
      </c>
      <c r="I2074">
        <v>2312.656493</v>
      </c>
      <c r="J2074">
        <v>30.42888993342281</v>
      </c>
      <c r="K2074">
        <v>0</v>
      </c>
      <c r="L2074">
        <v>1.240714128759435</v>
      </c>
      <c r="M2074">
        <v>27.46</v>
      </c>
      <c r="N2074">
        <v>13.38</v>
      </c>
    </row>
    <row r="2075" spans="1:14">
      <c r="A2075" s="1" t="s">
        <v>2087</v>
      </c>
      <c r="B2075">
        <f>HYPERLINK("https://www.suredividend.com/sure-analysis-research-database/","Oil States International, Inc.")</f>
        <v>0</v>
      </c>
      <c r="C2075" t="s">
        <v>3189</v>
      </c>
      <c r="D2075">
        <v>7.73</v>
      </c>
      <c r="E2075">
        <v>0</v>
      </c>
      <c r="F2075" t="s">
        <v>3182</v>
      </c>
      <c r="G2075" t="s">
        <v>3182</v>
      </c>
      <c r="H2075">
        <v>0</v>
      </c>
      <c r="I2075">
        <v>493.86333</v>
      </c>
      <c r="J2075">
        <v>50.7515497358956</v>
      </c>
      <c r="K2075">
        <v>0</v>
      </c>
      <c r="L2075">
        <v>1.311986089253006</v>
      </c>
      <c r="M2075">
        <v>10.47</v>
      </c>
      <c r="N2075">
        <v>6.02</v>
      </c>
    </row>
    <row r="2076" spans="1:14">
      <c r="A2076" s="1" t="s">
        <v>2088</v>
      </c>
      <c r="B2076">
        <f>HYPERLINK("https://www.suredividend.com/sure-analysis-OKE/","Oneok Inc.")</f>
        <v>0</v>
      </c>
      <c r="C2076" t="s">
        <v>3189</v>
      </c>
      <c r="D2076">
        <v>66.65000000000001</v>
      </c>
      <c r="E2076">
        <v>0.05731432858214553</v>
      </c>
      <c r="F2076">
        <v>0.02139037433155089</v>
      </c>
      <c r="G2076">
        <v>0.02117690466047106</v>
      </c>
      <c r="H2076">
        <v>3.73798975761778</v>
      </c>
      <c r="I2076">
        <v>29839.205</v>
      </c>
      <c r="J2076">
        <v>12.2637520847701</v>
      </c>
      <c r="K2076">
        <v>0.6896660069405498</v>
      </c>
      <c r="L2076">
        <v>0.9833916437660921</v>
      </c>
      <c r="M2076">
        <v>69.53</v>
      </c>
      <c r="N2076">
        <v>54.31</v>
      </c>
    </row>
    <row r="2077" spans="1:14">
      <c r="A2077" s="1" t="s">
        <v>2089</v>
      </c>
      <c r="B2077">
        <f>HYPERLINK("https://www.suredividend.com/sure-analysis-research-database/","Okta Inc")</f>
        <v>0</v>
      </c>
      <c r="C2077" t="s">
        <v>3185</v>
      </c>
      <c r="D2077">
        <v>67.98999999999999</v>
      </c>
      <c r="E2077">
        <v>0</v>
      </c>
      <c r="F2077" t="s">
        <v>3182</v>
      </c>
      <c r="G2077" t="s">
        <v>3182</v>
      </c>
      <c r="H2077">
        <v>0</v>
      </c>
      <c r="I2077">
        <v>10657.570928</v>
      </c>
      <c r="J2077" t="s">
        <v>3182</v>
      </c>
      <c r="K2077">
        <v>-0</v>
      </c>
      <c r="L2077">
        <v>1.560360155023007</v>
      </c>
      <c r="M2077">
        <v>91.5</v>
      </c>
      <c r="N2077">
        <v>44.12</v>
      </c>
    </row>
    <row r="2078" spans="1:14">
      <c r="A2078" s="1" t="s">
        <v>2090</v>
      </c>
      <c r="B2078">
        <f>HYPERLINK("https://www.suredividend.com/sure-analysis-research-database/","Universal Display Corp.")</f>
        <v>0</v>
      </c>
      <c r="C2078" t="s">
        <v>3185</v>
      </c>
      <c r="D2078">
        <v>141.96</v>
      </c>
      <c r="E2078">
        <v>0.009452089012470001</v>
      </c>
      <c r="F2078">
        <v>0.1666666666666665</v>
      </c>
      <c r="G2078">
        <v>0.4229294200177249</v>
      </c>
      <c r="H2078">
        <v>1.34181855621031</v>
      </c>
      <c r="I2078">
        <v>6721.296931</v>
      </c>
      <c r="J2078">
        <v>32.47191591512551</v>
      </c>
      <c r="K2078">
        <v>0.3084640359104161</v>
      </c>
      <c r="L2078">
        <v>1.213685110873727</v>
      </c>
      <c r="M2078">
        <v>166.38</v>
      </c>
      <c r="N2078">
        <v>95.63</v>
      </c>
    </row>
    <row r="2079" spans="1:14">
      <c r="A2079" s="1" t="s">
        <v>2091</v>
      </c>
      <c r="B2079">
        <f>HYPERLINK("https://www.suredividend.com/sure-analysis-research-database/","Ollies Bargain Outlet Holdings Inc")</f>
        <v>0</v>
      </c>
      <c r="C2079" t="s">
        <v>3188</v>
      </c>
      <c r="D2079">
        <v>78.5</v>
      </c>
      <c r="E2079">
        <v>0</v>
      </c>
      <c r="F2079" t="s">
        <v>3182</v>
      </c>
      <c r="G2079" t="s">
        <v>3182</v>
      </c>
      <c r="H2079">
        <v>0</v>
      </c>
      <c r="I2079">
        <v>4843.788728</v>
      </c>
      <c r="J2079">
        <v>32.43659205054544</v>
      </c>
      <c r="K2079">
        <v>0</v>
      </c>
      <c r="L2079">
        <v>0.8967714458816121</v>
      </c>
      <c r="M2079">
        <v>80.94</v>
      </c>
      <c r="N2079">
        <v>44.72</v>
      </c>
    </row>
    <row r="2080" spans="1:14">
      <c r="A2080" s="1" t="s">
        <v>2092</v>
      </c>
      <c r="B2080">
        <f>HYPERLINK("https://www.suredividend.com/sure-analysis-OLN/","Olin Corp.")</f>
        <v>0</v>
      </c>
      <c r="C2080" t="s">
        <v>3181</v>
      </c>
      <c r="D2080">
        <v>43.82</v>
      </c>
      <c r="E2080">
        <v>0.01825650387950708</v>
      </c>
      <c r="F2080">
        <v>0</v>
      </c>
      <c r="G2080">
        <v>0</v>
      </c>
      <c r="H2080">
        <v>0.7958325805884451</v>
      </c>
      <c r="I2080">
        <v>5370.123341</v>
      </c>
      <c r="J2080">
        <v>8.926401829355052</v>
      </c>
      <c r="K2080">
        <v>0.175293519953402</v>
      </c>
      <c r="L2080">
        <v>1.151510212165956</v>
      </c>
      <c r="M2080">
        <v>64.03</v>
      </c>
      <c r="N2080">
        <v>41.71</v>
      </c>
    </row>
    <row r="2081" spans="1:14">
      <c r="A2081" s="1" t="s">
        <v>2093</v>
      </c>
      <c r="B2081">
        <f>HYPERLINK("https://www.suredividend.com/sure-analysis-OLP/","One Liberty Properties, Inc.")</f>
        <v>0</v>
      </c>
      <c r="C2081" t="s">
        <v>3187</v>
      </c>
      <c r="D2081">
        <v>19</v>
      </c>
      <c r="E2081">
        <v>0.09473684210526316</v>
      </c>
      <c r="F2081">
        <v>0</v>
      </c>
      <c r="G2081">
        <v>0</v>
      </c>
      <c r="H2081">
        <v>1.739852811537803</v>
      </c>
      <c r="I2081">
        <v>404.871532</v>
      </c>
      <c r="J2081">
        <v>15.10320185026299</v>
      </c>
      <c r="K2081">
        <v>1.32813191720443</v>
      </c>
      <c r="L2081">
        <v>0.8892166650836441</v>
      </c>
      <c r="M2081">
        <v>23.13</v>
      </c>
      <c r="N2081">
        <v>17.55</v>
      </c>
    </row>
    <row r="2082" spans="1:14">
      <c r="A2082" s="1" t="s">
        <v>2094</v>
      </c>
      <c r="B2082">
        <f>HYPERLINK("https://www.suredividend.com/sure-analysis-OMC/","Omnicom Group, Inc.")</f>
        <v>0</v>
      </c>
      <c r="C2082" t="s">
        <v>3191</v>
      </c>
      <c r="D2082">
        <v>76.59999999999999</v>
      </c>
      <c r="E2082">
        <v>0.03655352480417755</v>
      </c>
      <c r="F2082">
        <v>0</v>
      </c>
      <c r="G2082">
        <v>0.03131030647754507</v>
      </c>
      <c r="H2082">
        <v>2.765257742354709</v>
      </c>
      <c r="I2082">
        <v>15161.757422</v>
      </c>
      <c r="J2082">
        <v>10.86474913794339</v>
      </c>
      <c r="K2082">
        <v>0.4019269974352775</v>
      </c>
      <c r="L2082">
        <v>0.747790649544517</v>
      </c>
      <c r="M2082">
        <v>98.33</v>
      </c>
      <c r="N2082">
        <v>68.51000000000001</v>
      </c>
    </row>
    <row r="2083" spans="1:14">
      <c r="A2083" s="1" t="s">
        <v>2095</v>
      </c>
      <c r="B2083">
        <f>HYPERLINK("https://www.suredividend.com/sure-analysis-research-database/","Omnicell, Inc.")</f>
        <v>0</v>
      </c>
      <c r="C2083" t="s">
        <v>3180</v>
      </c>
      <c r="D2083">
        <v>29.24</v>
      </c>
      <c r="E2083">
        <v>0</v>
      </c>
      <c r="F2083" t="s">
        <v>3182</v>
      </c>
      <c r="G2083" t="s">
        <v>3182</v>
      </c>
      <c r="H2083">
        <v>0</v>
      </c>
      <c r="I2083">
        <v>1322.000108</v>
      </c>
      <c r="J2083" t="s">
        <v>3182</v>
      </c>
      <c r="K2083">
        <v>-0</v>
      </c>
      <c r="L2083">
        <v>1.338107882036096</v>
      </c>
      <c r="M2083">
        <v>77.14</v>
      </c>
      <c r="N2083">
        <v>28.76</v>
      </c>
    </row>
    <row r="2084" spans="1:14">
      <c r="A2084" s="1" t="s">
        <v>2096</v>
      </c>
      <c r="B2084">
        <f>HYPERLINK("https://www.suredividend.com/sure-analysis-research-database/","OptMed Inc")</f>
        <v>0</v>
      </c>
      <c r="C2084" t="s">
        <v>3182</v>
      </c>
      <c r="D2084">
        <v>0.89</v>
      </c>
      <c r="E2084">
        <v>0</v>
      </c>
      <c r="F2084" t="s">
        <v>3182</v>
      </c>
      <c r="G2084" t="s">
        <v>3182</v>
      </c>
      <c r="H2084">
        <v>0</v>
      </c>
      <c r="I2084">
        <v>0</v>
      </c>
      <c r="J2084">
        <v>0</v>
      </c>
      <c r="K2084" t="s">
        <v>3182</v>
      </c>
    </row>
    <row r="2085" spans="1:14">
      <c r="A2085" s="1" t="s">
        <v>2097</v>
      </c>
      <c r="B2085">
        <f>HYPERLINK("https://www.suredividend.com/sure-analysis-research-database/","Omeros Corporation")</f>
        <v>0</v>
      </c>
      <c r="C2085" t="s">
        <v>3180</v>
      </c>
      <c r="D2085">
        <v>1.22</v>
      </c>
      <c r="E2085">
        <v>0</v>
      </c>
      <c r="F2085" t="s">
        <v>3182</v>
      </c>
      <c r="G2085" t="s">
        <v>3182</v>
      </c>
      <c r="H2085">
        <v>0</v>
      </c>
      <c r="I2085">
        <v>76.684105</v>
      </c>
      <c r="J2085" t="s">
        <v>3182</v>
      </c>
      <c r="K2085">
        <v>-0</v>
      </c>
      <c r="L2085">
        <v>1.207710934009585</v>
      </c>
      <c r="M2085">
        <v>7.8</v>
      </c>
      <c r="N2085">
        <v>0.92</v>
      </c>
    </row>
    <row r="2086" spans="1:14">
      <c r="A2086" s="1" t="s">
        <v>2098</v>
      </c>
      <c r="B2086">
        <f>HYPERLINK("https://www.suredividend.com/sure-analysis-research-database/","Odyssey Marine Exploration, Inc.")</f>
        <v>0</v>
      </c>
      <c r="C2086" t="s">
        <v>3183</v>
      </c>
      <c r="D2086">
        <v>3.63</v>
      </c>
      <c r="E2086">
        <v>0</v>
      </c>
      <c r="F2086" t="s">
        <v>3182</v>
      </c>
      <c r="G2086" t="s">
        <v>3182</v>
      </c>
      <c r="H2086">
        <v>0</v>
      </c>
      <c r="I2086">
        <v>72.534301</v>
      </c>
      <c r="J2086">
        <v>111.6242038109718</v>
      </c>
      <c r="K2086">
        <v>0</v>
      </c>
      <c r="L2086">
        <v>0.26391970334815</v>
      </c>
      <c r="M2086">
        <v>4.68</v>
      </c>
      <c r="N2086">
        <v>2.71</v>
      </c>
    </row>
    <row r="2087" spans="1:14">
      <c r="A2087" s="1" t="s">
        <v>2099</v>
      </c>
      <c r="B2087">
        <f>HYPERLINK("https://www.suredividend.com/sure-analysis-OMF/","OneMain Holdings Inc")</f>
        <v>0</v>
      </c>
      <c r="C2087" t="s">
        <v>3184</v>
      </c>
      <c r="D2087">
        <v>38.23</v>
      </c>
      <c r="E2087">
        <v>0.104629871828407</v>
      </c>
      <c r="F2087">
        <v>0.05263157894736836</v>
      </c>
      <c r="G2087">
        <v>-0.1674467925981269</v>
      </c>
      <c r="H2087">
        <v>3.81266240756902</v>
      </c>
      <c r="I2087">
        <v>4583.934584</v>
      </c>
      <c r="J2087">
        <v>6.987705158628048</v>
      </c>
      <c r="K2087">
        <v>0.7034432486289705</v>
      </c>
      <c r="L2087">
        <v>1.567762570909256</v>
      </c>
      <c r="M2087">
        <v>47.57</v>
      </c>
      <c r="N2087">
        <v>29.74</v>
      </c>
    </row>
    <row r="2088" spans="1:14">
      <c r="A2088" s="1" t="s">
        <v>2100</v>
      </c>
      <c r="B2088">
        <f>HYPERLINK("https://www.suredividend.com/sure-analysis-research-database/","Owens &amp; Minor, Inc.")</f>
        <v>0</v>
      </c>
      <c r="C2088" t="s">
        <v>3180</v>
      </c>
      <c r="D2088">
        <v>15.51</v>
      </c>
      <c r="E2088">
        <v>0</v>
      </c>
      <c r="F2088" t="s">
        <v>3182</v>
      </c>
      <c r="G2088" t="s">
        <v>3182</v>
      </c>
      <c r="H2088">
        <v>0</v>
      </c>
      <c r="I2088">
        <v>1186.991529</v>
      </c>
      <c r="J2088" t="s">
        <v>3182</v>
      </c>
      <c r="K2088">
        <v>-0</v>
      </c>
      <c r="L2088">
        <v>2.049768095827846</v>
      </c>
      <c r="M2088">
        <v>22.86</v>
      </c>
      <c r="N2088">
        <v>11.79</v>
      </c>
    </row>
    <row r="2089" spans="1:14">
      <c r="A2089" s="1" t="s">
        <v>2101</v>
      </c>
      <c r="B2089">
        <f>HYPERLINK("https://www.suredividend.com/sure-analysis-research-database/","ON Semiconductor Corp.")</f>
        <v>0</v>
      </c>
      <c r="C2089" t="s">
        <v>3185</v>
      </c>
      <c r="D2089">
        <v>66.63</v>
      </c>
      <c r="E2089">
        <v>0</v>
      </c>
      <c r="F2089" t="s">
        <v>3182</v>
      </c>
      <c r="G2089" t="s">
        <v>3182</v>
      </c>
      <c r="H2089">
        <v>0</v>
      </c>
      <c r="I2089">
        <v>28697.380222</v>
      </c>
      <c r="J2089">
        <v>12.8959601949445</v>
      </c>
      <c r="K2089">
        <v>0</v>
      </c>
      <c r="L2089">
        <v>1.910701079141742</v>
      </c>
      <c r="M2089">
        <v>111.35</v>
      </c>
      <c r="N2089">
        <v>59.61</v>
      </c>
    </row>
    <row r="2090" spans="1:14">
      <c r="A2090" s="1" t="s">
        <v>2102</v>
      </c>
      <c r="B2090">
        <f>HYPERLINK("https://www.suredividend.com/sure-analysis-research-database/","Old National Bancorp")</f>
        <v>0</v>
      </c>
      <c r="C2090" t="s">
        <v>3184</v>
      </c>
      <c r="D2090">
        <v>14.11</v>
      </c>
      <c r="E2090">
        <v>0.038915419403649</v>
      </c>
      <c r="F2090">
        <v>0</v>
      </c>
      <c r="G2090">
        <v>0.01493197894539389</v>
      </c>
      <c r="H2090">
        <v>0.5490965677855001</v>
      </c>
      <c r="I2090">
        <v>4128.88231</v>
      </c>
      <c r="J2090">
        <v>6.591562607261622</v>
      </c>
      <c r="K2090">
        <v>0.2565871812081776</v>
      </c>
      <c r="L2090">
        <v>0.9211241237105351</v>
      </c>
      <c r="M2090">
        <v>19.27</v>
      </c>
      <c r="N2090">
        <v>11.3</v>
      </c>
    </row>
    <row r="2091" spans="1:14">
      <c r="A2091" s="1" t="s">
        <v>2103</v>
      </c>
      <c r="B2091">
        <f>HYPERLINK("https://www.suredividend.com/sure-analysis-research-database/","OncoSec Medical Inc")</f>
        <v>0</v>
      </c>
      <c r="C2091" t="s">
        <v>3180</v>
      </c>
      <c r="D2091">
        <v>0.2772</v>
      </c>
      <c r="E2091">
        <v>0</v>
      </c>
      <c r="F2091" t="s">
        <v>3182</v>
      </c>
      <c r="G2091" t="s">
        <v>3182</v>
      </c>
      <c r="H2091">
        <v>0</v>
      </c>
      <c r="I2091">
        <v>0</v>
      </c>
      <c r="J2091">
        <v>0</v>
      </c>
      <c r="K2091" t="s">
        <v>3182</v>
      </c>
    </row>
    <row r="2092" spans="1:14">
      <c r="A2092" s="1" t="s">
        <v>2104</v>
      </c>
      <c r="B2092">
        <f>HYPERLINK("https://www.suredividend.com/sure-analysis-research-database/","Oncternal Therapeutics Inc")</f>
        <v>0</v>
      </c>
      <c r="C2092" t="s">
        <v>3180</v>
      </c>
      <c r="D2092">
        <v>0.3308</v>
      </c>
      <c r="E2092">
        <v>0</v>
      </c>
      <c r="F2092" t="s">
        <v>3182</v>
      </c>
      <c r="G2092" t="s">
        <v>3182</v>
      </c>
      <c r="H2092">
        <v>0</v>
      </c>
      <c r="I2092">
        <v>19.506913</v>
      </c>
      <c r="J2092" t="s">
        <v>3182</v>
      </c>
      <c r="K2092">
        <v>-0</v>
      </c>
      <c r="L2092">
        <v>0.6943115450806671</v>
      </c>
      <c r="M2092">
        <v>1.33</v>
      </c>
      <c r="N2092">
        <v>0.261</v>
      </c>
    </row>
    <row r="2093" spans="1:14">
      <c r="A2093" s="1" t="s">
        <v>2105</v>
      </c>
      <c r="B2093">
        <f>HYPERLINK("https://www.suredividend.com/sure-analysis-research-database/","Onconova Therapeutics Inc")</f>
        <v>0</v>
      </c>
      <c r="C2093" t="s">
        <v>3180</v>
      </c>
      <c r="D2093">
        <v>0.6487000000000001</v>
      </c>
      <c r="E2093">
        <v>0</v>
      </c>
      <c r="F2093" t="s">
        <v>3182</v>
      </c>
      <c r="G2093" t="s">
        <v>3182</v>
      </c>
      <c r="H2093">
        <v>0</v>
      </c>
      <c r="I2093">
        <v>13.608185</v>
      </c>
      <c r="J2093">
        <v>0</v>
      </c>
      <c r="K2093" t="s">
        <v>3182</v>
      </c>
      <c r="L2093">
        <v>0.6035382597923591</v>
      </c>
      <c r="M2093">
        <v>1.49</v>
      </c>
      <c r="N2093">
        <v>0.5509000000000001</v>
      </c>
    </row>
    <row r="2094" spans="1:14">
      <c r="A2094" s="1" t="s">
        <v>2106</v>
      </c>
      <c r="B2094">
        <f>HYPERLINK("https://www.suredividend.com/sure-analysis-research-database/","Organovo Holdings Inc")</f>
        <v>0</v>
      </c>
      <c r="C2094" t="s">
        <v>3180</v>
      </c>
      <c r="D2094">
        <v>1.37</v>
      </c>
      <c r="E2094">
        <v>0</v>
      </c>
      <c r="F2094" t="s">
        <v>3182</v>
      </c>
      <c r="G2094" t="s">
        <v>3182</v>
      </c>
      <c r="H2094">
        <v>0</v>
      </c>
      <c r="I2094">
        <v>11.943938</v>
      </c>
      <c r="J2094">
        <v>0</v>
      </c>
      <c r="K2094" t="s">
        <v>3182</v>
      </c>
      <c r="L2094">
        <v>0.7550047969099081</v>
      </c>
      <c r="M2094">
        <v>3.4</v>
      </c>
      <c r="N2094">
        <v>1</v>
      </c>
    </row>
    <row r="2095" spans="1:14">
      <c r="A2095" s="1" t="s">
        <v>2107</v>
      </c>
      <c r="B2095">
        <f>HYPERLINK("https://www.suredividend.com/sure-analysis-research-database/","Ooma Inc")</f>
        <v>0</v>
      </c>
      <c r="C2095" t="s">
        <v>3191</v>
      </c>
      <c r="D2095">
        <v>10.5</v>
      </c>
      <c r="E2095">
        <v>0</v>
      </c>
      <c r="F2095" t="s">
        <v>3182</v>
      </c>
      <c r="G2095" t="s">
        <v>3182</v>
      </c>
      <c r="H2095">
        <v>0</v>
      </c>
      <c r="I2095">
        <v>268.8</v>
      </c>
      <c r="J2095" t="s">
        <v>3182</v>
      </c>
      <c r="K2095">
        <v>-0</v>
      </c>
      <c r="L2095">
        <v>0.776953416867704</v>
      </c>
      <c r="M2095">
        <v>16.35</v>
      </c>
      <c r="N2095">
        <v>10.21</v>
      </c>
    </row>
    <row r="2096" spans="1:14">
      <c r="A2096" s="1" t="s">
        <v>2108</v>
      </c>
      <c r="B2096">
        <f>HYPERLINK("https://www.suredividend.com/sure-analysis-research-database/","Opgen Inc")</f>
        <v>0</v>
      </c>
      <c r="C2096" t="s">
        <v>3180</v>
      </c>
      <c r="D2096">
        <v>0.651</v>
      </c>
      <c r="E2096">
        <v>0</v>
      </c>
      <c r="F2096" t="s">
        <v>3182</v>
      </c>
      <c r="G2096" t="s">
        <v>3182</v>
      </c>
      <c r="H2096">
        <v>0</v>
      </c>
      <c r="I2096">
        <v>5.79359</v>
      </c>
      <c r="J2096">
        <v>0</v>
      </c>
      <c r="K2096" t="s">
        <v>3182</v>
      </c>
      <c r="L2096">
        <v>1.38178713911943</v>
      </c>
      <c r="M2096">
        <v>9.050000000000001</v>
      </c>
      <c r="N2096">
        <v>0.165</v>
      </c>
    </row>
    <row r="2097" spans="1:14">
      <c r="A2097" s="1" t="s">
        <v>2109</v>
      </c>
      <c r="B2097">
        <f>HYPERLINK("https://www.suredividend.com/sure-analysis-OPI/","Office Properties Income Trust")</f>
        <v>0</v>
      </c>
      <c r="C2097" t="s">
        <v>3187</v>
      </c>
      <c r="D2097">
        <v>5.04</v>
      </c>
      <c r="E2097">
        <v>0.1984126984126984</v>
      </c>
      <c r="F2097">
        <v>-0.5454545454545454</v>
      </c>
      <c r="G2097">
        <v>-0.1458867408852547</v>
      </c>
      <c r="H2097">
        <v>1.115221772076901</v>
      </c>
      <c r="I2097">
        <v>245.729665</v>
      </c>
      <c r="J2097" t="s">
        <v>3182</v>
      </c>
      <c r="K2097" t="s">
        <v>3182</v>
      </c>
      <c r="L2097">
        <v>1.531565883331746</v>
      </c>
      <c r="M2097">
        <v>14.2</v>
      </c>
      <c r="N2097">
        <v>3.35</v>
      </c>
    </row>
    <row r="2098" spans="1:14">
      <c r="A2098" s="1" t="s">
        <v>2110</v>
      </c>
      <c r="B2098">
        <f>HYPERLINK("https://www.suredividend.com/sure-analysis-research-database/","Opko Health Inc")</f>
        <v>0</v>
      </c>
      <c r="C2098" t="s">
        <v>3180</v>
      </c>
      <c r="D2098">
        <v>1.28</v>
      </c>
      <c r="E2098">
        <v>0</v>
      </c>
      <c r="F2098" t="s">
        <v>3182</v>
      </c>
      <c r="G2098" t="s">
        <v>3182</v>
      </c>
      <c r="H2098">
        <v>0</v>
      </c>
      <c r="I2098">
        <v>989.5123620000001</v>
      </c>
      <c r="J2098" t="s">
        <v>3182</v>
      </c>
      <c r="K2098">
        <v>-0</v>
      </c>
      <c r="L2098">
        <v>1.464096967741635</v>
      </c>
      <c r="M2098">
        <v>2.24</v>
      </c>
      <c r="N2098">
        <v>1</v>
      </c>
    </row>
    <row r="2099" spans="1:14">
      <c r="A2099" s="1" t="s">
        <v>2111</v>
      </c>
      <c r="B2099">
        <f>HYPERLINK("https://www.suredividend.com/sure-analysis-research-database/","Old Point Financial Corp.")</f>
        <v>0</v>
      </c>
      <c r="C2099" t="s">
        <v>3184</v>
      </c>
      <c r="D2099">
        <v>15.61</v>
      </c>
      <c r="E2099">
        <v>0.03466511849382201</v>
      </c>
      <c r="F2099">
        <v>0.07692307692307709</v>
      </c>
      <c r="G2099">
        <v>0.04941452284458392</v>
      </c>
      <c r="H2099">
        <v>0.5411224996885661</v>
      </c>
      <c r="I2099">
        <v>78.631863</v>
      </c>
      <c r="J2099">
        <v>7.808526588877855</v>
      </c>
      <c r="K2099">
        <v>0.269215173974411</v>
      </c>
      <c r="M2099">
        <v>28.06</v>
      </c>
      <c r="N2099">
        <v>14</v>
      </c>
    </row>
    <row r="2100" spans="1:14">
      <c r="A2100" s="1" t="s">
        <v>2112</v>
      </c>
      <c r="B2100">
        <f>HYPERLINK("https://www.suredividend.com/sure-analysis-research-database/","OptimizeRx Corp")</f>
        <v>0</v>
      </c>
      <c r="C2100" t="s">
        <v>3180</v>
      </c>
      <c r="D2100">
        <v>8.31</v>
      </c>
      <c r="E2100">
        <v>0</v>
      </c>
      <c r="F2100" t="s">
        <v>3182</v>
      </c>
      <c r="G2100" t="s">
        <v>3182</v>
      </c>
      <c r="H2100">
        <v>0</v>
      </c>
      <c r="I2100">
        <v>138.260874</v>
      </c>
      <c r="J2100" t="s">
        <v>3182</v>
      </c>
      <c r="K2100">
        <v>-0</v>
      </c>
      <c r="L2100">
        <v>1.482169211363039</v>
      </c>
      <c r="M2100">
        <v>22.77</v>
      </c>
      <c r="N2100">
        <v>6.92</v>
      </c>
    </row>
    <row r="2101" spans="1:14">
      <c r="A2101" s="1" t="s">
        <v>2113</v>
      </c>
      <c r="B2101">
        <f>HYPERLINK("https://www.suredividend.com/sure-analysis-research-database/","OptiNose Inc")</f>
        <v>0</v>
      </c>
      <c r="C2101" t="s">
        <v>3180</v>
      </c>
      <c r="D2101">
        <v>1.24</v>
      </c>
      <c r="E2101">
        <v>0</v>
      </c>
      <c r="F2101" t="s">
        <v>3182</v>
      </c>
      <c r="G2101" t="s">
        <v>3182</v>
      </c>
      <c r="H2101">
        <v>0</v>
      </c>
      <c r="I2101">
        <v>139.156913</v>
      </c>
      <c r="J2101" t="s">
        <v>3182</v>
      </c>
      <c r="K2101">
        <v>-0</v>
      </c>
      <c r="L2101">
        <v>0.358012156252448</v>
      </c>
      <c r="M2101">
        <v>3.63</v>
      </c>
      <c r="N2101">
        <v>0.9</v>
      </c>
    </row>
    <row r="2102" spans="1:14">
      <c r="A2102" s="1" t="s">
        <v>2114</v>
      </c>
      <c r="B2102">
        <f>HYPERLINK("https://www.suredividend.com/sure-analysis-research-database/","Ocean Power Technologies")</f>
        <v>0</v>
      </c>
      <c r="C2102" t="s">
        <v>3183</v>
      </c>
      <c r="D2102">
        <v>0.28</v>
      </c>
      <c r="E2102">
        <v>0</v>
      </c>
      <c r="F2102" t="s">
        <v>3182</v>
      </c>
      <c r="G2102" t="s">
        <v>3182</v>
      </c>
      <c r="H2102">
        <v>0</v>
      </c>
      <c r="I2102">
        <v>16.460522</v>
      </c>
      <c r="J2102">
        <v>0</v>
      </c>
      <c r="K2102" t="s">
        <v>3182</v>
      </c>
      <c r="L2102">
        <v>0.974002056356928</v>
      </c>
      <c r="M2102">
        <v>0.77</v>
      </c>
      <c r="N2102">
        <v>0.247</v>
      </c>
    </row>
    <row r="2103" spans="1:14">
      <c r="A2103" s="1" t="s">
        <v>2115</v>
      </c>
      <c r="B2103">
        <f>HYPERLINK("https://www.suredividend.com/sure-analysis-research-database/","Oppenheimer Holdings Inc")</f>
        <v>0</v>
      </c>
      <c r="C2103" t="s">
        <v>3184</v>
      </c>
      <c r="D2103">
        <v>36.33</v>
      </c>
      <c r="E2103">
        <v>0.016403720826991</v>
      </c>
      <c r="F2103">
        <v>0</v>
      </c>
      <c r="G2103">
        <v>0.04563955259127317</v>
      </c>
      <c r="H2103">
        <v>0.595947177644611</v>
      </c>
      <c r="I2103">
        <v>373.306154</v>
      </c>
      <c r="J2103">
        <v>8.997280227519219</v>
      </c>
      <c r="K2103">
        <v>0.169303175467219</v>
      </c>
      <c r="L2103">
        <v>0.6456375572768961</v>
      </c>
      <c r="M2103">
        <v>48.77</v>
      </c>
      <c r="N2103">
        <v>32.82</v>
      </c>
    </row>
    <row r="2104" spans="1:14">
      <c r="A2104" s="1" t="s">
        <v>2116</v>
      </c>
      <c r="B2104">
        <f>HYPERLINK("https://www.suredividend.com/sure-analysis-research-database/","Ormat Technologies Inc")</f>
        <v>0</v>
      </c>
      <c r="C2104" t="s">
        <v>3190</v>
      </c>
      <c r="D2104">
        <v>63.64</v>
      </c>
      <c r="E2104">
        <v>0.007525697831204</v>
      </c>
      <c r="F2104">
        <v>0</v>
      </c>
      <c r="G2104">
        <v>0.03713728933664817</v>
      </c>
      <c r="H2104">
        <v>0.478935409977885</v>
      </c>
      <c r="I2104">
        <v>3834.967656</v>
      </c>
      <c r="J2104">
        <v>42.91064949211713</v>
      </c>
      <c r="K2104">
        <v>0.3089905870825065</v>
      </c>
      <c r="L2104">
        <v>0.7946719219120121</v>
      </c>
      <c r="M2104">
        <v>101.25</v>
      </c>
      <c r="N2104">
        <v>60.66</v>
      </c>
    </row>
    <row r="2105" spans="1:14">
      <c r="A2105" s="1" t="s">
        <v>2117</v>
      </c>
      <c r="B2105">
        <f>HYPERLINK("https://www.suredividend.com/sure-analysis-research-database/","Orbcomm Inc")</f>
        <v>0</v>
      </c>
      <c r="C2105" t="s">
        <v>3191</v>
      </c>
      <c r="D2105">
        <v>11.49</v>
      </c>
      <c r="E2105">
        <v>0</v>
      </c>
      <c r="F2105" t="s">
        <v>3182</v>
      </c>
      <c r="G2105" t="s">
        <v>3182</v>
      </c>
      <c r="H2105">
        <v>0</v>
      </c>
      <c r="I2105">
        <v>0</v>
      </c>
      <c r="J2105">
        <v>0</v>
      </c>
      <c r="K2105">
        <v>-0</v>
      </c>
    </row>
    <row r="2106" spans="1:14">
      <c r="A2106" s="1" t="s">
        <v>2118</v>
      </c>
      <c r="B2106">
        <f>HYPERLINK("https://www.suredividend.com/sure-analysis-ORC/","Orchid Island Capital Inc")</f>
        <v>0</v>
      </c>
      <c r="C2106" t="s">
        <v>3187</v>
      </c>
      <c r="D2106">
        <v>6.76</v>
      </c>
      <c r="E2106">
        <v>0.2130177514792899</v>
      </c>
      <c r="F2106">
        <v>-0.25</v>
      </c>
      <c r="G2106">
        <v>0.2167286837864115</v>
      </c>
      <c r="H2106">
        <v>1.715026936311509</v>
      </c>
      <c r="I2106">
        <v>353.766389</v>
      </c>
      <c r="J2106" t="s">
        <v>3182</v>
      </c>
      <c r="K2106" t="s">
        <v>3182</v>
      </c>
      <c r="L2106">
        <v>1.086206167344065</v>
      </c>
      <c r="M2106">
        <v>10.95</v>
      </c>
      <c r="N2106">
        <v>5.87</v>
      </c>
    </row>
    <row r="2107" spans="1:14">
      <c r="A2107" s="1" t="s">
        <v>2119</v>
      </c>
      <c r="B2107">
        <f>HYPERLINK("https://www.suredividend.com/sure-analysis-ORCL/","Oracle Corp.")</f>
        <v>0</v>
      </c>
      <c r="C2107" t="s">
        <v>3185</v>
      </c>
      <c r="D2107">
        <v>106.87</v>
      </c>
      <c r="E2107">
        <v>0.01497146065312997</v>
      </c>
      <c r="F2107">
        <v>0.25</v>
      </c>
      <c r="G2107">
        <v>0.160543111353167</v>
      </c>
      <c r="H2107">
        <v>1.512083258465039</v>
      </c>
      <c r="I2107">
        <v>292757.119639</v>
      </c>
      <c r="J2107">
        <v>31.22742609483413</v>
      </c>
      <c r="K2107">
        <v>0.4486893942032756</v>
      </c>
      <c r="L2107">
        <v>0.9192518760709391</v>
      </c>
      <c r="M2107">
        <v>126.95</v>
      </c>
      <c r="N2107">
        <v>73.13</v>
      </c>
    </row>
    <row r="2108" spans="1:14">
      <c r="A2108" s="1" t="s">
        <v>2120</v>
      </c>
      <c r="B2108">
        <f>HYPERLINK("https://www.suredividend.com/sure-analysis-research-database/","Organogenesis Holdings Inc")</f>
        <v>0</v>
      </c>
      <c r="C2108" t="s">
        <v>3180</v>
      </c>
      <c r="D2108">
        <v>2.32</v>
      </c>
      <c r="E2108">
        <v>0</v>
      </c>
      <c r="F2108" t="s">
        <v>3182</v>
      </c>
      <c r="G2108" t="s">
        <v>3182</v>
      </c>
      <c r="H2108">
        <v>0</v>
      </c>
      <c r="I2108">
        <v>304.643497</v>
      </c>
      <c r="J2108">
        <v>33.66970564102564</v>
      </c>
      <c r="K2108">
        <v>0</v>
      </c>
      <c r="L2108">
        <v>1.175747604587687</v>
      </c>
      <c r="M2108">
        <v>4.5</v>
      </c>
      <c r="N2108">
        <v>1.8</v>
      </c>
    </row>
    <row r="2109" spans="1:14">
      <c r="A2109" s="1" t="s">
        <v>2121</v>
      </c>
      <c r="B2109">
        <f>HYPERLINK("https://www.suredividend.com/sure-analysis-ORI/","Old Republic International Corp.")</f>
        <v>0</v>
      </c>
      <c r="C2109" t="s">
        <v>3184</v>
      </c>
      <c r="D2109">
        <v>27.91</v>
      </c>
      <c r="E2109">
        <v>0.03511286277319957</v>
      </c>
      <c r="F2109">
        <v>0.06521739130434767</v>
      </c>
      <c r="G2109">
        <v>-0.2451976964976489</v>
      </c>
      <c r="H2109">
        <v>0.951685522613659</v>
      </c>
      <c r="I2109">
        <v>7944.378734</v>
      </c>
      <c r="J2109">
        <v>10.24288129686694</v>
      </c>
      <c r="K2109">
        <v>0.3632387490891828</v>
      </c>
      <c r="L2109">
        <v>0.667255942387997</v>
      </c>
      <c r="M2109">
        <v>29.62</v>
      </c>
      <c r="N2109">
        <v>22.07</v>
      </c>
    </row>
    <row r="2110" spans="1:14">
      <c r="A2110" s="1" t="s">
        <v>2122</v>
      </c>
      <c r="B2110">
        <f>HYPERLINK("https://www.suredividend.com/sure-analysis-research-database/","O`Reilly Automotive, Inc.")</f>
        <v>0</v>
      </c>
      <c r="C2110" t="s">
        <v>3186</v>
      </c>
      <c r="D2110">
        <v>948.09</v>
      </c>
      <c r="E2110">
        <v>0</v>
      </c>
      <c r="F2110" t="s">
        <v>3182</v>
      </c>
      <c r="G2110" t="s">
        <v>3182</v>
      </c>
      <c r="H2110">
        <v>0</v>
      </c>
      <c r="I2110">
        <v>56526.204726</v>
      </c>
      <c r="J2110">
        <v>25.03086656382348</v>
      </c>
      <c r="K2110">
        <v>0</v>
      </c>
      <c r="L2110">
        <v>0.3982032245496711</v>
      </c>
      <c r="M2110">
        <v>975.72</v>
      </c>
      <c r="N2110">
        <v>767.27</v>
      </c>
    </row>
    <row r="2111" spans="1:14">
      <c r="A2111" s="1" t="s">
        <v>2123</v>
      </c>
      <c r="B2111">
        <f>HYPERLINK("https://www.suredividend.com/sure-analysis-research-database/","Orion Group Holdings Inc")</f>
        <v>0</v>
      </c>
      <c r="C2111" t="s">
        <v>3183</v>
      </c>
      <c r="D2111">
        <v>4.73</v>
      </c>
      <c r="E2111">
        <v>0</v>
      </c>
      <c r="F2111" t="s">
        <v>3182</v>
      </c>
      <c r="G2111" t="s">
        <v>3182</v>
      </c>
      <c r="H2111">
        <v>0</v>
      </c>
      <c r="I2111">
        <v>153.68295</v>
      </c>
      <c r="J2111" t="s">
        <v>3182</v>
      </c>
      <c r="K2111">
        <v>-0</v>
      </c>
      <c r="L2111">
        <v>0.58844924584503</v>
      </c>
      <c r="M2111">
        <v>6.07</v>
      </c>
      <c r="N2111">
        <v>2.1</v>
      </c>
    </row>
    <row r="2112" spans="1:14">
      <c r="A2112" s="1" t="s">
        <v>2124</v>
      </c>
      <c r="B2112">
        <f>HYPERLINK("https://www.suredividend.com/sure-analysis-research-database/","Orrstown Financial Services, Inc.")</f>
        <v>0</v>
      </c>
      <c r="C2112" t="s">
        <v>3184</v>
      </c>
      <c r="D2112">
        <v>21.6</v>
      </c>
      <c r="E2112">
        <v>0.027242096185004</v>
      </c>
      <c r="F2112" t="s">
        <v>3182</v>
      </c>
      <c r="G2112" t="s">
        <v>3182</v>
      </c>
      <c r="H2112">
        <v>0.5884292775961001</v>
      </c>
      <c r="I2112">
        <v>229.20678</v>
      </c>
      <c r="J2112">
        <v>9.63377521856086</v>
      </c>
      <c r="K2112">
        <v>0.2592199460775771</v>
      </c>
      <c r="L2112">
        <v>0.628083483879317</v>
      </c>
      <c r="M2112">
        <v>27.03</v>
      </c>
      <c r="N2112">
        <v>15.26</v>
      </c>
    </row>
    <row r="2113" spans="1:14">
      <c r="A2113" s="1" t="s">
        <v>2125</v>
      </c>
      <c r="B2113">
        <f>HYPERLINK("https://www.suredividend.com/sure-analysis-research-database/","Old Second Bancorporation Inc.")</f>
        <v>0</v>
      </c>
      <c r="C2113" t="s">
        <v>3184</v>
      </c>
      <c r="D2113">
        <v>14.09</v>
      </c>
      <c r="E2113">
        <v>0.014064534487</v>
      </c>
      <c r="F2113">
        <v>0</v>
      </c>
      <c r="G2113">
        <v>0.3797296614612149</v>
      </c>
      <c r="H2113">
        <v>0.198169290921832</v>
      </c>
      <c r="I2113">
        <v>629.471553</v>
      </c>
      <c r="J2113">
        <v>6.819326303855611</v>
      </c>
      <c r="K2113">
        <v>0.09714180927540786</v>
      </c>
      <c r="L2113">
        <v>1.030870111311483</v>
      </c>
      <c r="M2113">
        <v>17.41</v>
      </c>
      <c r="N2113">
        <v>10.68</v>
      </c>
    </row>
    <row r="2114" spans="1:14">
      <c r="A2114" s="1" t="s">
        <v>2126</v>
      </c>
      <c r="B2114">
        <f>HYPERLINK("https://www.suredividend.com/sure-analysis-research-database/","Overseas Shipholding Group, Inc.")</f>
        <v>0</v>
      </c>
      <c r="C2114" t="s">
        <v>3189</v>
      </c>
      <c r="D2114">
        <v>4.95</v>
      </c>
      <c r="E2114">
        <v>0</v>
      </c>
      <c r="F2114" t="s">
        <v>3182</v>
      </c>
      <c r="G2114" t="s">
        <v>3182</v>
      </c>
      <c r="H2114">
        <v>0</v>
      </c>
      <c r="I2114">
        <v>379.614401</v>
      </c>
      <c r="J2114">
        <v>0</v>
      </c>
      <c r="K2114" t="s">
        <v>3182</v>
      </c>
      <c r="L2114">
        <v>0.532309784791684</v>
      </c>
      <c r="M2114">
        <v>5.03</v>
      </c>
      <c r="N2114">
        <v>2.65</v>
      </c>
    </row>
    <row r="2115" spans="1:14">
      <c r="A2115" s="1" t="s">
        <v>2127</v>
      </c>
      <c r="B2115">
        <f>HYPERLINK("https://www.suredividend.com/sure-analysis-research-database/","OSI Systems, Inc.")</f>
        <v>0</v>
      </c>
      <c r="C2115" t="s">
        <v>3185</v>
      </c>
      <c r="D2115">
        <v>106.41</v>
      </c>
      <c r="E2115">
        <v>0</v>
      </c>
      <c r="F2115" t="s">
        <v>3182</v>
      </c>
      <c r="G2115" t="s">
        <v>3182</v>
      </c>
      <c r="H2115">
        <v>0</v>
      </c>
      <c r="I2115">
        <v>1807.676267</v>
      </c>
      <c r="J2115">
        <v>19.349577906917</v>
      </c>
      <c r="K2115">
        <v>0</v>
      </c>
      <c r="L2115">
        <v>0.7284861424383681</v>
      </c>
      <c r="M2115">
        <v>139.9</v>
      </c>
      <c r="N2115">
        <v>77.77</v>
      </c>
    </row>
    <row r="2116" spans="1:14">
      <c r="A2116" s="1" t="s">
        <v>2128</v>
      </c>
      <c r="B2116">
        <f>HYPERLINK("https://www.suredividend.com/sure-analysis-OSK/","Oshkosh Corp")</f>
        <v>0</v>
      </c>
      <c r="C2116" t="s">
        <v>3183</v>
      </c>
      <c r="D2116">
        <v>92</v>
      </c>
      <c r="E2116">
        <v>0.01782608695652174</v>
      </c>
      <c r="F2116">
        <v>0.1081081081081081</v>
      </c>
      <c r="G2116">
        <v>0.08713635313634827</v>
      </c>
      <c r="H2116">
        <v>1.587767821342058</v>
      </c>
      <c r="I2116">
        <v>6018.042276</v>
      </c>
      <c r="J2116">
        <v>11.20678263687151</v>
      </c>
      <c r="K2116">
        <v>0.1950574719093437</v>
      </c>
      <c r="L2116">
        <v>1.061519708584068</v>
      </c>
      <c r="M2116">
        <v>106.22</v>
      </c>
      <c r="N2116">
        <v>71.8</v>
      </c>
    </row>
    <row r="2117" spans="1:14">
      <c r="A2117" s="1" t="s">
        <v>2129</v>
      </c>
      <c r="B2117">
        <f>HYPERLINK("https://www.suredividend.com/sure-analysis-research-database/","OneSpan Inc")</f>
        <v>0</v>
      </c>
      <c r="C2117" t="s">
        <v>3185</v>
      </c>
      <c r="D2117">
        <v>8.140000000000001</v>
      </c>
      <c r="E2117">
        <v>0</v>
      </c>
      <c r="F2117" t="s">
        <v>3182</v>
      </c>
      <c r="G2117" t="s">
        <v>3182</v>
      </c>
      <c r="H2117">
        <v>0</v>
      </c>
      <c r="I2117">
        <v>325.425291</v>
      </c>
      <c r="J2117" t="s">
        <v>3182</v>
      </c>
      <c r="K2117">
        <v>-0</v>
      </c>
      <c r="L2117">
        <v>1.218867829394448</v>
      </c>
      <c r="M2117">
        <v>19.25</v>
      </c>
      <c r="N2117">
        <v>7.64</v>
      </c>
    </row>
    <row r="2118" spans="1:14">
      <c r="A2118" s="1" t="s">
        <v>2130</v>
      </c>
      <c r="B2118">
        <f>HYPERLINK("https://www.suredividend.com/sure-analysis-research-database/","Overstock.com Inc")</f>
        <v>0</v>
      </c>
      <c r="C2118" t="s">
        <v>3186</v>
      </c>
      <c r="D2118">
        <v>15.91</v>
      </c>
      <c r="E2118">
        <v>0</v>
      </c>
      <c r="F2118" t="s">
        <v>3182</v>
      </c>
      <c r="G2118" t="s">
        <v>3182</v>
      </c>
      <c r="H2118">
        <v>0</v>
      </c>
      <c r="I2118">
        <v>720.801691</v>
      </c>
      <c r="J2118" t="s">
        <v>3182</v>
      </c>
      <c r="K2118">
        <v>-0</v>
      </c>
      <c r="L2118">
        <v>2.153355541453686</v>
      </c>
      <c r="M2118">
        <v>39.27</v>
      </c>
      <c r="N2118">
        <v>13.71</v>
      </c>
    </row>
    <row r="2119" spans="1:14">
      <c r="A2119" s="1" t="s">
        <v>2131</v>
      </c>
      <c r="B2119">
        <f>HYPERLINK("https://www.suredividend.com/sure-analysis-research-database/","Orasure Technologies Inc.")</f>
        <v>0</v>
      </c>
      <c r="C2119" t="s">
        <v>3180</v>
      </c>
      <c r="D2119">
        <v>5.28</v>
      </c>
      <c r="E2119">
        <v>0</v>
      </c>
      <c r="F2119" t="s">
        <v>3182</v>
      </c>
      <c r="G2119" t="s">
        <v>3182</v>
      </c>
      <c r="H2119">
        <v>0</v>
      </c>
      <c r="I2119">
        <v>387.62959</v>
      </c>
      <c r="J2119">
        <v>8.960876360442001</v>
      </c>
      <c r="K2119">
        <v>0</v>
      </c>
      <c r="L2119">
        <v>1.140401303294835</v>
      </c>
      <c r="M2119">
        <v>7.82</v>
      </c>
      <c r="N2119">
        <v>4.06</v>
      </c>
    </row>
    <row r="2120" spans="1:14">
      <c r="A2120" s="1" t="s">
        <v>2132</v>
      </c>
      <c r="B2120">
        <f>HYPERLINK("https://www.suredividend.com/sure-analysis-research-database/","OneSpaWorld Holdings Limited")</f>
        <v>0</v>
      </c>
      <c r="C2120" t="s">
        <v>3186</v>
      </c>
      <c r="D2120">
        <v>10.59</v>
      </c>
      <c r="E2120">
        <v>0</v>
      </c>
      <c r="F2120" t="s">
        <v>3182</v>
      </c>
      <c r="G2120" t="s">
        <v>3182</v>
      </c>
      <c r="H2120">
        <v>0</v>
      </c>
      <c r="I2120">
        <v>1053.384801</v>
      </c>
      <c r="J2120">
        <v>0</v>
      </c>
      <c r="K2120" t="s">
        <v>3182</v>
      </c>
      <c r="L2120">
        <v>0.6428359821909621</v>
      </c>
      <c r="M2120">
        <v>13.01</v>
      </c>
      <c r="N2120">
        <v>8.960000000000001</v>
      </c>
    </row>
    <row r="2121" spans="1:14">
      <c r="A2121" s="1" t="s">
        <v>2133</v>
      </c>
      <c r="B2121">
        <f>HYPERLINK("https://www.suredividend.com/sure-analysis-research-database/","Otelco Inc")</f>
        <v>0</v>
      </c>
      <c r="C2121" t="s">
        <v>3191</v>
      </c>
      <c r="D2121">
        <v>11.739</v>
      </c>
      <c r="E2121">
        <v>0</v>
      </c>
      <c r="F2121" t="s">
        <v>3182</v>
      </c>
      <c r="G2121" t="s">
        <v>3182</v>
      </c>
      <c r="H2121">
        <v>0</v>
      </c>
      <c r="I2121">
        <v>0</v>
      </c>
      <c r="J2121">
        <v>0</v>
      </c>
      <c r="K2121" t="s">
        <v>3182</v>
      </c>
    </row>
    <row r="2122" spans="1:14">
      <c r="A2122" s="1" t="s">
        <v>2134</v>
      </c>
      <c r="B2122">
        <f>HYPERLINK("https://www.suredividend.com/sure-analysis-research-database/","Otonomy Inc")</f>
        <v>0</v>
      </c>
      <c r="C2122" t="s">
        <v>3180</v>
      </c>
      <c r="D2122">
        <v>0.077</v>
      </c>
      <c r="E2122">
        <v>0</v>
      </c>
      <c r="F2122" t="s">
        <v>3182</v>
      </c>
      <c r="G2122" t="s">
        <v>3182</v>
      </c>
      <c r="H2122">
        <v>0</v>
      </c>
      <c r="I2122">
        <v>0</v>
      </c>
      <c r="J2122">
        <v>0</v>
      </c>
      <c r="K2122" t="s">
        <v>3182</v>
      </c>
    </row>
    <row r="2123" spans="1:14">
      <c r="A2123" s="1" t="s">
        <v>2135</v>
      </c>
      <c r="B2123">
        <f>HYPERLINK("https://www.suredividend.com/sure-analysis-OTTR/","Otter Tail Corporation")</f>
        <v>0</v>
      </c>
      <c r="C2123" t="s">
        <v>3190</v>
      </c>
      <c r="D2123">
        <v>81.23999999999999</v>
      </c>
      <c r="E2123">
        <v>0.02154111275233875</v>
      </c>
      <c r="F2123">
        <v>0.06060606060606055</v>
      </c>
      <c r="G2123">
        <v>0.05484014571098439</v>
      </c>
      <c r="H2123">
        <v>1.705229398635674</v>
      </c>
      <c r="I2123">
        <v>3388.562726</v>
      </c>
      <c r="J2123">
        <v>12.5180562777158</v>
      </c>
      <c r="K2123">
        <v>0.2643766509512673</v>
      </c>
      <c r="L2123">
        <v>0.595278304287561</v>
      </c>
      <c r="M2123">
        <v>91.86</v>
      </c>
      <c r="N2123">
        <v>51.06</v>
      </c>
    </row>
    <row r="2124" spans="1:14">
      <c r="A2124" s="1" t="s">
        <v>2136</v>
      </c>
      <c r="B2124">
        <f>HYPERLINK("https://www.suredividend.com/sure-analysis-research-database/","Outfront Media Inc")</f>
        <v>0</v>
      </c>
      <c r="C2124" t="s">
        <v>3187</v>
      </c>
      <c r="D2124">
        <v>10.77</v>
      </c>
      <c r="E2124">
        <v>0.107723325672805</v>
      </c>
      <c r="F2124" t="s">
        <v>3182</v>
      </c>
      <c r="G2124" t="s">
        <v>3182</v>
      </c>
      <c r="H2124">
        <v>1.160180217496118</v>
      </c>
      <c r="I2124">
        <v>1777.510073</v>
      </c>
      <c r="J2124" t="s">
        <v>3182</v>
      </c>
      <c r="K2124" t="s">
        <v>3182</v>
      </c>
      <c r="L2124">
        <v>1.569787399966392</v>
      </c>
      <c r="M2124">
        <v>20.31</v>
      </c>
      <c r="N2124">
        <v>8.18</v>
      </c>
    </row>
    <row r="2125" spans="1:14">
      <c r="A2125" s="1" t="s">
        <v>2137</v>
      </c>
      <c r="B2125">
        <f>HYPERLINK("https://www.suredividend.com/sure-analysis-research-database/","Ohio Valley Banc Corp.")</f>
        <v>0</v>
      </c>
      <c r="C2125" t="s">
        <v>3184</v>
      </c>
      <c r="D2125">
        <v>23.32</v>
      </c>
      <c r="E2125">
        <v>0.027207586229045</v>
      </c>
      <c r="F2125">
        <v>0.4666666666666668</v>
      </c>
      <c r="G2125">
        <v>0.009347419909568888</v>
      </c>
      <c r="H2125">
        <v>0.6344809108613311</v>
      </c>
      <c r="I2125">
        <v>111.388446</v>
      </c>
      <c r="J2125">
        <v>0</v>
      </c>
      <c r="K2125" t="s">
        <v>3182</v>
      </c>
      <c r="M2125">
        <v>29.24</v>
      </c>
      <c r="N2125">
        <v>20.74</v>
      </c>
    </row>
    <row r="2126" spans="1:14">
      <c r="A2126" s="1" t="s">
        <v>2138</v>
      </c>
      <c r="B2126">
        <f>HYPERLINK("https://www.suredividend.com/sure-analysis-research-database/","Oak Valley Bancorp")</f>
        <v>0</v>
      </c>
      <c r="C2126" t="s">
        <v>3184</v>
      </c>
      <c r="D2126">
        <v>24.81</v>
      </c>
      <c r="E2126">
        <v>0.012823991080006</v>
      </c>
      <c r="F2126" t="s">
        <v>3182</v>
      </c>
      <c r="G2126" t="s">
        <v>3182</v>
      </c>
      <c r="H2126">
        <v>0.318163218694949</v>
      </c>
      <c r="I2126">
        <v>205.468009</v>
      </c>
      <c r="J2126">
        <v>0</v>
      </c>
      <c r="K2126" t="s">
        <v>3182</v>
      </c>
      <c r="M2126">
        <v>28.36</v>
      </c>
      <c r="N2126">
        <v>18.52</v>
      </c>
    </row>
    <row r="2127" spans="1:14">
      <c r="A2127" s="1" t="s">
        <v>2139</v>
      </c>
      <c r="B2127">
        <f>HYPERLINK("https://www.suredividend.com/sure-analysis-research-database/","Oxford Industries, Inc.")</f>
        <v>0</v>
      </c>
      <c r="C2127" t="s">
        <v>3186</v>
      </c>
      <c r="D2127">
        <v>85.94</v>
      </c>
      <c r="E2127">
        <v>0.028812352887731</v>
      </c>
      <c r="F2127">
        <v>0.1818181818181817</v>
      </c>
      <c r="G2127">
        <v>0.1383790323022041</v>
      </c>
      <c r="H2127">
        <v>2.476133607171653</v>
      </c>
      <c r="I2127">
        <v>1342.413223</v>
      </c>
      <c r="J2127">
        <v>8.30156718217011</v>
      </c>
      <c r="K2127">
        <v>0.2458921159058245</v>
      </c>
      <c r="L2127">
        <v>1.21264099187124</v>
      </c>
      <c r="M2127">
        <v>120.96</v>
      </c>
      <c r="N2127">
        <v>82.33</v>
      </c>
    </row>
    <row r="2128" spans="1:14">
      <c r="A2128" s="1" t="s">
        <v>2140</v>
      </c>
      <c r="B2128">
        <f>HYPERLINK("https://www.suredividend.com/sure-analysis-OXY/","Occidental Petroleum Corp.")</f>
        <v>0</v>
      </c>
      <c r="C2128" t="s">
        <v>3189</v>
      </c>
      <c r="D2128">
        <v>63.27</v>
      </c>
      <c r="E2128">
        <v>0.01137980085348506</v>
      </c>
      <c r="F2128">
        <v>0.3846153846153846</v>
      </c>
      <c r="G2128">
        <v>-0.2541773292157967</v>
      </c>
      <c r="H2128">
        <v>0.667353710978807</v>
      </c>
      <c r="I2128">
        <v>55973.823054</v>
      </c>
      <c r="J2128">
        <v>9.600998808535165</v>
      </c>
      <c r="K2128">
        <v>0.1123491095923917</v>
      </c>
      <c r="L2128">
        <v>0.8888013110453221</v>
      </c>
      <c r="M2128">
        <v>75.3</v>
      </c>
      <c r="N2128">
        <v>55.19</v>
      </c>
    </row>
    <row r="2129" spans="1:14">
      <c r="A2129" s="1" t="s">
        <v>2141</v>
      </c>
      <c r="B2129">
        <f>HYPERLINK("https://www.suredividend.com/sure-analysis-OZK/","Bank OZK")</f>
        <v>0</v>
      </c>
      <c r="C2129" t="s">
        <v>3184</v>
      </c>
      <c r="D2129">
        <v>38.6</v>
      </c>
      <c r="E2129">
        <v>0.03834196891191709</v>
      </c>
      <c r="F2129" t="s">
        <v>3182</v>
      </c>
      <c r="G2129" t="s">
        <v>3182</v>
      </c>
      <c r="H2129">
        <v>1.380948923451042</v>
      </c>
      <c r="I2129">
        <v>4692.879032</v>
      </c>
      <c r="J2129">
        <v>7.558139474379293</v>
      </c>
      <c r="K2129">
        <v>0.26055640065114</v>
      </c>
      <c r="L2129">
        <v>1.537151334981285</v>
      </c>
      <c r="M2129">
        <v>46.71</v>
      </c>
      <c r="N2129">
        <v>29.6</v>
      </c>
    </row>
    <row r="2130" spans="1:14">
      <c r="A2130" s="1" t="s">
        <v>2142</v>
      </c>
      <c r="B2130">
        <f>HYPERLINK("https://www.suredividend.com/sure-analysis-research-database/","Pacific Biosciences of California Inc")</f>
        <v>0</v>
      </c>
      <c r="C2130" t="s">
        <v>3180</v>
      </c>
      <c r="D2130">
        <v>6.52</v>
      </c>
      <c r="E2130">
        <v>0</v>
      </c>
      <c r="F2130" t="s">
        <v>3182</v>
      </c>
      <c r="G2130" t="s">
        <v>3182</v>
      </c>
      <c r="H2130">
        <v>0</v>
      </c>
      <c r="I2130">
        <v>1633.64007</v>
      </c>
      <c r="J2130" t="s">
        <v>3182</v>
      </c>
      <c r="K2130">
        <v>-0</v>
      </c>
      <c r="L2130">
        <v>2.556604019957841</v>
      </c>
      <c r="M2130">
        <v>14.55</v>
      </c>
      <c r="N2130">
        <v>5.74</v>
      </c>
    </row>
    <row r="2131" spans="1:14">
      <c r="A2131" s="1" t="s">
        <v>2143</v>
      </c>
      <c r="B2131">
        <f>HYPERLINK("https://www.suredividend.com/sure-analysis-PACW/","Pacwest Bancorp")</f>
        <v>0</v>
      </c>
      <c r="C2131" t="s">
        <v>3184</v>
      </c>
      <c r="D2131">
        <v>7.77</v>
      </c>
      <c r="E2131">
        <v>0.005148005148005149</v>
      </c>
      <c r="F2131">
        <v>-0.96</v>
      </c>
      <c r="G2131">
        <v>-0.5590698968891398</v>
      </c>
      <c r="H2131">
        <v>0.5155493282958531</v>
      </c>
      <c r="I2131">
        <v>921.077377</v>
      </c>
      <c r="J2131" t="s">
        <v>3182</v>
      </c>
      <c r="K2131" t="s">
        <v>3182</v>
      </c>
      <c r="L2131">
        <v>3.735601984895246</v>
      </c>
      <c r="M2131">
        <v>29.67</v>
      </c>
      <c r="N2131">
        <v>2.47</v>
      </c>
    </row>
    <row r="2132" spans="1:14">
      <c r="A2132" s="1" t="s">
        <v>2144</v>
      </c>
      <c r="B2132">
        <f>HYPERLINK("https://www.suredividend.com/sure-analysis-research-database/","Penske Automotive Group Inc")</f>
        <v>0</v>
      </c>
      <c r="C2132" t="s">
        <v>3186</v>
      </c>
      <c r="D2132">
        <v>150.79</v>
      </c>
      <c r="E2132">
        <v>0.016871353118897</v>
      </c>
      <c r="F2132" t="s">
        <v>3182</v>
      </c>
      <c r="G2132" t="s">
        <v>3182</v>
      </c>
      <c r="H2132">
        <v>2.544031336798525</v>
      </c>
      <c r="I2132">
        <v>10135.21806</v>
      </c>
      <c r="J2132">
        <v>8.73349251145196</v>
      </c>
      <c r="K2132">
        <v>0.1509810882373012</v>
      </c>
      <c r="L2132">
        <v>0.8892172295369121</v>
      </c>
      <c r="M2132">
        <v>180.05</v>
      </c>
      <c r="N2132">
        <v>104.55</v>
      </c>
    </row>
    <row r="2133" spans="1:14">
      <c r="A2133" s="1" t="s">
        <v>2145</v>
      </c>
      <c r="B2133">
        <f>HYPERLINK("https://www.suredividend.com/sure-analysis-research-database/","Phibro Animal Health Corp.")</f>
        <v>0</v>
      </c>
      <c r="C2133" t="s">
        <v>3180</v>
      </c>
      <c r="D2133">
        <v>11.83</v>
      </c>
      <c r="E2133">
        <v>0.039816337184698</v>
      </c>
      <c r="F2133">
        <v>0</v>
      </c>
      <c r="G2133">
        <v>0</v>
      </c>
      <c r="H2133">
        <v>0.47102726889498</v>
      </c>
      <c r="I2133">
        <v>240.5935</v>
      </c>
      <c r="J2133">
        <v>7.378810661227995</v>
      </c>
      <c r="K2133">
        <v>0.5851270421055652</v>
      </c>
      <c r="L2133">
        <v>0.72428016551102</v>
      </c>
      <c r="M2133">
        <v>16.1</v>
      </c>
      <c r="N2133">
        <v>10.64</v>
      </c>
    </row>
    <row r="2134" spans="1:14">
      <c r="A2134" s="1" t="s">
        <v>2146</v>
      </c>
      <c r="B2134">
        <f>HYPERLINK("https://www.suredividend.com/sure-analysis-research-database/","Pangaea Logistics Solutions Ltd")</f>
        <v>0</v>
      </c>
      <c r="C2134" t="s">
        <v>3183</v>
      </c>
      <c r="D2134">
        <v>6.06</v>
      </c>
      <c r="E2134">
        <v>0.062990768280416</v>
      </c>
      <c r="F2134" t="s">
        <v>3182</v>
      </c>
      <c r="G2134" t="s">
        <v>3182</v>
      </c>
      <c r="H2134">
        <v>0.381724055779321</v>
      </c>
      <c r="I2134">
        <v>281.587729</v>
      </c>
      <c r="J2134">
        <v>6.933980880782979</v>
      </c>
      <c r="K2134">
        <v>0.4235260798616676</v>
      </c>
      <c r="L2134">
        <v>0.53062390059582</v>
      </c>
      <c r="M2134">
        <v>6.99</v>
      </c>
      <c r="N2134">
        <v>4.2</v>
      </c>
    </row>
    <row r="2135" spans="1:14">
      <c r="A2135" s="1" t="s">
        <v>2147</v>
      </c>
      <c r="B2135">
        <f>HYPERLINK("https://www.suredividend.com/sure-analysis-research-database/","Palo Alto Networks Inc")</f>
        <v>0</v>
      </c>
      <c r="C2135" t="s">
        <v>3185</v>
      </c>
      <c r="D2135">
        <v>250.36</v>
      </c>
      <c r="E2135">
        <v>0</v>
      </c>
      <c r="F2135" t="s">
        <v>3182</v>
      </c>
      <c r="G2135" t="s">
        <v>3182</v>
      </c>
      <c r="H2135">
        <v>0</v>
      </c>
      <c r="I2135">
        <v>77815.873481</v>
      </c>
      <c r="J2135">
        <v>176.9749226309757</v>
      </c>
      <c r="K2135">
        <v>0</v>
      </c>
      <c r="L2135">
        <v>1.139958809032946</v>
      </c>
      <c r="M2135">
        <v>265.9</v>
      </c>
      <c r="N2135">
        <v>132.22</v>
      </c>
    </row>
    <row r="2136" spans="1:14">
      <c r="A2136" s="1" t="s">
        <v>2148</v>
      </c>
      <c r="B2136">
        <f>HYPERLINK("https://www.suredividend.com/sure-analysis-research-database/","Par Technology Corp.")</f>
        <v>0</v>
      </c>
      <c r="C2136" t="s">
        <v>3185</v>
      </c>
      <c r="D2136">
        <v>31.26</v>
      </c>
      <c r="E2136">
        <v>0</v>
      </c>
      <c r="F2136" t="s">
        <v>3182</v>
      </c>
      <c r="G2136" t="s">
        <v>3182</v>
      </c>
      <c r="H2136">
        <v>0</v>
      </c>
      <c r="I2136">
        <v>857.932451</v>
      </c>
      <c r="J2136" t="s">
        <v>3182</v>
      </c>
      <c r="K2136">
        <v>-0</v>
      </c>
      <c r="L2136">
        <v>2.224622140663751</v>
      </c>
      <c r="M2136">
        <v>46.63</v>
      </c>
      <c r="N2136">
        <v>20.37</v>
      </c>
    </row>
    <row r="2137" spans="1:14">
      <c r="A2137" s="1" t="s">
        <v>2149</v>
      </c>
      <c r="B2137">
        <f>HYPERLINK("https://www.suredividend.com/sure-analysis-research-database/","Par Pacific Holdings Inc")</f>
        <v>0</v>
      </c>
      <c r="C2137" t="s">
        <v>3189</v>
      </c>
      <c r="D2137">
        <v>32.94</v>
      </c>
      <c r="E2137">
        <v>0</v>
      </c>
      <c r="F2137" t="s">
        <v>3182</v>
      </c>
      <c r="G2137" t="s">
        <v>3182</v>
      </c>
      <c r="H2137">
        <v>0</v>
      </c>
      <c r="I2137">
        <v>2011.548034</v>
      </c>
      <c r="J2137">
        <v>3.244338122570635</v>
      </c>
      <c r="K2137">
        <v>0</v>
      </c>
      <c r="L2137">
        <v>0.8415273618514201</v>
      </c>
      <c r="M2137">
        <v>37.5</v>
      </c>
      <c r="N2137">
        <v>19.39</v>
      </c>
    </row>
    <row r="2138" spans="1:14">
      <c r="A2138" s="1" t="s">
        <v>2150</v>
      </c>
      <c r="B2138">
        <f>HYPERLINK("https://www.suredividend.com/sure-analysis-research-database/","Patriot Transportation Holding Inc")</f>
        <v>0</v>
      </c>
      <c r="C2138" t="s">
        <v>3183</v>
      </c>
      <c r="D2138">
        <v>15.59</v>
      </c>
      <c r="E2138">
        <v>0</v>
      </c>
      <c r="F2138" t="s">
        <v>3182</v>
      </c>
      <c r="G2138" t="s">
        <v>3182</v>
      </c>
      <c r="H2138">
        <v>0</v>
      </c>
      <c r="I2138">
        <v>54.977964</v>
      </c>
      <c r="J2138">
        <v>0</v>
      </c>
      <c r="K2138" t="s">
        <v>3182</v>
      </c>
      <c r="M2138">
        <v>15.81</v>
      </c>
      <c r="N2138">
        <v>6.95</v>
      </c>
    </row>
    <row r="2139" spans="1:14">
      <c r="A2139" s="1" t="s">
        <v>2151</v>
      </c>
      <c r="B2139">
        <f>HYPERLINK("https://www.suredividend.com/sure-analysis-research-database/","Patrick Industries, Inc.")</f>
        <v>0</v>
      </c>
      <c r="C2139" t="s">
        <v>3183</v>
      </c>
      <c r="D2139">
        <v>79.45999999999999</v>
      </c>
      <c r="E2139">
        <v>0.022366099377718</v>
      </c>
      <c r="F2139" t="s">
        <v>3182</v>
      </c>
      <c r="G2139" t="s">
        <v>3182</v>
      </c>
      <c r="H2139">
        <v>1.777210256553519</v>
      </c>
      <c r="I2139">
        <v>1764.964249</v>
      </c>
      <c r="J2139">
        <v>10.28959679494429</v>
      </c>
      <c r="K2139">
        <v>0.2404885326865384</v>
      </c>
      <c r="L2139">
        <v>1.345062113623686</v>
      </c>
      <c r="M2139">
        <v>86.39</v>
      </c>
      <c r="N2139">
        <v>43.84</v>
      </c>
    </row>
    <row r="2140" spans="1:14">
      <c r="A2140" s="1" t="s">
        <v>2152</v>
      </c>
      <c r="B2140">
        <f>HYPERLINK("https://www.suredividend.com/sure-analysis-research-database/","Paycom Software Inc")</f>
        <v>0</v>
      </c>
      <c r="C2140" t="s">
        <v>3185</v>
      </c>
      <c r="D2140">
        <v>162.66</v>
      </c>
      <c r="E2140">
        <v>0.004607806915843</v>
      </c>
      <c r="F2140" t="s">
        <v>3182</v>
      </c>
      <c r="G2140" t="s">
        <v>3182</v>
      </c>
      <c r="H2140">
        <v>0.749505872931126</v>
      </c>
      <c r="I2140">
        <v>9835.570841000001</v>
      </c>
      <c r="J2140">
        <v>31.13350017403361</v>
      </c>
      <c r="K2140">
        <v>0.1377768148770452</v>
      </c>
      <c r="L2140">
        <v>1.540424052553528</v>
      </c>
      <c r="M2140">
        <v>373.55</v>
      </c>
      <c r="N2140">
        <v>146.15</v>
      </c>
    </row>
    <row r="2141" spans="1:14">
      <c r="A2141" s="1" t="s">
        <v>2153</v>
      </c>
      <c r="B2141">
        <f>HYPERLINK("https://www.suredividend.com/sure-analysis-research-database/","PaySign Inc")</f>
        <v>0</v>
      </c>
      <c r="C2141" t="s">
        <v>3183</v>
      </c>
      <c r="D2141">
        <v>1.92</v>
      </c>
      <c r="E2141">
        <v>0</v>
      </c>
      <c r="F2141" t="s">
        <v>3182</v>
      </c>
      <c r="G2141" t="s">
        <v>3182</v>
      </c>
      <c r="H2141">
        <v>0</v>
      </c>
      <c r="I2141">
        <v>101.286478</v>
      </c>
      <c r="J2141">
        <v>0</v>
      </c>
      <c r="K2141" t="s">
        <v>3182</v>
      </c>
      <c r="L2141">
        <v>1.416812863149262</v>
      </c>
      <c r="M2141">
        <v>3.99</v>
      </c>
      <c r="N2141">
        <v>1.67</v>
      </c>
    </row>
    <row r="2142" spans="1:14">
      <c r="A2142" s="1" t="s">
        <v>2154</v>
      </c>
      <c r="B2142">
        <f>HYPERLINK("https://www.suredividend.com/sure-analysis-PAYX/","Paychex Inc.")</f>
        <v>0</v>
      </c>
      <c r="C2142" t="s">
        <v>3183</v>
      </c>
      <c r="D2142">
        <v>112.47</v>
      </c>
      <c r="E2142">
        <v>0.0316528852138348</v>
      </c>
      <c r="F2142" t="s">
        <v>3182</v>
      </c>
      <c r="G2142" t="s">
        <v>3182</v>
      </c>
      <c r="H2142">
        <v>3.311168626093041</v>
      </c>
      <c r="I2142">
        <v>40627.806566</v>
      </c>
      <c r="J2142">
        <v>25.43530117441307</v>
      </c>
      <c r="K2142">
        <v>0.7508318880029571</v>
      </c>
      <c r="L2142">
        <v>1.037210096181641</v>
      </c>
      <c r="M2142">
        <v>128.77</v>
      </c>
      <c r="N2142">
        <v>102.31</v>
      </c>
    </row>
    <row r="2143" spans="1:14">
      <c r="A2143" s="1" t="s">
        <v>2155</v>
      </c>
      <c r="B2143">
        <f>HYPERLINK("https://www.suredividend.com/sure-analysis-PB/","Prosperity Bancshares Inc.")</f>
        <v>0</v>
      </c>
      <c r="C2143" t="s">
        <v>3184</v>
      </c>
      <c r="D2143">
        <v>56.4</v>
      </c>
      <c r="E2143">
        <v>0.03971631205673759</v>
      </c>
      <c r="F2143">
        <v>0.05769230769230771</v>
      </c>
      <c r="G2143">
        <v>0.06051243834129849</v>
      </c>
      <c r="H2143">
        <v>2.169079408559184</v>
      </c>
      <c r="I2143">
        <v>5285.946406</v>
      </c>
      <c r="J2143">
        <v>10.89140300989838</v>
      </c>
      <c r="K2143">
        <v>0.4092602657658838</v>
      </c>
      <c r="L2143">
        <v>0.902162433981697</v>
      </c>
      <c r="M2143">
        <v>76.59</v>
      </c>
      <c r="N2143">
        <v>49.6</v>
      </c>
    </row>
    <row r="2144" spans="1:14">
      <c r="A2144" s="1" t="s">
        <v>2156</v>
      </c>
      <c r="B2144">
        <f>HYPERLINK("https://www.suredividend.com/sure-analysis-research-database/","People`s United Financial Inc")</f>
        <v>0</v>
      </c>
      <c r="C2144" t="s">
        <v>3184</v>
      </c>
      <c r="D2144">
        <v>19.41</v>
      </c>
      <c r="E2144">
        <v>0</v>
      </c>
      <c r="F2144" t="s">
        <v>3182</v>
      </c>
      <c r="G2144" t="s">
        <v>3182</v>
      </c>
      <c r="H2144">
        <v>0.7300000190734861</v>
      </c>
      <c r="I2144">
        <v>0</v>
      </c>
      <c r="J2144">
        <v>0</v>
      </c>
      <c r="K2144">
        <v>0.5251798698370403</v>
      </c>
    </row>
    <row r="2145" spans="1:14">
      <c r="A2145" s="1" t="s">
        <v>2157</v>
      </c>
      <c r="B2145">
        <f>HYPERLINK("https://www.suredividend.com/sure-analysis-research-database/","PBF Energy Inc")</f>
        <v>0</v>
      </c>
      <c r="C2145" t="s">
        <v>3189</v>
      </c>
      <c r="D2145">
        <v>47.44</v>
      </c>
      <c r="E2145">
        <v>0.016726802346825</v>
      </c>
      <c r="F2145" t="s">
        <v>3182</v>
      </c>
      <c r="G2145" t="s">
        <v>3182</v>
      </c>
      <c r="H2145">
        <v>0.793519503333413</v>
      </c>
      <c r="I2145">
        <v>5863.1096</v>
      </c>
      <c r="J2145">
        <v>1.893341169632189</v>
      </c>
      <c r="K2145">
        <v>0.0337237357982751</v>
      </c>
      <c r="L2145">
        <v>0.823345259396363</v>
      </c>
      <c r="M2145">
        <v>56.38</v>
      </c>
      <c r="N2145">
        <v>30.95</v>
      </c>
    </row>
    <row r="2146" spans="1:14">
      <c r="A2146" s="1" t="s">
        <v>2158</v>
      </c>
      <c r="B2146">
        <f>HYPERLINK("https://www.suredividend.com/sure-analysis-research-database/","Prestige Consumer Healthcare Inc")</f>
        <v>0</v>
      </c>
      <c r="C2146" t="s">
        <v>3180</v>
      </c>
      <c r="D2146">
        <v>59.17</v>
      </c>
      <c r="E2146">
        <v>0</v>
      </c>
      <c r="F2146" t="s">
        <v>3182</v>
      </c>
      <c r="G2146" t="s">
        <v>3182</v>
      </c>
      <c r="H2146">
        <v>0</v>
      </c>
      <c r="I2146">
        <v>2931.246594</v>
      </c>
      <c r="J2146" t="s">
        <v>3182</v>
      </c>
      <c r="K2146">
        <v>-0</v>
      </c>
      <c r="L2146">
        <v>0.413930820672229</v>
      </c>
      <c r="M2146">
        <v>68.54000000000001</v>
      </c>
      <c r="N2146">
        <v>54.01</v>
      </c>
    </row>
    <row r="2147" spans="1:14">
      <c r="A2147" s="1" t="s">
        <v>2159</v>
      </c>
      <c r="B2147">
        <f>HYPERLINK("https://www.suredividend.com/sure-analysis-research-database/","Pathfinder Bancorp, Inc.")</f>
        <v>0</v>
      </c>
      <c r="C2147" t="s">
        <v>3184</v>
      </c>
      <c r="D2147">
        <v>13.3</v>
      </c>
      <c r="E2147">
        <v>0.013373177384609</v>
      </c>
      <c r="F2147">
        <v>0</v>
      </c>
      <c r="G2147">
        <v>0.08447177119769855</v>
      </c>
      <c r="H2147">
        <v>0.177863259215301</v>
      </c>
      <c r="I2147">
        <v>62.377865</v>
      </c>
      <c r="J2147">
        <v>0</v>
      </c>
      <c r="K2147" t="s">
        <v>3182</v>
      </c>
      <c r="M2147">
        <v>19.51</v>
      </c>
      <c r="N2147">
        <v>11.81</v>
      </c>
    </row>
    <row r="2148" spans="1:14">
      <c r="A2148" s="1" t="s">
        <v>2160</v>
      </c>
      <c r="B2148">
        <f>HYPERLINK("https://www.suredividend.com/sure-analysis-research-database/","Pitney Bowes, Inc.")</f>
        <v>0</v>
      </c>
      <c r="C2148" t="s">
        <v>3183</v>
      </c>
      <c r="D2148">
        <v>3.98</v>
      </c>
      <c r="E2148">
        <v>0.04920091826068</v>
      </c>
      <c r="F2148">
        <v>0</v>
      </c>
      <c r="G2148">
        <v>0</v>
      </c>
      <c r="H2148">
        <v>0.195819654677507</v>
      </c>
      <c r="I2148">
        <v>700.584483</v>
      </c>
      <c r="J2148" t="s">
        <v>3182</v>
      </c>
      <c r="K2148" t="s">
        <v>3182</v>
      </c>
      <c r="L2148">
        <v>1.457515285635003</v>
      </c>
      <c r="M2148">
        <v>4.65</v>
      </c>
      <c r="N2148">
        <v>2.74</v>
      </c>
    </row>
    <row r="2149" spans="1:14">
      <c r="A2149" s="1" t="s">
        <v>2161</v>
      </c>
      <c r="B2149">
        <f>HYPERLINK("https://www.suredividend.com/sure-analysis-research-database/","Prudential Bancorp Inc")</f>
        <v>0</v>
      </c>
      <c r="C2149" t="s">
        <v>3184</v>
      </c>
      <c r="D2149">
        <v>15.13</v>
      </c>
      <c r="E2149">
        <v>0</v>
      </c>
      <c r="F2149" t="s">
        <v>3182</v>
      </c>
      <c r="G2149" t="s">
        <v>3182</v>
      </c>
      <c r="H2149">
        <v>0.280000001192092</v>
      </c>
      <c r="I2149">
        <v>0</v>
      </c>
      <c r="J2149">
        <v>0</v>
      </c>
      <c r="K2149" t="s">
        <v>3182</v>
      </c>
    </row>
    <row r="2150" spans="1:14">
      <c r="A2150" s="1" t="s">
        <v>2162</v>
      </c>
      <c r="B2150">
        <f>HYPERLINK("https://www.suredividend.com/sure-analysis-research-database/","Potbelly Corp")</f>
        <v>0</v>
      </c>
      <c r="C2150" t="s">
        <v>3186</v>
      </c>
      <c r="D2150">
        <v>9.65</v>
      </c>
      <c r="E2150">
        <v>0</v>
      </c>
      <c r="F2150" t="s">
        <v>3182</v>
      </c>
      <c r="G2150" t="s">
        <v>3182</v>
      </c>
      <c r="H2150">
        <v>0</v>
      </c>
      <c r="I2150">
        <v>282.91622</v>
      </c>
      <c r="J2150">
        <v>0</v>
      </c>
      <c r="K2150" t="s">
        <v>3182</v>
      </c>
      <c r="L2150">
        <v>0.6035405455060261</v>
      </c>
      <c r="M2150">
        <v>11.14</v>
      </c>
      <c r="N2150">
        <v>4.99</v>
      </c>
    </row>
    <row r="2151" spans="1:14">
      <c r="A2151" s="1" t="s">
        <v>2163</v>
      </c>
      <c r="B2151">
        <f>HYPERLINK("https://www.suredividend.com/sure-analysis-research-database/","Puma Biotechnology Inc")</f>
        <v>0</v>
      </c>
      <c r="C2151" t="s">
        <v>3180</v>
      </c>
      <c r="D2151">
        <v>2.49</v>
      </c>
      <c r="E2151">
        <v>0</v>
      </c>
      <c r="F2151" t="s">
        <v>3182</v>
      </c>
      <c r="G2151" t="s">
        <v>3182</v>
      </c>
      <c r="H2151">
        <v>0</v>
      </c>
      <c r="I2151">
        <v>118.299315</v>
      </c>
      <c r="J2151" t="s">
        <v>3182</v>
      </c>
      <c r="K2151">
        <v>-0</v>
      </c>
      <c r="L2151">
        <v>1.023122267788557</v>
      </c>
      <c r="M2151">
        <v>5.16</v>
      </c>
      <c r="N2151">
        <v>2.13</v>
      </c>
    </row>
    <row r="2152" spans="1:14">
      <c r="A2152" s="1" t="s">
        <v>2164</v>
      </c>
      <c r="B2152">
        <f>HYPERLINK("https://www.suredividend.com/sure-analysis-PCAR/","Paccar Inc.")</f>
        <v>0</v>
      </c>
      <c r="C2152" t="s">
        <v>3183</v>
      </c>
      <c r="D2152">
        <v>84.39</v>
      </c>
      <c r="E2152">
        <v>0.03649721530987084</v>
      </c>
      <c r="F2152">
        <v>-0.2702702702702702</v>
      </c>
      <c r="G2152">
        <v>-0.03340897753411864</v>
      </c>
      <c r="H2152">
        <v>1.003434789826415</v>
      </c>
      <c r="I2152">
        <v>44119.521967</v>
      </c>
      <c r="J2152">
        <v>12.1017971766876</v>
      </c>
      <c r="K2152">
        <v>0.2162574978074171</v>
      </c>
      <c r="L2152">
        <v>0.7520545087324451</v>
      </c>
      <c r="M2152">
        <v>89.76000000000001</v>
      </c>
      <c r="N2152">
        <v>62.61</v>
      </c>
    </row>
    <row r="2153" spans="1:14">
      <c r="A2153" s="1" t="s">
        <v>2165</v>
      </c>
      <c r="B2153">
        <f>HYPERLINK("https://www.suredividend.com/sure-analysis-research-database/","PotlatchDeltic Corp")</f>
        <v>0</v>
      </c>
      <c r="C2153" t="s">
        <v>3187</v>
      </c>
      <c r="D2153">
        <v>44.7</v>
      </c>
      <c r="E2153">
        <v>0.039190025124935</v>
      </c>
      <c r="F2153">
        <v>0</v>
      </c>
      <c r="G2153">
        <v>0.02383625553960966</v>
      </c>
      <c r="H2153">
        <v>1.751794123084602</v>
      </c>
      <c r="I2153">
        <v>3572.034127</v>
      </c>
      <c r="J2153">
        <v>40.42408816486352</v>
      </c>
      <c r="K2153">
        <v>1.550260285915577</v>
      </c>
      <c r="L2153">
        <v>1.031589647123072</v>
      </c>
      <c r="M2153">
        <v>53.38</v>
      </c>
      <c r="N2153">
        <v>40.54</v>
      </c>
    </row>
    <row r="2154" spans="1:14">
      <c r="A2154" s="1" t="s">
        <v>2166</v>
      </c>
      <c r="B2154">
        <f>HYPERLINK("https://www.suredividend.com/sure-analysis-research-database/","Pacira BioSciences Inc")</f>
        <v>0</v>
      </c>
      <c r="C2154" t="s">
        <v>3180</v>
      </c>
      <c r="D2154">
        <v>29.19</v>
      </c>
      <c r="E2154">
        <v>0</v>
      </c>
      <c r="F2154" t="s">
        <v>3182</v>
      </c>
      <c r="G2154" t="s">
        <v>3182</v>
      </c>
      <c r="H2154">
        <v>0</v>
      </c>
      <c r="I2154">
        <v>1354.91296</v>
      </c>
      <c r="J2154" t="s">
        <v>3182</v>
      </c>
      <c r="K2154">
        <v>-0</v>
      </c>
      <c r="L2154">
        <v>0.7617050162440561</v>
      </c>
      <c r="M2154">
        <v>53.32</v>
      </c>
      <c r="N2154">
        <v>26.59</v>
      </c>
    </row>
    <row r="2155" spans="1:14">
      <c r="A2155" s="1" t="s">
        <v>2167</v>
      </c>
      <c r="B2155">
        <f>HYPERLINK("https://www.suredividend.com/sure-analysis-research-database/","PCSB Financial Corp")</f>
        <v>0</v>
      </c>
      <c r="C2155" t="s">
        <v>3184</v>
      </c>
      <c r="D2155">
        <v>19.04</v>
      </c>
      <c r="E2155">
        <v>0</v>
      </c>
      <c r="F2155" t="s">
        <v>3182</v>
      </c>
      <c r="G2155" t="s">
        <v>3182</v>
      </c>
      <c r="H2155">
        <v>0.269999999552965</v>
      </c>
      <c r="I2155">
        <v>0</v>
      </c>
      <c r="J2155">
        <v>0</v>
      </c>
      <c r="K2155" t="s">
        <v>3182</v>
      </c>
    </row>
    <row r="2156" spans="1:14">
      <c r="A2156" s="1" t="s">
        <v>2168</v>
      </c>
      <c r="B2156">
        <f>HYPERLINK("https://www.suredividend.com/sure-analysis-research-database/","PCTEL Inc")</f>
        <v>0</v>
      </c>
      <c r="C2156" t="s">
        <v>3185</v>
      </c>
      <c r="D2156">
        <v>6.82</v>
      </c>
      <c r="E2156">
        <v>0.031233986831946</v>
      </c>
      <c r="F2156" t="s">
        <v>3182</v>
      </c>
      <c r="G2156" t="s">
        <v>3182</v>
      </c>
      <c r="H2156">
        <v>0.213015790193877</v>
      </c>
      <c r="I2156">
        <v>131.369793</v>
      </c>
      <c r="J2156">
        <v>20.70445911111112</v>
      </c>
      <c r="K2156">
        <v>0.6315321381377913</v>
      </c>
      <c r="L2156">
        <v>0.399279114014339</v>
      </c>
      <c r="M2156">
        <v>6.89</v>
      </c>
      <c r="N2156">
        <v>3.77</v>
      </c>
    </row>
    <row r="2157" spans="1:14">
      <c r="A2157" s="1" t="s">
        <v>2169</v>
      </c>
      <c r="B2157">
        <f>HYPERLINK("https://www.suredividend.com/sure-analysis-research-database/","Paylocity Holding Corp")</f>
        <v>0</v>
      </c>
      <c r="C2157" t="s">
        <v>3185</v>
      </c>
      <c r="D2157">
        <v>171.86</v>
      </c>
      <c r="E2157">
        <v>0</v>
      </c>
      <c r="F2157" t="s">
        <v>3182</v>
      </c>
      <c r="G2157" t="s">
        <v>3182</v>
      </c>
      <c r="H2157">
        <v>0</v>
      </c>
      <c r="I2157">
        <v>9654.203362</v>
      </c>
      <c r="J2157">
        <v>68.55607335629377</v>
      </c>
      <c r="K2157">
        <v>0</v>
      </c>
      <c r="L2157">
        <v>1.59068309258958</v>
      </c>
      <c r="M2157">
        <v>235</v>
      </c>
      <c r="N2157">
        <v>154.1</v>
      </c>
    </row>
    <row r="2158" spans="1:14">
      <c r="A2158" s="1" t="s">
        <v>2170</v>
      </c>
      <c r="B2158">
        <f>HYPERLINK("https://www.suredividend.com/sure-analysis-research-database/","ReposiTrak")</f>
        <v>0</v>
      </c>
      <c r="C2158" t="s">
        <v>3185</v>
      </c>
      <c r="D2158">
        <v>9.800000000000001</v>
      </c>
      <c r="E2158">
        <v>0</v>
      </c>
      <c r="F2158" t="s">
        <v>3182</v>
      </c>
      <c r="G2158" t="s">
        <v>3182</v>
      </c>
      <c r="H2158">
        <v>0.05971803590409901</v>
      </c>
      <c r="I2158">
        <v>178.664968</v>
      </c>
      <c r="J2158">
        <v>0</v>
      </c>
      <c r="K2158" t="s">
        <v>3182</v>
      </c>
    </row>
    <row r="2159" spans="1:14">
      <c r="A2159" s="1" t="s">
        <v>2171</v>
      </c>
      <c r="B2159">
        <f>HYPERLINK("https://www.suredividend.com/sure-analysis-research-database/","Pure Cycle Corp.")</f>
        <v>0</v>
      </c>
      <c r="C2159" t="s">
        <v>3190</v>
      </c>
      <c r="D2159">
        <v>9.65</v>
      </c>
      <c r="E2159">
        <v>0</v>
      </c>
      <c r="F2159" t="s">
        <v>3182</v>
      </c>
      <c r="G2159" t="s">
        <v>3182</v>
      </c>
      <c r="H2159">
        <v>0</v>
      </c>
      <c r="I2159">
        <v>232.129235</v>
      </c>
      <c r="J2159">
        <v>0</v>
      </c>
      <c r="K2159" t="s">
        <v>3182</v>
      </c>
      <c r="L2159">
        <v>0.7891913407420391</v>
      </c>
      <c r="M2159">
        <v>13.07</v>
      </c>
      <c r="N2159">
        <v>8.039999999999999</v>
      </c>
    </row>
    <row r="2160" spans="1:14">
      <c r="A2160" s="1" t="s">
        <v>2172</v>
      </c>
      <c r="B2160">
        <f>HYPERLINK("https://www.suredividend.com/sure-analysis-research-database/","Pagerduty Inc")</f>
        <v>0</v>
      </c>
      <c r="C2160" t="s">
        <v>3185</v>
      </c>
      <c r="D2160">
        <v>20.44</v>
      </c>
      <c r="E2160">
        <v>0</v>
      </c>
      <c r="F2160" t="s">
        <v>3182</v>
      </c>
      <c r="G2160" t="s">
        <v>3182</v>
      </c>
      <c r="H2160">
        <v>0</v>
      </c>
      <c r="I2160">
        <v>1907.27684</v>
      </c>
      <c r="J2160" t="s">
        <v>3182</v>
      </c>
      <c r="K2160">
        <v>-0</v>
      </c>
      <c r="L2160">
        <v>1.873098818552772</v>
      </c>
      <c r="M2160">
        <v>35.33</v>
      </c>
      <c r="N2160">
        <v>19.18</v>
      </c>
    </row>
    <row r="2161" spans="1:14">
      <c r="A2161" s="1" t="s">
        <v>2173</v>
      </c>
      <c r="B2161">
        <f>HYPERLINK("https://www.suredividend.com/sure-analysis-research-database/","PDC Energy Inc")</f>
        <v>0</v>
      </c>
      <c r="C2161" t="s">
        <v>3189</v>
      </c>
      <c r="D2161">
        <v>73.84999999999999</v>
      </c>
      <c r="E2161">
        <v>0</v>
      </c>
      <c r="F2161" t="s">
        <v>3182</v>
      </c>
      <c r="G2161" t="s">
        <v>3182</v>
      </c>
      <c r="H2161">
        <v>1.5</v>
      </c>
      <c r="I2161">
        <v>0</v>
      </c>
      <c r="J2161">
        <v>0</v>
      </c>
      <c r="K2161">
        <v>0.07447864945382324</v>
      </c>
    </row>
    <row r="2162" spans="1:14">
      <c r="A2162" s="1" t="s">
        <v>2174</v>
      </c>
      <c r="B2162">
        <f>HYPERLINK("https://www.suredividend.com/sure-analysis-PDCO/","Patterson Companies Inc.")</f>
        <v>0</v>
      </c>
      <c r="C2162" t="s">
        <v>3180</v>
      </c>
      <c r="D2162">
        <v>30.09</v>
      </c>
      <c r="E2162">
        <v>0.03456297773346627</v>
      </c>
      <c r="F2162">
        <v>0</v>
      </c>
      <c r="G2162">
        <v>0</v>
      </c>
      <c r="H2162">
        <v>1.016324364645391</v>
      </c>
      <c r="I2162">
        <v>2884.1265</v>
      </c>
      <c r="J2162">
        <v>13.46457999729226</v>
      </c>
      <c r="K2162">
        <v>0.4619656202933595</v>
      </c>
      <c r="L2162">
        <v>0.7568754475496241</v>
      </c>
      <c r="M2162">
        <v>33.95</v>
      </c>
      <c r="N2162">
        <v>24.1</v>
      </c>
    </row>
    <row r="2163" spans="1:14">
      <c r="A2163" s="1" t="s">
        <v>2175</v>
      </c>
      <c r="B2163">
        <f>HYPERLINK("https://www.suredividend.com/sure-analysis-research-database/","Pro-Dex Inc. (co)")</f>
        <v>0</v>
      </c>
      <c r="C2163" t="s">
        <v>3180</v>
      </c>
      <c r="D2163">
        <v>18.63</v>
      </c>
      <c r="E2163">
        <v>0</v>
      </c>
      <c r="F2163" t="s">
        <v>3182</v>
      </c>
      <c r="G2163" t="s">
        <v>3182</v>
      </c>
      <c r="H2163">
        <v>0</v>
      </c>
      <c r="I2163">
        <v>66.086758</v>
      </c>
      <c r="J2163">
        <v>9.34220496183206</v>
      </c>
      <c r="K2163">
        <v>0</v>
      </c>
      <c r="M2163">
        <v>19.68</v>
      </c>
      <c r="N2163">
        <v>14.51</v>
      </c>
    </row>
    <row r="2164" spans="1:14">
      <c r="A2164" s="1" t="s">
        <v>2176</v>
      </c>
      <c r="B2164">
        <f>HYPERLINK("https://www.suredividend.com/sure-analysis-research-database/","PDF Solutions Inc.")</f>
        <v>0</v>
      </c>
      <c r="C2164" t="s">
        <v>3185</v>
      </c>
      <c r="D2164">
        <v>27</v>
      </c>
      <c r="E2164">
        <v>0</v>
      </c>
      <c r="F2164" t="s">
        <v>3182</v>
      </c>
      <c r="G2164" t="s">
        <v>3182</v>
      </c>
      <c r="H2164">
        <v>0</v>
      </c>
      <c r="I2164">
        <v>1029.425409</v>
      </c>
      <c r="J2164">
        <v>113.6482014793553</v>
      </c>
      <c r="K2164">
        <v>0</v>
      </c>
      <c r="L2164">
        <v>1.20061249097871</v>
      </c>
      <c r="M2164">
        <v>48.02</v>
      </c>
      <c r="N2164">
        <v>22.7</v>
      </c>
    </row>
    <row r="2165" spans="1:14">
      <c r="A2165" s="1" t="s">
        <v>2177</v>
      </c>
      <c r="B2165">
        <f>HYPERLINK("https://www.suredividend.com/sure-analysis-research-database/","Ponce Financial Group Inc")</f>
        <v>0</v>
      </c>
      <c r="C2165" t="s">
        <v>3184</v>
      </c>
      <c r="D2165">
        <v>7.94</v>
      </c>
      <c r="E2165">
        <v>0</v>
      </c>
      <c r="F2165" t="s">
        <v>3182</v>
      </c>
      <c r="G2165" t="s">
        <v>3182</v>
      </c>
      <c r="H2165">
        <v>0</v>
      </c>
      <c r="I2165">
        <v>187.809584</v>
      </c>
      <c r="J2165" t="s">
        <v>3182</v>
      </c>
      <c r="K2165">
        <v>-0</v>
      </c>
      <c r="L2165">
        <v>0.7003920621338321</v>
      </c>
      <c r="M2165">
        <v>10.04</v>
      </c>
      <c r="N2165">
        <v>6.51</v>
      </c>
    </row>
    <row r="2166" spans="1:14">
      <c r="A2166" s="1" t="s">
        <v>2178</v>
      </c>
      <c r="B2166">
        <f>HYPERLINK("https://www.suredividend.com/sure-analysis-research-database/","PDL Biopharma Inc")</f>
        <v>0</v>
      </c>
      <c r="C2166" t="s">
        <v>3180</v>
      </c>
      <c r="D2166">
        <v>2.47</v>
      </c>
      <c r="E2166">
        <v>0</v>
      </c>
      <c r="F2166" t="s">
        <v>3182</v>
      </c>
      <c r="G2166" t="s">
        <v>3182</v>
      </c>
      <c r="H2166">
        <v>0.07587900012731501</v>
      </c>
      <c r="I2166">
        <v>0</v>
      </c>
      <c r="J2166">
        <v>0</v>
      </c>
      <c r="K2166" t="s">
        <v>3182</v>
      </c>
    </row>
    <row r="2167" spans="1:14">
      <c r="A2167" s="1" t="s">
        <v>2179</v>
      </c>
      <c r="B2167">
        <f>HYPERLINK("https://www.suredividend.com/sure-analysis-PDM/","Piedmont Office Realty Trust Inc")</f>
        <v>0</v>
      </c>
      <c r="C2167" t="s">
        <v>3187</v>
      </c>
      <c r="D2167">
        <v>5.81</v>
      </c>
      <c r="E2167">
        <v>0.08605851979345955</v>
      </c>
      <c r="F2167">
        <v>-0.4047619047619048</v>
      </c>
      <c r="G2167">
        <v>-0.0985572635745805</v>
      </c>
      <c r="H2167">
        <v>0.7253769466204321</v>
      </c>
      <c r="I2167">
        <v>718.774988</v>
      </c>
      <c r="J2167">
        <v>13.01845590867927</v>
      </c>
      <c r="K2167">
        <v>1.623130334796223</v>
      </c>
      <c r="L2167">
        <v>1.387923693245579</v>
      </c>
      <c r="M2167">
        <v>10.56</v>
      </c>
      <c r="N2167">
        <v>4.91</v>
      </c>
    </row>
    <row r="2168" spans="1:14">
      <c r="A2168" s="1" t="s">
        <v>2180</v>
      </c>
      <c r="B2168">
        <f>HYPERLINK("https://www.suredividend.com/sure-analysis-research-database/","PDS Biotechnology Corporation")</f>
        <v>0</v>
      </c>
      <c r="C2168" t="s">
        <v>3180</v>
      </c>
      <c r="D2168">
        <v>4.43</v>
      </c>
      <c r="E2168">
        <v>0</v>
      </c>
      <c r="F2168" t="s">
        <v>3182</v>
      </c>
      <c r="G2168" t="s">
        <v>3182</v>
      </c>
      <c r="H2168">
        <v>0</v>
      </c>
      <c r="I2168">
        <v>136.746073</v>
      </c>
      <c r="J2168">
        <v>0</v>
      </c>
      <c r="K2168" t="s">
        <v>3182</v>
      </c>
      <c r="L2168">
        <v>1.904358932616925</v>
      </c>
      <c r="M2168">
        <v>13.65</v>
      </c>
      <c r="N2168">
        <v>3.8</v>
      </c>
    </row>
    <row r="2169" spans="1:14">
      <c r="A2169" s="1" t="s">
        <v>2181</v>
      </c>
      <c r="B2169">
        <f>HYPERLINK("https://www.suredividend.com/sure-analysis-research-database/","Parsley Energy Inc")</f>
        <v>0</v>
      </c>
      <c r="C2169" t="s">
        <v>3189</v>
      </c>
      <c r="D2169">
        <v>16.93</v>
      </c>
      <c r="E2169">
        <v>0.011742258798249</v>
      </c>
      <c r="F2169" t="s">
        <v>3182</v>
      </c>
      <c r="G2169" t="s">
        <v>3182</v>
      </c>
      <c r="H2169">
        <v>0.198796441454361</v>
      </c>
      <c r="I2169">
        <v>6410.768162</v>
      </c>
      <c r="J2169" t="s">
        <v>3182</v>
      </c>
      <c r="K2169" t="s">
        <v>3182</v>
      </c>
      <c r="L2169">
        <v>1.571006103993863</v>
      </c>
      <c r="M2169">
        <v>17.59</v>
      </c>
      <c r="N2169">
        <v>4.07</v>
      </c>
    </row>
    <row r="2170" spans="1:14">
      <c r="A2170" s="1" t="s">
        <v>2182</v>
      </c>
      <c r="B2170">
        <f>HYPERLINK("https://www.suredividend.com/sure-analysis-research-database/","Pebblebrook Hotel Trust")</f>
        <v>0</v>
      </c>
      <c r="C2170" t="s">
        <v>3187</v>
      </c>
      <c r="D2170">
        <v>12.16</v>
      </c>
      <c r="E2170">
        <v>0.003285815518007</v>
      </c>
      <c r="F2170">
        <v>0</v>
      </c>
      <c r="G2170">
        <v>-0.4032797263077986</v>
      </c>
      <c r="H2170">
        <v>0.039955516698968</v>
      </c>
      <c r="I2170">
        <v>1465.30263</v>
      </c>
      <c r="J2170" t="s">
        <v>3182</v>
      </c>
      <c r="K2170" t="s">
        <v>3182</v>
      </c>
      <c r="L2170">
        <v>1.359021928568601</v>
      </c>
      <c r="M2170">
        <v>17.34</v>
      </c>
      <c r="N2170">
        <v>11.52</v>
      </c>
    </row>
    <row r="2171" spans="1:14">
      <c r="A2171" s="1" t="s">
        <v>2183</v>
      </c>
      <c r="B2171">
        <f>HYPERLINK("https://www.suredividend.com/sure-analysis-research-database/","Peoples Bancorp Of North Carolina Inc")</f>
        <v>0</v>
      </c>
      <c r="C2171" t="s">
        <v>3184</v>
      </c>
      <c r="D2171">
        <v>23.46</v>
      </c>
      <c r="E2171">
        <v>0.03108821671907</v>
      </c>
      <c r="F2171">
        <v>0.05555555555555558</v>
      </c>
      <c r="G2171">
        <v>0.06298004826234438</v>
      </c>
      <c r="H2171">
        <v>0.7293295642293951</v>
      </c>
      <c r="I2171">
        <v>131.160145</v>
      </c>
      <c r="J2171">
        <v>0</v>
      </c>
      <c r="K2171" t="s">
        <v>3182</v>
      </c>
      <c r="M2171">
        <v>33.45</v>
      </c>
      <c r="N2171">
        <v>15.68</v>
      </c>
    </row>
    <row r="2172" spans="1:14">
      <c r="A2172" s="1" t="s">
        <v>2184</v>
      </c>
      <c r="B2172">
        <f>HYPERLINK("https://www.suredividend.com/sure-analysis-research-database/","Peoples Bancorp, Inc. (Marietta, OH)")</f>
        <v>0</v>
      </c>
      <c r="C2172" t="s">
        <v>3184</v>
      </c>
      <c r="D2172">
        <v>28.5</v>
      </c>
      <c r="E2172">
        <v>0.05194138435012301</v>
      </c>
      <c r="F2172" t="s">
        <v>3182</v>
      </c>
      <c r="G2172" t="s">
        <v>3182</v>
      </c>
      <c r="H2172">
        <v>1.480329453978522</v>
      </c>
      <c r="I2172">
        <v>1008.055346</v>
      </c>
      <c r="J2172">
        <v>10.10683121616202</v>
      </c>
      <c r="K2172">
        <v>0.4315829311890735</v>
      </c>
      <c r="L2172">
        <v>0.6652410112054791</v>
      </c>
      <c r="M2172">
        <v>29.53</v>
      </c>
      <c r="N2172">
        <v>22.22</v>
      </c>
    </row>
    <row r="2173" spans="1:14">
      <c r="A2173" s="1" t="s">
        <v>2185</v>
      </c>
      <c r="B2173">
        <f>HYPERLINK("https://www.suredividend.com/sure-analysis-research-database/","PEDEVCO Corp")</f>
        <v>0</v>
      </c>
      <c r="C2173" t="s">
        <v>3189</v>
      </c>
      <c r="D2173">
        <v>0.9</v>
      </c>
      <c r="E2173">
        <v>0</v>
      </c>
      <c r="F2173" t="s">
        <v>3182</v>
      </c>
      <c r="G2173" t="s">
        <v>3182</v>
      </c>
      <c r="H2173">
        <v>0</v>
      </c>
      <c r="I2173">
        <v>78.33624</v>
      </c>
      <c r="J2173">
        <v>0</v>
      </c>
      <c r="K2173" t="s">
        <v>3182</v>
      </c>
      <c r="L2173">
        <v>0.593414141224063</v>
      </c>
      <c r="M2173">
        <v>1.31</v>
      </c>
      <c r="N2173">
        <v>0.8</v>
      </c>
    </row>
    <row r="2174" spans="1:14">
      <c r="A2174" s="1" t="s">
        <v>2186</v>
      </c>
      <c r="B2174">
        <f>HYPERLINK("https://www.suredividend.com/sure-analysis-PEG/","Public Service Enterprise Group Inc.")</f>
        <v>0</v>
      </c>
      <c r="C2174" t="s">
        <v>3190</v>
      </c>
      <c r="D2174">
        <v>63.42</v>
      </c>
      <c r="E2174">
        <v>0.03784295175023652</v>
      </c>
      <c r="F2174">
        <v>0.05555555555555558</v>
      </c>
      <c r="G2174">
        <v>0.04841317128472156</v>
      </c>
      <c r="H2174">
        <v>2.218727987549897</v>
      </c>
      <c r="I2174">
        <v>31603.093033</v>
      </c>
      <c r="J2174">
        <v>11.26669983345454</v>
      </c>
      <c r="K2174">
        <v>0.3962014263481959</v>
      </c>
      <c r="L2174">
        <v>0.635421298996641</v>
      </c>
      <c r="M2174">
        <v>64.83</v>
      </c>
      <c r="N2174">
        <v>53.59</v>
      </c>
    </row>
    <row r="2175" spans="1:14">
      <c r="A2175" s="1" t="s">
        <v>2187</v>
      </c>
      <c r="B2175">
        <f>HYPERLINK("https://www.suredividend.com/sure-analysis-research-database/","Pegasystems Inc.")</f>
        <v>0</v>
      </c>
      <c r="C2175" t="s">
        <v>3185</v>
      </c>
      <c r="D2175">
        <v>44.76</v>
      </c>
      <c r="E2175">
        <v>0.002676066187449</v>
      </c>
      <c r="F2175">
        <v>0</v>
      </c>
      <c r="G2175">
        <v>0</v>
      </c>
      <c r="H2175">
        <v>0.119780722550251</v>
      </c>
      <c r="I2175">
        <v>3739.962934</v>
      </c>
      <c r="J2175" t="s">
        <v>3182</v>
      </c>
      <c r="K2175" t="s">
        <v>3182</v>
      </c>
      <c r="L2175">
        <v>1.556697457799252</v>
      </c>
      <c r="M2175">
        <v>59.15</v>
      </c>
      <c r="N2175">
        <v>30.93</v>
      </c>
    </row>
    <row r="2176" spans="1:14">
      <c r="A2176" s="1" t="s">
        <v>2188</v>
      </c>
      <c r="B2176">
        <f>HYPERLINK("https://www.suredividend.com/sure-analysis-research-database/","Pennsylvania Real Estate Investment Trust")</f>
        <v>0</v>
      </c>
      <c r="C2176" t="s">
        <v>3187</v>
      </c>
      <c r="D2176">
        <v>2.39</v>
      </c>
      <c r="E2176">
        <v>0</v>
      </c>
      <c r="F2176" t="s">
        <v>3182</v>
      </c>
      <c r="G2176" t="s">
        <v>3182</v>
      </c>
      <c r="H2176">
        <v>0</v>
      </c>
      <c r="I2176">
        <v>12.833009</v>
      </c>
      <c r="J2176">
        <v>0</v>
      </c>
      <c r="K2176">
        <v>-0</v>
      </c>
    </row>
    <row r="2177" spans="1:14">
      <c r="A2177" s="1" t="s">
        <v>2189</v>
      </c>
      <c r="B2177">
        <f>HYPERLINK("https://www.suredividend.com/sure-analysis-research-database/","Penumbra Inc")</f>
        <v>0</v>
      </c>
      <c r="C2177" t="s">
        <v>3180</v>
      </c>
      <c r="D2177">
        <v>198.26</v>
      </c>
      <c r="E2177">
        <v>0</v>
      </c>
      <c r="F2177" t="s">
        <v>3182</v>
      </c>
      <c r="G2177" t="s">
        <v>3182</v>
      </c>
      <c r="H2177">
        <v>0</v>
      </c>
      <c r="I2177">
        <v>7620.452806</v>
      </c>
      <c r="J2177">
        <v>261.6195003563581</v>
      </c>
      <c r="K2177">
        <v>0</v>
      </c>
      <c r="L2177">
        <v>0.9175593510368231</v>
      </c>
      <c r="M2177">
        <v>348.67</v>
      </c>
      <c r="N2177">
        <v>144.76</v>
      </c>
    </row>
    <row r="2178" spans="1:14">
      <c r="A2178" s="1" t="s">
        <v>2190</v>
      </c>
      <c r="B2178">
        <f>HYPERLINK("https://www.suredividend.com/sure-analysis-research-database/","PENN Entertainment Inc")</f>
        <v>0</v>
      </c>
      <c r="C2178" t="s">
        <v>3186</v>
      </c>
      <c r="D2178">
        <v>22.34</v>
      </c>
      <c r="E2178">
        <v>0</v>
      </c>
      <c r="F2178" t="s">
        <v>3182</v>
      </c>
      <c r="G2178" t="s">
        <v>3182</v>
      </c>
      <c r="H2178">
        <v>0</v>
      </c>
      <c r="I2178">
        <v>3374.17431</v>
      </c>
      <c r="J2178">
        <v>4.577013442268042</v>
      </c>
      <c r="K2178">
        <v>0</v>
      </c>
      <c r="L2178">
        <v>1.626720310674034</v>
      </c>
      <c r="M2178">
        <v>39.35</v>
      </c>
      <c r="N2178">
        <v>18.35</v>
      </c>
    </row>
    <row r="2179" spans="1:14">
      <c r="A2179" s="1" t="s">
        <v>2191</v>
      </c>
      <c r="B2179">
        <f>HYPERLINK("https://www.suredividend.com/sure-analysis-PEP/","PepsiCo Inc")</f>
        <v>0</v>
      </c>
      <c r="C2179" t="s">
        <v>3188</v>
      </c>
      <c r="D2179">
        <v>166.83</v>
      </c>
      <c r="E2179">
        <v>0.03033027632919738</v>
      </c>
      <c r="F2179">
        <v>0.1000000000000001</v>
      </c>
      <c r="G2179">
        <v>0.06403354889211532</v>
      </c>
      <c r="H2179">
        <v>4.757065182305453</v>
      </c>
      <c r="I2179">
        <v>229368.554614</v>
      </c>
      <c r="J2179">
        <v>27.66810067715682</v>
      </c>
      <c r="K2179">
        <v>0.7941678100676883</v>
      </c>
      <c r="L2179">
        <v>0.3580934346260951</v>
      </c>
      <c r="M2179">
        <v>192.79</v>
      </c>
      <c r="N2179">
        <v>155.83</v>
      </c>
    </row>
    <row r="2180" spans="1:14">
      <c r="A2180" s="1" t="s">
        <v>2192</v>
      </c>
      <c r="B2180">
        <f>HYPERLINK("https://www.suredividend.com/sure-analysis-research-database/","Perma-Fix Environmental Services, Inc.")</f>
        <v>0</v>
      </c>
      <c r="C2180" t="s">
        <v>3183</v>
      </c>
      <c r="D2180">
        <v>8.460000000000001</v>
      </c>
      <c r="E2180">
        <v>0</v>
      </c>
      <c r="F2180" t="s">
        <v>3182</v>
      </c>
      <c r="G2180" t="s">
        <v>3182</v>
      </c>
      <c r="H2180">
        <v>0</v>
      </c>
      <c r="I2180">
        <v>114.766778</v>
      </c>
      <c r="J2180" t="s">
        <v>3182</v>
      </c>
      <c r="K2180">
        <v>-0</v>
      </c>
      <c r="L2180">
        <v>0.47444647133187</v>
      </c>
      <c r="M2180">
        <v>13.87</v>
      </c>
      <c r="N2180">
        <v>3.2</v>
      </c>
    </row>
    <row r="2181" spans="1:14">
      <c r="A2181" s="1" t="s">
        <v>2193</v>
      </c>
      <c r="B2181">
        <f>HYPERLINK("https://www.suredividend.com/sure-analysis-research-database/","PetIQ Inc")</f>
        <v>0</v>
      </c>
      <c r="C2181" t="s">
        <v>3180</v>
      </c>
      <c r="D2181">
        <v>19.18</v>
      </c>
      <c r="E2181">
        <v>0</v>
      </c>
      <c r="F2181" t="s">
        <v>3182</v>
      </c>
      <c r="G2181" t="s">
        <v>3182</v>
      </c>
      <c r="H2181">
        <v>0</v>
      </c>
      <c r="I2181">
        <v>559.716725</v>
      </c>
      <c r="J2181" t="s">
        <v>3182</v>
      </c>
      <c r="K2181">
        <v>-0</v>
      </c>
      <c r="L2181">
        <v>1.948421242288903</v>
      </c>
      <c r="M2181">
        <v>22.98</v>
      </c>
      <c r="N2181">
        <v>7.13</v>
      </c>
    </row>
    <row r="2182" spans="1:14">
      <c r="A2182" s="1" t="s">
        <v>2194</v>
      </c>
      <c r="B2182">
        <f>HYPERLINK("https://www.suredividend.com/sure-analysis-PETS/","Petmed Express, Inc.")</f>
        <v>0</v>
      </c>
      <c r="C2182" t="s">
        <v>3180</v>
      </c>
      <c r="D2182">
        <v>7.19</v>
      </c>
      <c r="E2182">
        <v>0.1835883171070932</v>
      </c>
      <c r="F2182" t="s">
        <v>3182</v>
      </c>
      <c r="G2182" t="s">
        <v>3182</v>
      </c>
      <c r="H2182">
        <v>1.174700488987796</v>
      </c>
      <c r="I2182">
        <v>152.046973</v>
      </c>
      <c r="J2182" t="s">
        <v>3182</v>
      </c>
      <c r="K2182" t="s">
        <v>3182</v>
      </c>
      <c r="L2182">
        <v>0.9963541805254921</v>
      </c>
      <c r="M2182">
        <v>21.78</v>
      </c>
      <c r="N2182">
        <v>5.5</v>
      </c>
    </row>
    <row r="2183" spans="1:14">
      <c r="A2183" s="1" t="s">
        <v>2195</v>
      </c>
      <c r="B2183">
        <f>HYPERLINK("https://www.suredividend.com/sure-analysis-research-database/","Preferred Bank (Los Angeles, CA)")</f>
        <v>0</v>
      </c>
      <c r="C2183" t="s">
        <v>3184</v>
      </c>
      <c r="D2183">
        <v>61.5</v>
      </c>
      <c r="E2183">
        <v>0.04320694969311201</v>
      </c>
      <c r="F2183">
        <v>0.2790697674418605</v>
      </c>
      <c r="G2183">
        <v>0.1288813207301975</v>
      </c>
      <c r="H2183">
        <v>2.65722740612639</v>
      </c>
      <c r="I2183">
        <v>811.1235</v>
      </c>
      <c r="J2183">
        <v>5.757140322237206</v>
      </c>
      <c r="K2183">
        <v>0.2776622158961745</v>
      </c>
      <c r="L2183">
        <v>0.9134686605973401</v>
      </c>
      <c r="M2183">
        <v>72.77</v>
      </c>
      <c r="N2183">
        <v>40.85</v>
      </c>
    </row>
    <row r="2184" spans="1:14">
      <c r="A2184" s="1" t="s">
        <v>2196</v>
      </c>
      <c r="B2184">
        <f>HYPERLINK("https://www.suredividend.com/sure-analysis-research-database/","Premier Financial Bancorp, Inc.")</f>
        <v>0</v>
      </c>
      <c r="C2184" t="s">
        <v>3184</v>
      </c>
      <c r="D2184">
        <v>17.79</v>
      </c>
      <c r="E2184">
        <v>0</v>
      </c>
      <c r="F2184" t="s">
        <v>3182</v>
      </c>
      <c r="G2184" t="s">
        <v>3182</v>
      </c>
      <c r="H2184">
        <v>0.583953670990024</v>
      </c>
      <c r="I2184">
        <v>0</v>
      </c>
      <c r="J2184">
        <v>0</v>
      </c>
      <c r="K2184" t="s">
        <v>3182</v>
      </c>
    </row>
    <row r="2185" spans="1:14">
      <c r="A2185" s="1" t="s">
        <v>2197</v>
      </c>
      <c r="B2185">
        <f>HYPERLINK("https://www.suredividend.com/sure-analysis-PFE/","Pfizer Inc.")</f>
        <v>0</v>
      </c>
      <c r="C2185" t="s">
        <v>3180</v>
      </c>
      <c r="D2185">
        <v>30.5</v>
      </c>
      <c r="E2185">
        <v>0.05377049180327868</v>
      </c>
      <c r="F2185">
        <v>0.02499999999999991</v>
      </c>
      <c r="G2185">
        <v>0.03815210271659408</v>
      </c>
      <c r="H2185">
        <v>1.21662428103834</v>
      </c>
      <c r="I2185">
        <v>172201.766885</v>
      </c>
      <c r="J2185">
        <v>8.019455450332977</v>
      </c>
      <c r="K2185">
        <v>0.324433141610224</v>
      </c>
      <c r="L2185">
        <v>0.457368326320383</v>
      </c>
      <c r="M2185">
        <v>53.25</v>
      </c>
      <c r="N2185">
        <v>29.7</v>
      </c>
    </row>
    <row r="2186" spans="1:14">
      <c r="A2186" s="1" t="s">
        <v>2198</v>
      </c>
      <c r="B2186">
        <f>HYPERLINK("https://www.suredividend.com/sure-analysis-PFG/","Principal Financial Group Inc")</f>
        <v>0</v>
      </c>
      <c r="C2186" t="s">
        <v>3184</v>
      </c>
      <c r="D2186">
        <v>70.53</v>
      </c>
      <c r="E2186">
        <v>0.03799801502906565</v>
      </c>
      <c r="F2186">
        <v>0.015625</v>
      </c>
      <c r="G2186">
        <v>0.03777670861995719</v>
      </c>
      <c r="H2186">
        <v>2.52464065346622</v>
      </c>
      <c r="I2186">
        <v>17048.152038</v>
      </c>
      <c r="J2186">
        <v>10.49310767406906</v>
      </c>
      <c r="K2186">
        <v>0.3848537581503384</v>
      </c>
      <c r="L2186">
        <v>1.080036441125152</v>
      </c>
      <c r="M2186">
        <v>92.09</v>
      </c>
      <c r="N2186">
        <v>64.62</v>
      </c>
    </row>
    <row r="2187" spans="1:14">
      <c r="A2187" s="1" t="s">
        <v>2199</v>
      </c>
      <c r="B2187">
        <f>HYPERLINK("https://www.suredividend.com/sure-analysis-research-database/","Performance Food Group Company")</f>
        <v>0</v>
      </c>
      <c r="C2187" t="s">
        <v>3188</v>
      </c>
      <c r="D2187">
        <v>59.63</v>
      </c>
      <c r="E2187">
        <v>0</v>
      </c>
      <c r="F2187" t="s">
        <v>3182</v>
      </c>
      <c r="G2187" t="s">
        <v>3182</v>
      </c>
      <c r="H2187">
        <v>0</v>
      </c>
      <c r="I2187">
        <v>9313.049953</v>
      </c>
      <c r="J2187">
        <v>23.44675214801108</v>
      </c>
      <c r="K2187">
        <v>0</v>
      </c>
      <c r="L2187">
        <v>0.6323968962862081</v>
      </c>
      <c r="M2187">
        <v>64.34</v>
      </c>
      <c r="N2187">
        <v>50.94</v>
      </c>
    </row>
    <row r="2188" spans="1:14">
      <c r="A2188" s="1" t="s">
        <v>2200</v>
      </c>
      <c r="B2188">
        <f>HYPERLINK("https://www.suredividend.com/sure-analysis-research-database/","Profire Energy Inc")</f>
        <v>0</v>
      </c>
      <c r="C2188" t="s">
        <v>3189</v>
      </c>
      <c r="D2188">
        <v>1.91</v>
      </c>
      <c r="E2188">
        <v>0</v>
      </c>
      <c r="F2188" t="s">
        <v>3182</v>
      </c>
      <c r="G2188" t="s">
        <v>3182</v>
      </c>
      <c r="H2188">
        <v>0</v>
      </c>
      <c r="I2188">
        <v>90.86741000000001</v>
      </c>
      <c r="J2188">
        <v>0</v>
      </c>
      <c r="K2188" t="s">
        <v>3182</v>
      </c>
      <c r="L2188">
        <v>0.7414171059625291</v>
      </c>
      <c r="M2188">
        <v>3.29</v>
      </c>
      <c r="N2188">
        <v>0.98</v>
      </c>
    </row>
    <row r="2189" spans="1:14">
      <c r="A2189" s="1" t="s">
        <v>2201</v>
      </c>
      <c r="B2189">
        <f>HYPERLINK("https://www.suredividend.com/sure-analysis-research-database/","P &amp; F Industries, Inc.")</f>
        <v>0</v>
      </c>
      <c r="C2189" t="s">
        <v>3183</v>
      </c>
      <c r="D2189">
        <v>12.76</v>
      </c>
      <c r="E2189">
        <v>0.003918495356195001</v>
      </c>
      <c r="F2189" t="s">
        <v>3182</v>
      </c>
      <c r="G2189" t="s">
        <v>3182</v>
      </c>
      <c r="H2189">
        <v>0.050000000745058</v>
      </c>
      <c r="I2189">
        <v>40.764359</v>
      </c>
      <c r="J2189">
        <v>0</v>
      </c>
      <c r="K2189" t="s">
        <v>3182</v>
      </c>
      <c r="M2189">
        <v>12.8</v>
      </c>
      <c r="N2189">
        <v>4.73</v>
      </c>
    </row>
    <row r="2190" spans="1:14">
      <c r="A2190" s="1" t="s">
        <v>2202</v>
      </c>
      <c r="B2190">
        <f>HYPERLINK("https://www.suredividend.com/sure-analysis-research-database/","Peoples Financial Services Corp")</f>
        <v>0</v>
      </c>
      <c r="C2190" t="s">
        <v>3184</v>
      </c>
      <c r="D2190">
        <v>39.305</v>
      </c>
      <c r="E2190">
        <v>0.040396751073576</v>
      </c>
      <c r="F2190">
        <v>0.02499999999999991</v>
      </c>
      <c r="G2190">
        <v>0.04436902690230249</v>
      </c>
      <c r="H2190">
        <v>1.587794300946924</v>
      </c>
      <c r="I2190">
        <v>278.800466</v>
      </c>
      <c r="J2190">
        <v>0</v>
      </c>
      <c r="K2190" t="s">
        <v>3182</v>
      </c>
      <c r="L2190">
        <v>0.9867051589188011</v>
      </c>
      <c r="M2190">
        <v>55.33</v>
      </c>
      <c r="N2190">
        <v>29.4</v>
      </c>
    </row>
    <row r="2191" spans="1:14">
      <c r="A2191" s="1" t="s">
        <v>2203</v>
      </c>
      <c r="B2191">
        <f>HYPERLINK("https://www.suredividend.com/sure-analysis-research-database/","Performant Financial Corp")</f>
        <v>0</v>
      </c>
      <c r="C2191" t="s">
        <v>3183</v>
      </c>
      <c r="D2191">
        <v>2.225</v>
      </c>
      <c r="E2191">
        <v>0</v>
      </c>
      <c r="F2191" t="s">
        <v>3182</v>
      </c>
      <c r="G2191" t="s">
        <v>3182</v>
      </c>
      <c r="H2191">
        <v>0</v>
      </c>
      <c r="I2191">
        <v>169.296216</v>
      </c>
      <c r="J2191">
        <v>0</v>
      </c>
      <c r="K2191" t="s">
        <v>3182</v>
      </c>
      <c r="L2191">
        <v>0.651774978653186</v>
      </c>
      <c r="M2191">
        <v>3.97</v>
      </c>
      <c r="N2191">
        <v>2</v>
      </c>
    </row>
    <row r="2192" spans="1:14">
      <c r="A2192" s="1" t="s">
        <v>2204</v>
      </c>
      <c r="B2192">
        <f>HYPERLINK("https://www.suredividend.com/sure-analysis-research-database/","Proofpoint Inc")</f>
        <v>0</v>
      </c>
      <c r="C2192" t="s">
        <v>3185</v>
      </c>
      <c r="D2192">
        <v>175.9</v>
      </c>
      <c r="E2192">
        <v>0</v>
      </c>
      <c r="F2192" t="s">
        <v>3182</v>
      </c>
      <c r="G2192" t="s">
        <v>3182</v>
      </c>
      <c r="H2192">
        <v>0</v>
      </c>
      <c r="I2192">
        <v>0</v>
      </c>
      <c r="J2192">
        <v>0</v>
      </c>
      <c r="K2192">
        <v>-0</v>
      </c>
    </row>
    <row r="2193" spans="1:14">
      <c r="A2193" s="1" t="s">
        <v>2205</v>
      </c>
      <c r="B2193">
        <f>HYPERLINK("https://www.suredividend.com/sure-analysis-research-database/","Provident Financial Services Inc")</f>
        <v>0</v>
      </c>
      <c r="C2193" t="s">
        <v>3184</v>
      </c>
      <c r="D2193">
        <v>15.1</v>
      </c>
      <c r="E2193">
        <v>0.062298614261346</v>
      </c>
      <c r="F2193">
        <v>0</v>
      </c>
      <c r="G2193">
        <v>0.008548252303932413</v>
      </c>
      <c r="H2193">
        <v>0.9407090753463311</v>
      </c>
      <c r="I2193">
        <v>1140.531448</v>
      </c>
      <c r="J2193">
        <v>6.91243748916647</v>
      </c>
      <c r="K2193">
        <v>0.4256602150888376</v>
      </c>
      <c r="L2193">
        <v>0.9968609973774921</v>
      </c>
      <c r="M2193">
        <v>23.63</v>
      </c>
      <c r="N2193">
        <v>13.43</v>
      </c>
    </row>
    <row r="2194" spans="1:14">
      <c r="A2194" s="1" t="s">
        <v>2206</v>
      </c>
      <c r="B2194">
        <f>HYPERLINK("https://www.suredividend.com/sure-analysis-research-database/","PFSWEB Inc")</f>
        <v>0</v>
      </c>
      <c r="C2194" t="s">
        <v>3183</v>
      </c>
      <c r="D2194">
        <v>7.49</v>
      </c>
      <c r="E2194">
        <v>0</v>
      </c>
      <c r="F2194" t="s">
        <v>3182</v>
      </c>
      <c r="G2194" t="s">
        <v>3182</v>
      </c>
      <c r="H2194">
        <v>0</v>
      </c>
      <c r="I2194">
        <v>0</v>
      </c>
      <c r="J2194">
        <v>0</v>
      </c>
      <c r="K2194">
        <v>-0</v>
      </c>
    </row>
    <row r="2195" spans="1:14">
      <c r="A2195" s="1" t="s">
        <v>2207</v>
      </c>
      <c r="B2195">
        <f>HYPERLINK("https://www.suredividend.com/sure-analysis-PG/","Procter &amp; Gamble Co.")</f>
        <v>0</v>
      </c>
      <c r="C2195" t="s">
        <v>3188</v>
      </c>
      <c r="D2195">
        <v>151.44</v>
      </c>
      <c r="E2195">
        <v>0.0248283148441627</v>
      </c>
      <c r="F2195">
        <v>0.03000109493047209</v>
      </c>
      <c r="G2195">
        <v>0.05575263158417343</v>
      </c>
      <c r="H2195">
        <v>3.70073580128636</v>
      </c>
      <c r="I2195">
        <v>356926.847794</v>
      </c>
      <c r="J2195">
        <v>23.86991558843309</v>
      </c>
      <c r="K2195">
        <v>0.6127046028619801</v>
      </c>
      <c r="L2195">
        <v>0.420568507098836</v>
      </c>
      <c r="M2195">
        <v>157.39</v>
      </c>
      <c r="N2195">
        <v>129.24</v>
      </c>
    </row>
    <row r="2196" spans="1:14">
      <c r="A2196" s="1" t="s">
        <v>2208</v>
      </c>
      <c r="B2196">
        <f>HYPERLINK("https://www.suredividend.com/sure-analysis-research-database/","Peapack-Gladstone Financial Corp.")</f>
        <v>0</v>
      </c>
      <c r="C2196" t="s">
        <v>3184</v>
      </c>
      <c r="D2196">
        <v>24.28</v>
      </c>
      <c r="E2196">
        <v>0.008207113242009</v>
      </c>
      <c r="F2196">
        <v>0</v>
      </c>
      <c r="G2196">
        <v>0</v>
      </c>
      <c r="H2196">
        <v>0.199268709515987</v>
      </c>
      <c r="I2196">
        <v>434.318091</v>
      </c>
      <c r="J2196">
        <v>6.015069463333564</v>
      </c>
      <c r="K2196">
        <v>0.05044777456100937</v>
      </c>
      <c r="L2196">
        <v>1.116491126421442</v>
      </c>
      <c r="M2196">
        <v>41.89</v>
      </c>
      <c r="N2196">
        <v>21.58</v>
      </c>
    </row>
    <row r="2197" spans="1:14">
      <c r="A2197" s="1" t="s">
        <v>2209</v>
      </c>
      <c r="B2197">
        <f>HYPERLINK("https://www.suredividend.com/sure-analysis-PGR/","Progressive Corp.")</f>
        <v>0</v>
      </c>
      <c r="C2197" t="s">
        <v>3184</v>
      </c>
      <c r="D2197">
        <v>158.77</v>
      </c>
      <c r="E2197">
        <v>0.00251936763872268</v>
      </c>
      <c r="F2197">
        <v>0</v>
      </c>
      <c r="G2197">
        <v>0</v>
      </c>
      <c r="H2197">
        <v>0.399563466976656</v>
      </c>
      <c r="I2197">
        <v>92886.944804</v>
      </c>
      <c r="J2197">
        <v>34.31361093623568</v>
      </c>
      <c r="K2197">
        <v>0.08667320324873232</v>
      </c>
      <c r="L2197">
        <v>0.354843806328236</v>
      </c>
      <c r="M2197">
        <v>161</v>
      </c>
      <c r="N2197">
        <v>111.33</v>
      </c>
    </row>
    <row r="2198" spans="1:14">
      <c r="A2198" s="1" t="s">
        <v>2210</v>
      </c>
      <c r="B2198">
        <f>HYPERLINK("https://www.suredividend.com/sure-analysis-PGRE/","Paramount Group Inc")</f>
        <v>0</v>
      </c>
      <c r="C2198" t="s">
        <v>3187</v>
      </c>
      <c r="D2198">
        <v>4.66</v>
      </c>
      <c r="E2198">
        <v>0.03004291845493563</v>
      </c>
      <c r="F2198">
        <v>-0.5483870967741935</v>
      </c>
      <c r="G2198">
        <v>-0.1893869169010509</v>
      </c>
      <c r="H2198">
        <v>0.221033848229981</v>
      </c>
      <c r="I2198">
        <v>1012.648281</v>
      </c>
      <c r="J2198" t="s">
        <v>3182</v>
      </c>
      <c r="K2198" t="s">
        <v>3182</v>
      </c>
      <c r="L2198">
        <v>1.356095658073735</v>
      </c>
      <c r="M2198">
        <v>6.54</v>
      </c>
      <c r="N2198">
        <v>3.77</v>
      </c>
    </row>
    <row r="2199" spans="1:14">
      <c r="A2199" s="1" t="s">
        <v>2211</v>
      </c>
      <c r="B2199">
        <f>HYPERLINK("https://www.suredividend.com/sure-analysis-research-database/","PGT Innovations Inc")</f>
        <v>0</v>
      </c>
      <c r="C2199" t="s">
        <v>3183</v>
      </c>
      <c r="D2199">
        <v>30.31</v>
      </c>
      <c r="E2199">
        <v>0</v>
      </c>
      <c r="F2199" t="s">
        <v>3182</v>
      </c>
      <c r="G2199" t="s">
        <v>3182</v>
      </c>
      <c r="H2199">
        <v>0</v>
      </c>
      <c r="I2199">
        <v>1768.629085</v>
      </c>
      <c r="J2199">
        <v>16.87945299761405</v>
      </c>
      <c r="K2199">
        <v>0</v>
      </c>
      <c r="L2199">
        <v>1.21164538148465</v>
      </c>
      <c r="M2199">
        <v>32.78</v>
      </c>
      <c r="N2199">
        <v>17.43</v>
      </c>
    </row>
    <row r="2200" spans="1:14">
      <c r="A2200" s="1" t="s">
        <v>2212</v>
      </c>
      <c r="B2200">
        <f>HYPERLINK("https://www.suredividend.com/sure-analysis-PH/","Parker-Hannifin Corp.")</f>
        <v>0</v>
      </c>
      <c r="C2200" t="s">
        <v>3183</v>
      </c>
      <c r="D2200">
        <v>404.58</v>
      </c>
      <c r="E2200">
        <v>0.01463245835187108</v>
      </c>
      <c r="F2200">
        <v>0.112781954887218</v>
      </c>
      <c r="G2200">
        <v>0.1425879106559216</v>
      </c>
      <c r="H2200">
        <v>5.581873126920447</v>
      </c>
      <c r="I2200">
        <v>51992.4168</v>
      </c>
      <c r="J2200">
        <v>24.96112064895897</v>
      </c>
      <c r="K2200">
        <v>0.3479970777381825</v>
      </c>
      <c r="L2200">
        <v>1.172988075012386</v>
      </c>
      <c r="M2200">
        <v>426.57</v>
      </c>
      <c r="N2200">
        <v>277.82</v>
      </c>
    </row>
    <row r="2201" spans="1:14">
      <c r="A2201" s="1" t="s">
        <v>2213</v>
      </c>
      <c r="B2201">
        <f>HYPERLINK("https://www.suredividend.com/sure-analysis-research-database/","PhaseBio Pharmaceuticals Inc")</f>
        <v>0</v>
      </c>
      <c r="C2201" t="s">
        <v>3180</v>
      </c>
      <c r="D2201">
        <v>0.07010000000000001</v>
      </c>
      <c r="E2201">
        <v>0</v>
      </c>
      <c r="F2201" t="s">
        <v>3182</v>
      </c>
      <c r="G2201" t="s">
        <v>3182</v>
      </c>
      <c r="H2201">
        <v>0</v>
      </c>
      <c r="I2201">
        <v>0</v>
      </c>
      <c r="J2201">
        <v>0</v>
      </c>
      <c r="K2201" t="s">
        <v>3182</v>
      </c>
    </row>
    <row r="2202" spans="1:14">
      <c r="A2202" s="1" t="s">
        <v>2214</v>
      </c>
      <c r="B2202">
        <f>HYPERLINK("https://www.suredividend.com/sure-analysis-research-database/","Phio Pharmaceuticals Corp")</f>
        <v>0</v>
      </c>
      <c r="C2202" t="s">
        <v>3180</v>
      </c>
      <c r="D2202">
        <v>1.248</v>
      </c>
      <c r="E2202">
        <v>0</v>
      </c>
      <c r="F2202" t="s">
        <v>3182</v>
      </c>
      <c r="G2202" t="s">
        <v>3182</v>
      </c>
      <c r="H2202">
        <v>0</v>
      </c>
      <c r="I2202">
        <v>2.772876</v>
      </c>
      <c r="J2202">
        <v>0</v>
      </c>
      <c r="K2202" t="s">
        <v>3182</v>
      </c>
      <c r="L2202">
        <v>0.7614323425097521</v>
      </c>
      <c r="M2202">
        <v>12.27</v>
      </c>
      <c r="N2202">
        <v>1.17</v>
      </c>
    </row>
    <row r="2203" spans="1:14">
      <c r="A2203" s="1" t="s">
        <v>2215</v>
      </c>
      <c r="B2203">
        <f>HYPERLINK("https://www.suredividend.com/sure-analysis-PHM/","PulteGroup Inc")</f>
        <v>0</v>
      </c>
      <c r="C2203" t="s">
        <v>3186</v>
      </c>
      <c r="D2203">
        <v>80.17</v>
      </c>
      <c r="E2203">
        <v>0.007983036048397157</v>
      </c>
      <c r="F2203">
        <v>0.06666666666666665</v>
      </c>
      <c r="G2203">
        <v>0.07781806771272581</v>
      </c>
      <c r="H2203">
        <v>0.637876031103068</v>
      </c>
      <c r="I2203">
        <v>17284.249547</v>
      </c>
      <c r="J2203">
        <v>6.25929548329762</v>
      </c>
      <c r="K2203">
        <v>0.05177565187524902</v>
      </c>
      <c r="L2203">
        <v>1.226792729280205</v>
      </c>
      <c r="M2203">
        <v>85.98</v>
      </c>
      <c r="N2203">
        <v>36.93</v>
      </c>
    </row>
    <row r="2204" spans="1:14">
      <c r="A2204" s="1" t="s">
        <v>2216</v>
      </c>
      <c r="B2204">
        <f>HYPERLINK("https://www.suredividend.com/sure-analysis-research-database/","PHX Minerals Inc")</f>
        <v>0</v>
      </c>
      <c r="C2204" t="s">
        <v>3189</v>
      </c>
      <c r="D2204">
        <v>3.58</v>
      </c>
      <c r="E2204">
        <v>0.024186898010812</v>
      </c>
      <c r="F2204">
        <v>0.125</v>
      </c>
      <c r="G2204">
        <v>-0.1086987710169983</v>
      </c>
      <c r="H2204">
        <v>0.086589094878708</v>
      </c>
      <c r="I2204">
        <v>132.461217</v>
      </c>
      <c r="J2204">
        <v>4.859280342278606</v>
      </c>
      <c r="K2204">
        <v>0.1135296904139347</v>
      </c>
      <c r="L2204">
        <v>0.846064793317657</v>
      </c>
      <c r="M2204">
        <v>4.25</v>
      </c>
      <c r="N2204">
        <v>2.3</v>
      </c>
    </row>
    <row r="2205" spans="1:14">
      <c r="A2205" s="1" t="s">
        <v>2217</v>
      </c>
      <c r="B2205">
        <f>HYPERLINK("https://www.suredividend.com/sure-analysis-research-database/","Impinj Inc")</f>
        <v>0</v>
      </c>
      <c r="C2205" t="s">
        <v>3185</v>
      </c>
      <c r="D2205">
        <v>65.47</v>
      </c>
      <c r="E2205">
        <v>0</v>
      </c>
      <c r="F2205" t="s">
        <v>3182</v>
      </c>
      <c r="G2205" t="s">
        <v>3182</v>
      </c>
      <c r="H2205">
        <v>0</v>
      </c>
      <c r="I2205">
        <v>1771.347285</v>
      </c>
      <c r="J2205" t="s">
        <v>3182</v>
      </c>
      <c r="K2205">
        <v>-0</v>
      </c>
      <c r="L2205">
        <v>1.287968786863178</v>
      </c>
      <c r="M2205">
        <v>144.9</v>
      </c>
      <c r="N2205">
        <v>48.39</v>
      </c>
    </row>
    <row r="2206" spans="1:14">
      <c r="A2206" s="1" t="s">
        <v>2218</v>
      </c>
      <c r="B2206">
        <f>HYPERLINK("https://www.suredividend.com/sure-analysis-PII/","Polaris Inc")</f>
        <v>0</v>
      </c>
      <c r="C2206" t="s">
        <v>3186</v>
      </c>
      <c r="D2206">
        <v>88.7</v>
      </c>
      <c r="E2206">
        <v>0.02931228861330327</v>
      </c>
      <c r="F2206">
        <v>0.015625</v>
      </c>
      <c r="G2206">
        <v>0.01278370289964093</v>
      </c>
      <c r="H2206">
        <v>2.567564836786488</v>
      </c>
      <c r="I2206">
        <v>5009.128756</v>
      </c>
      <c r="J2206">
        <v>8.420118937804673</v>
      </c>
      <c r="K2206">
        <v>0.2507387535924305</v>
      </c>
      <c r="L2206">
        <v>1.185627006766191</v>
      </c>
      <c r="M2206">
        <v>137.69</v>
      </c>
      <c r="N2206">
        <v>84.15000000000001</v>
      </c>
    </row>
    <row r="2207" spans="1:14">
      <c r="A2207" s="1" t="s">
        <v>2219</v>
      </c>
      <c r="B2207">
        <f>HYPERLINK("https://www.suredividend.com/sure-analysis-PINC/","Premier Inc")</f>
        <v>0</v>
      </c>
      <c r="C2207" t="s">
        <v>3180</v>
      </c>
      <c r="D2207">
        <v>19.4</v>
      </c>
      <c r="E2207">
        <v>0.04329896907216495</v>
      </c>
      <c r="F2207" t="s">
        <v>3182</v>
      </c>
      <c r="G2207" t="s">
        <v>3182</v>
      </c>
      <c r="H2207">
        <v>0.820043371189445</v>
      </c>
      <c r="I2207">
        <v>2321.645549</v>
      </c>
      <c r="J2207">
        <v>13.26457525967571</v>
      </c>
      <c r="K2207">
        <v>0.5616735419105788</v>
      </c>
      <c r="L2207">
        <v>0.542799993304048</v>
      </c>
      <c r="M2207">
        <v>34.1</v>
      </c>
      <c r="N2207">
        <v>18.89</v>
      </c>
    </row>
    <row r="2208" spans="1:14">
      <c r="A2208" s="1" t="s">
        <v>2220</v>
      </c>
      <c r="B2208">
        <f>HYPERLINK("https://www.suredividend.com/sure-analysis-research-database/","Pinterest Inc")</f>
        <v>0</v>
      </c>
      <c r="C2208" t="s">
        <v>3191</v>
      </c>
      <c r="D2208">
        <v>30.72</v>
      </c>
      <c r="E2208">
        <v>0</v>
      </c>
      <c r="F2208" t="s">
        <v>3182</v>
      </c>
      <c r="G2208" t="s">
        <v>3182</v>
      </c>
      <c r="H2208">
        <v>0</v>
      </c>
      <c r="I2208">
        <v>18012.433459</v>
      </c>
      <c r="J2208" t="s">
        <v>3182</v>
      </c>
      <c r="K2208">
        <v>-0</v>
      </c>
      <c r="L2208">
        <v>1.629825888925613</v>
      </c>
      <c r="M2208">
        <v>31.24</v>
      </c>
      <c r="N2208">
        <v>20.6</v>
      </c>
    </row>
    <row r="2209" spans="1:14">
      <c r="A2209" s="1" t="s">
        <v>2221</v>
      </c>
      <c r="B2209">
        <f>HYPERLINK("https://www.suredividend.com/sure-analysis-research-database/","PJT Partners Inc")</f>
        <v>0</v>
      </c>
      <c r="C2209" t="s">
        <v>3184</v>
      </c>
      <c r="D2209">
        <v>81.95999999999999</v>
      </c>
      <c r="E2209">
        <v>0.012140089446353</v>
      </c>
      <c r="F2209">
        <v>0</v>
      </c>
      <c r="G2209">
        <v>0.3797296614612149</v>
      </c>
      <c r="H2209">
        <v>0.9950017310231261</v>
      </c>
      <c r="I2209">
        <v>1982.94024</v>
      </c>
      <c r="J2209">
        <v>23.2906216892376</v>
      </c>
      <c r="K2209">
        <v>0.3119127683458076</v>
      </c>
      <c r="L2209">
        <v>0.716212505213887</v>
      </c>
      <c r="M2209">
        <v>86.65000000000001</v>
      </c>
      <c r="N2209">
        <v>59.2</v>
      </c>
    </row>
    <row r="2210" spans="1:14">
      <c r="A2210" s="1" t="s">
        <v>2222</v>
      </c>
      <c r="B2210">
        <f>HYPERLINK("https://www.suredividend.com/sure-analysis-research-database/","Park Hotels &amp; Resorts Inc")</f>
        <v>0</v>
      </c>
      <c r="C2210" t="s">
        <v>3187</v>
      </c>
      <c r="D2210">
        <v>12.89</v>
      </c>
      <c r="E2210">
        <v>0.05368410549227801</v>
      </c>
      <c r="F2210" t="s">
        <v>3182</v>
      </c>
      <c r="G2210" t="s">
        <v>3182</v>
      </c>
      <c r="H2210">
        <v>0.691988119795468</v>
      </c>
      <c r="I2210">
        <v>2780.80332</v>
      </c>
      <c r="J2210" t="s">
        <v>3182</v>
      </c>
      <c r="K2210" t="s">
        <v>3182</v>
      </c>
      <c r="L2210">
        <v>1.479658875826574</v>
      </c>
      <c r="M2210">
        <v>14.99</v>
      </c>
      <c r="N2210">
        <v>10.42</v>
      </c>
    </row>
    <row r="2211" spans="1:14">
      <c r="A2211" s="1" t="s">
        <v>2223</v>
      </c>
      <c r="B2211">
        <f>HYPERLINK("https://www.suredividend.com/sure-analysis-research-database/","Parke Bancorp Inc")</f>
        <v>0</v>
      </c>
      <c r="C2211" t="s">
        <v>3184</v>
      </c>
      <c r="D2211">
        <v>17.32</v>
      </c>
      <c r="E2211">
        <v>0.04025240493450601</v>
      </c>
      <c r="F2211">
        <v>0</v>
      </c>
      <c r="G2211">
        <v>0.05154749679728043</v>
      </c>
      <c r="H2211">
        <v>0.697171653465651</v>
      </c>
      <c r="I2211">
        <v>206.916342</v>
      </c>
      <c r="J2211">
        <v>0</v>
      </c>
      <c r="K2211" t="s">
        <v>3182</v>
      </c>
      <c r="L2211">
        <v>0.7632716681243641</v>
      </c>
      <c r="M2211">
        <v>20.36</v>
      </c>
      <c r="N2211">
        <v>14.23</v>
      </c>
    </row>
    <row r="2212" spans="1:14">
      <c r="A2212" s="1" t="s">
        <v>2224</v>
      </c>
      <c r="B2212">
        <f>HYPERLINK("https://www.suredividend.com/sure-analysis-research-database/","Park Aerospace Corp")</f>
        <v>0</v>
      </c>
      <c r="C2212" t="s">
        <v>3183</v>
      </c>
      <c r="D2212">
        <v>14.84</v>
      </c>
      <c r="E2212">
        <v>0.031185745639435</v>
      </c>
      <c r="F2212">
        <v>0.25</v>
      </c>
      <c r="G2212">
        <v>0.04563955259127317</v>
      </c>
      <c r="H2212">
        <v>0.462796465289216</v>
      </c>
      <c r="I2212">
        <v>300.513131</v>
      </c>
      <c r="J2212">
        <v>28.52250676157935</v>
      </c>
      <c r="K2212">
        <v>0.8993324238033734</v>
      </c>
      <c r="L2212">
        <v>0.629059952475816</v>
      </c>
      <c r="M2212">
        <v>16.1</v>
      </c>
      <c r="N2212">
        <v>9.74</v>
      </c>
    </row>
    <row r="2213" spans="1:14">
      <c r="A2213" s="1" t="s">
        <v>2225</v>
      </c>
      <c r="B2213">
        <f>HYPERLINK("https://www.suredividend.com/sure-analysis-PKG/","Packaging Corp Of America")</f>
        <v>0</v>
      </c>
      <c r="C2213" t="s">
        <v>3186</v>
      </c>
      <c r="D2213">
        <v>155.42</v>
      </c>
      <c r="E2213">
        <v>0.03217089177712006</v>
      </c>
      <c r="F2213">
        <v>0</v>
      </c>
      <c r="G2213">
        <v>0.09611616948779322</v>
      </c>
      <c r="H2213">
        <v>4.933482982319788</v>
      </c>
      <c r="I2213">
        <v>13974.601889</v>
      </c>
      <c r="J2213">
        <v>16.24764781888152</v>
      </c>
      <c r="K2213">
        <v>0.5204095972911168</v>
      </c>
      <c r="L2213">
        <v>0.8657726381606601</v>
      </c>
      <c r="M2213">
        <v>157.34</v>
      </c>
      <c r="N2213">
        <v>115.1</v>
      </c>
    </row>
    <row r="2214" spans="1:14">
      <c r="A2214" s="1" t="s">
        <v>2226</v>
      </c>
      <c r="B2214">
        <f>HYPERLINK("https://www.suredividend.com/sure-analysis-research-database/","Revvity Inc.")</f>
        <v>0</v>
      </c>
      <c r="C2214" t="s">
        <v>3180</v>
      </c>
      <c r="D2214">
        <v>115.24</v>
      </c>
      <c r="E2214">
        <v>0.002427797072222</v>
      </c>
      <c r="F2214" t="s">
        <v>3182</v>
      </c>
      <c r="G2214" t="s">
        <v>3182</v>
      </c>
      <c r="H2214">
        <v>0.27977933460295</v>
      </c>
      <c r="I2214">
        <v>14455.82107</v>
      </c>
      <c r="J2214">
        <v>15.03165365884296</v>
      </c>
      <c r="K2214">
        <v>0.0367646957428318</v>
      </c>
      <c r="L2214">
        <v>1.127493834463031</v>
      </c>
      <c r="M2214">
        <v>169.73</v>
      </c>
      <c r="N2214">
        <v>113.28</v>
      </c>
    </row>
    <row r="2215" spans="1:14">
      <c r="A2215" s="1" t="s">
        <v>2227</v>
      </c>
      <c r="B2215">
        <f>HYPERLINK("https://www.suredividend.com/sure-analysis-research-database/","Park-Ohio Holdings Corp.")</f>
        <v>0</v>
      </c>
      <c r="C2215" t="s">
        <v>3183</v>
      </c>
      <c r="D2215">
        <v>27.85</v>
      </c>
      <c r="E2215">
        <v>0.017574643861003</v>
      </c>
      <c r="F2215" t="s">
        <v>3182</v>
      </c>
      <c r="G2215" t="s">
        <v>3182</v>
      </c>
      <c r="H2215">
        <v>0.489453831528937</v>
      </c>
      <c r="I2215">
        <v>363.979921</v>
      </c>
      <c r="J2215" t="s">
        <v>3182</v>
      </c>
      <c r="K2215" t="s">
        <v>3182</v>
      </c>
      <c r="L2215">
        <v>0.7508611008009221</v>
      </c>
      <c r="M2215">
        <v>28</v>
      </c>
      <c r="N2215">
        <v>10.55</v>
      </c>
    </row>
    <row r="2216" spans="1:14">
      <c r="A2216" s="1" t="s">
        <v>2228</v>
      </c>
      <c r="B2216">
        <f>HYPERLINK("https://www.suredividend.com/sure-analysis-research-database/","Photronics, Inc.")</f>
        <v>0</v>
      </c>
      <c r="C2216" t="s">
        <v>3185</v>
      </c>
      <c r="D2216">
        <v>19.13</v>
      </c>
      <c r="E2216">
        <v>0</v>
      </c>
      <c r="F2216" t="s">
        <v>3182</v>
      </c>
      <c r="G2216" t="s">
        <v>3182</v>
      </c>
      <c r="H2216">
        <v>0</v>
      </c>
      <c r="I2216">
        <v>1196.55269</v>
      </c>
      <c r="J2216">
        <v>10.14595189020978</v>
      </c>
      <c r="K2216">
        <v>0</v>
      </c>
      <c r="L2216">
        <v>1.40544739920806</v>
      </c>
      <c r="M2216">
        <v>26.98</v>
      </c>
      <c r="N2216">
        <v>13.86</v>
      </c>
    </row>
    <row r="2217" spans="1:14">
      <c r="A2217" s="1" t="s">
        <v>2229</v>
      </c>
      <c r="B2217">
        <f>HYPERLINK("https://www.suredividend.com/sure-analysis-research-database/","Anaplan Inc")</f>
        <v>0</v>
      </c>
      <c r="C2217" t="s">
        <v>3185</v>
      </c>
      <c r="D2217">
        <v>63.73</v>
      </c>
      <c r="E2217">
        <v>0</v>
      </c>
      <c r="F2217" t="s">
        <v>3182</v>
      </c>
      <c r="G2217" t="s">
        <v>3182</v>
      </c>
      <c r="H2217">
        <v>0</v>
      </c>
      <c r="I2217">
        <v>9593.148866</v>
      </c>
      <c r="J2217" t="s">
        <v>3182</v>
      </c>
      <c r="K2217">
        <v>-0</v>
      </c>
      <c r="L2217">
        <v>0.8784718798649901</v>
      </c>
      <c r="M2217">
        <v>70.25</v>
      </c>
      <c r="N2217">
        <v>39.92</v>
      </c>
    </row>
    <row r="2218" spans="1:14">
      <c r="A2218" s="1" t="s">
        <v>2230</v>
      </c>
      <c r="B2218">
        <f>HYPERLINK("https://www.suredividend.com/sure-analysis-research-database/","Dave &amp; Buster`s Entertainment Inc")</f>
        <v>0</v>
      </c>
      <c r="C2218" t="s">
        <v>3186</v>
      </c>
      <c r="D2218">
        <v>34.97</v>
      </c>
      <c r="E2218">
        <v>0</v>
      </c>
      <c r="F2218" t="s">
        <v>3182</v>
      </c>
      <c r="G2218" t="s">
        <v>3182</v>
      </c>
      <c r="H2218">
        <v>0</v>
      </c>
      <c r="I2218">
        <v>1501.9615</v>
      </c>
      <c r="J2218">
        <v>10.95818346307902</v>
      </c>
      <c r="K2218">
        <v>0</v>
      </c>
      <c r="L2218">
        <v>1.105680128385662</v>
      </c>
      <c r="M2218">
        <v>47.29</v>
      </c>
      <c r="N2218">
        <v>31.65</v>
      </c>
    </row>
    <row r="2219" spans="1:14">
      <c r="A2219" s="1" t="s">
        <v>2231</v>
      </c>
      <c r="B2219">
        <f>HYPERLINK("https://www.suredividend.com/sure-analysis-research-database/","Plumas Bancorp.")</f>
        <v>0</v>
      </c>
      <c r="C2219" t="s">
        <v>3184</v>
      </c>
      <c r="D2219">
        <v>34.27</v>
      </c>
      <c r="E2219">
        <v>0.028562935316257</v>
      </c>
      <c r="F2219" t="s">
        <v>3182</v>
      </c>
      <c r="G2219" t="s">
        <v>3182</v>
      </c>
      <c r="H2219">
        <v>0.9788517932881351</v>
      </c>
      <c r="I2219">
        <v>201.029465</v>
      </c>
      <c r="J2219">
        <v>0</v>
      </c>
      <c r="K2219" t="s">
        <v>3182</v>
      </c>
      <c r="L2219">
        <v>0.467486553441022</v>
      </c>
      <c r="M2219">
        <v>43.43</v>
      </c>
      <c r="N2219">
        <v>29.73</v>
      </c>
    </row>
    <row r="2220" spans="1:14">
      <c r="A2220" s="1" t="s">
        <v>2232</v>
      </c>
      <c r="B2220">
        <f>HYPERLINK("https://www.suredividend.com/sure-analysis-research-database/","Childrens Place Inc")</f>
        <v>0</v>
      </c>
      <c r="C2220" t="s">
        <v>3186</v>
      </c>
      <c r="D2220">
        <v>26.06</v>
      </c>
      <c r="E2220">
        <v>0</v>
      </c>
      <c r="F2220" t="s">
        <v>3182</v>
      </c>
      <c r="G2220" t="s">
        <v>3182</v>
      </c>
      <c r="H2220">
        <v>0</v>
      </c>
      <c r="I2220">
        <v>325.199013</v>
      </c>
      <c r="J2220" t="s">
        <v>3182</v>
      </c>
      <c r="K2220">
        <v>-0</v>
      </c>
      <c r="L2220">
        <v>1.772189676452755</v>
      </c>
      <c r="M2220">
        <v>48.88</v>
      </c>
      <c r="N2220">
        <v>14.27</v>
      </c>
    </row>
    <row r="2221" spans="1:14">
      <c r="A2221" s="1" t="s">
        <v>2233</v>
      </c>
      <c r="B2221">
        <f>HYPERLINK("https://www.suredividend.com/sure-analysis-PLD/","Prologis Inc")</f>
        <v>0</v>
      </c>
      <c r="C2221" t="s">
        <v>3187</v>
      </c>
      <c r="D2221">
        <v>104.72</v>
      </c>
      <c r="E2221">
        <v>0.03323147440794499</v>
      </c>
      <c r="F2221">
        <v>0.10126582278481</v>
      </c>
      <c r="G2221">
        <v>0.1263039392161627</v>
      </c>
      <c r="H2221">
        <v>3.364921310694242</v>
      </c>
      <c r="I2221">
        <v>96758.24312</v>
      </c>
      <c r="J2221">
        <v>32.14932333350279</v>
      </c>
      <c r="K2221">
        <v>1.064848516042482</v>
      </c>
      <c r="L2221">
        <v>1.218571483104617</v>
      </c>
      <c r="M2221">
        <v>133.77</v>
      </c>
      <c r="N2221">
        <v>96.64</v>
      </c>
    </row>
    <row r="2222" spans="1:14">
      <c r="A2222" s="1" t="s">
        <v>2234</v>
      </c>
      <c r="B2222">
        <f>HYPERLINK("https://www.suredividend.com/sure-analysis-research-database/","Planet Fitness Inc")</f>
        <v>0</v>
      </c>
      <c r="C2222" t="s">
        <v>3186</v>
      </c>
      <c r="D2222">
        <v>55.37</v>
      </c>
      <c r="E2222">
        <v>0</v>
      </c>
      <c r="F2222" t="s">
        <v>3182</v>
      </c>
      <c r="G2222" t="s">
        <v>3182</v>
      </c>
      <c r="H2222">
        <v>0</v>
      </c>
      <c r="I2222">
        <v>4682.141075</v>
      </c>
      <c r="J2222">
        <v>37.62690117819602</v>
      </c>
      <c r="K2222">
        <v>0</v>
      </c>
      <c r="L2222">
        <v>1.02158721969351</v>
      </c>
      <c r="M2222">
        <v>85.91</v>
      </c>
      <c r="N2222">
        <v>44.13</v>
      </c>
    </row>
    <row r="2223" spans="1:14">
      <c r="A2223" s="1" t="s">
        <v>2235</v>
      </c>
      <c r="B2223">
        <f>HYPERLINK("https://www.suredividend.com/sure-analysis-research-database/","Douglas Dynamics Inc")</f>
        <v>0</v>
      </c>
      <c r="C2223" t="s">
        <v>3186</v>
      </c>
      <c r="D2223">
        <v>26.31</v>
      </c>
      <c r="E2223">
        <v>0.044026116950941</v>
      </c>
      <c r="F2223">
        <v>0.01724137931034475</v>
      </c>
      <c r="G2223">
        <v>0.02168079166422654</v>
      </c>
      <c r="H2223">
        <v>1.158327136979271</v>
      </c>
      <c r="I2223">
        <v>604.708119</v>
      </c>
      <c r="J2223">
        <v>22.10756111395459</v>
      </c>
      <c r="K2223">
        <v>0.9733841487220765</v>
      </c>
      <c r="L2223">
        <v>0.8767485916105821</v>
      </c>
      <c r="M2223">
        <v>40.23</v>
      </c>
      <c r="N2223">
        <v>23.15</v>
      </c>
    </row>
    <row r="2224" spans="1:14">
      <c r="A2224" s="1" t="s">
        <v>2236</v>
      </c>
      <c r="B2224">
        <f>HYPERLINK("https://www.suredividend.com/sure-analysis-research-database/","Preformed Line Products Co.")</f>
        <v>0</v>
      </c>
      <c r="C2224" t="s">
        <v>3183</v>
      </c>
      <c r="D2224">
        <v>110.28</v>
      </c>
      <c r="E2224">
        <v>0.007228813340951001</v>
      </c>
      <c r="F2224">
        <v>0</v>
      </c>
      <c r="G2224">
        <v>0</v>
      </c>
      <c r="H2224">
        <v>0.7971935352400761</v>
      </c>
      <c r="I2224">
        <v>542.08145</v>
      </c>
      <c r="J2224">
        <v>7.71448526043149</v>
      </c>
      <c r="K2224">
        <v>0.05706467682462964</v>
      </c>
      <c r="L2224">
        <v>0.8037139504594201</v>
      </c>
      <c r="M2224">
        <v>184.37</v>
      </c>
      <c r="N2224">
        <v>78.01000000000001</v>
      </c>
    </row>
    <row r="2225" spans="1:14">
      <c r="A2225" s="1" t="s">
        <v>2237</v>
      </c>
      <c r="B2225">
        <f>HYPERLINK("https://www.suredividend.com/sure-analysis-research-database/","Pulse Biosciences Inc")</f>
        <v>0</v>
      </c>
      <c r="C2225" t="s">
        <v>3180</v>
      </c>
      <c r="D2225">
        <v>4.49</v>
      </c>
      <c r="E2225">
        <v>0</v>
      </c>
      <c r="F2225" t="s">
        <v>3182</v>
      </c>
      <c r="G2225" t="s">
        <v>3182</v>
      </c>
      <c r="H2225">
        <v>0</v>
      </c>
      <c r="I2225">
        <v>246.51421</v>
      </c>
      <c r="J2225" t="s">
        <v>3182</v>
      </c>
      <c r="K2225">
        <v>-0</v>
      </c>
      <c r="L2225">
        <v>1.14645057826252</v>
      </c>
      <c r="M2225">
        <v>9.69</v>
      </c>
      <c r="N2225">
        <v>1.65</v>
      </c>
    </row>
    <row r="2226" spans="1:14">
      <c r="A2226" s="1" t="s">
        <v>2238</v>
      </c>
      <c r="B2226">
        <f>HYPERLINK("https://www.suredividend.com/sure-analysis-research-database/","Plug Power Inc")</f>
        <v>0</v>
      </c>
      <c r="C2226" t="s">
        <v>3183</v>
      </c>
      <c r="D2226">
        <v>6.27</v>
      </c>
      <c r="E2226">
        <v>0</v>
      </c>
      <c r="F2226" t="s">
        <v>3182</v>
      </c>
      <c r="G2226" t="s">
        <v>3182</v>
      </c>
      <c r="H2226">
        <v>0</v>
      </c>
      <c r="I2226">
        <v>3774.366177</v>
      </c>
      <c r="J2226" t="s">
        <v>3182</v>
      </c>
      <c r="K2226">
        <v>-0</v>
      </c>
      <c r="L2226">
        <v>2.641257878322368</v>
      </c>
      <c r="M2226">
        <v>18.88</v>
      </c>
      <c r="N2226">
        <v>5.58</v>
      </c>
    </row>
    <row r="2227" spans="1:14">
      <c r="A2227" s="1" t="s">
        <v>2239</v>
      </c>
      <c r="B2227">
        <f>HYPERLINK("https://www.suredividend.com/sure-analysis-research-database/","ePlus Inc")</f>
        <v>0</v>
      </c>
      <c r="C2227" t="s">
        <v>3185</v>
      </c>
      <c r="D2227">
        <v>63.71</v>
      </c>
      <c r="E2227">
        <v>0</v>
      </c>
      <c r="F2227" t="s">
        <v>3182</v>
      </c>
      <c r="G2227" t="s">
        <v>3182</v>
      </c>
      <c r="H2227">
        <v>0</v>
      </c>
      <c r="I2227">
        <v>1716.2138</v>
      </c>
      <c r="J2227">
        <v>13.11448373983678</v>
      </c>
      <c r="K2227">
        <v>0</v>
      </c>
      <c r="L2227">
        <v>1.036709500635596</v>
      </c>
      <c r="M2227">
        <v>75.90000000000001</v>
      </c>
      <c r="N2227">
        <v>41.71</v>
      </c>
    </row>
    <row r="2228" spans="1:14">
      <c r="A2228" s="1" t="s">
        <v>2240</v>
      </c>
      <c r="B2228">
        <f>HYPERLINK("https://www.suredividend.com/sure-analysis-research-database/","PLx Pharma Inc.")</f>
        <v>0</v>
      </c>
      <c r="C2228" t="s">
        <v>3180</v>
      </c>
      <c r="D2228">
        <v>0.08700000000000001</v>
      </c>
      <c r="E2228">
        <v>0</v>
      </c>
      <c r="F2228" t="s">
        <v>3182</v>
      </c>
      <c r="G2228" t="s">
        <v>3182</v>
      </c>
      <c r="H2228">
        <v>0</v>
      </c>
      <c r="I2228">
        <v>0</v>
      </c>
      <c r="J2228">
        <v>0</v>
      </c>
      <c r="K2228" t="s">
        <v>3182</v>
      </c>
    </row>
    <row r="2229" spans="1:14">
      <c r="A2229" s="1" t="s">
        <v>2241</v>
      </c>
      <c r="B2229">
        <f>HYPERLINK("https://www.suredividend.com/sure-analysis-research-database/","Plexus Corp.")</f>
        <v>0</v>
      </c>
      <c r="C2229" t="s">
        <v>3185</v>
      </c>
      <c r="D2229">
        <v>97.5</v>
      </c>
      <c r="E2229">
        <v>0</v>
      </c>
      <c r="F2229" t="s">
        <v>3182</v>
      </c>
      <c r="G2229" t="s">
        <v>3182</v>
      </c>
      <c r="H2229">
        <v>0</v>
      </c>
      <c r="I2229">
        <v>2679.411638</v>
      </c>
      <c r="J2229">
        <v>17.94769668095653</v>
      </c>
      <c r="K2229">
        <v>0</v>
      </c>
      <c r="L2229">
        <v>0.7479165084115931</v>
      </c>
      <c r="M2229">
        <v>115.36</v>
      </c>
      <c r="N2229">
        <v>83.84</v>
      </c>
    </row>
    <row r="2230" spans="1:14">
      <c r="A2230" s="1" t="s">
        <v>2242</v>
      </c>
      <c r="B2230">
        <f>HYPERLINK("https://www.suredividend.com/sure-analysis-research-database/","Playa Hotels &amp; Resorts N.V.")</f>
        <v>0</v>
      </c>
      <c r="C2230" t="s">
        <v>3186</v>
      </c>
      <c r="D2230">
        <v>7.18</v>
      </c>
      <c r="E2230">
        <v>0</v>
      </c>
      <c r="F2230" t="s">
        <v>3182</v>
      </c>
      <c r="G2230" t="s">
        <v>3182</v>
      </c>
      <c r="H2230">
        <v>0</v>
      </c>
      <c r="I2230">
        <v>1060.604226</v>
      </c>
      <c r="J2230">
        <v>22.6692648629932</v>
      </c>
      <c r="K2230">
        <v>0</v>
      </c>
      <c r="L2230">
        <v>0.884087137217158</v>
      </c>
      <c r="M2230">
        <v>9.77</v>
      </c>
      <c r="N2230">
        <v>5.62</v>
      </c>
    </row>
    <row r="2231" spans="1:14">
      <c r="A2231" s="1" t="s">
        <v>2243</v>
      </c>
      <c r="B2231">
        <f>HYPERLINK("https://www.suredividend.com/sure-analysis-PLYM/","Plymouth Industrial Reit Inc")</f>
        <v>0</v>
      </c>
      <c r="C2231" t="s">
        <v>3187</v>
      </c>
      <c r="D2231">
        <v>20.83</v>
      </c>
      <c r="E2231">
        <v>0.04320691310609698</v>
      </c>
      <c r="F2231">
        <v>0.02272727272727271</v>
      </c>
      <c r="G2231">
        <v>-0.09711954855256577</v>
      </c>
      <c r="H2231">
        <v>0.881081325177352</v>
      </c>
      <c r="I2231">
        <v>921.825068</v>
      </c>
      <c r="J2231">
        <v>0</v>
      </c>
      <c r="K2231" t="s">
        <v>3182</v>
      </c>
      <c r="L2231">
        <v>1.036714816967115</v>
      </c>
      <c r="M2231">
        <v>23.53</v>
      </c>
      <c r="N2231">
        <v>17.84</v>
      </c>
    </row>
    <row r="2232" spans="1:14">
      <c r="A2232" s="1" t="s">
        <v>2244</v>
      </c>
      <c r="B2232">
        <f>HYPERLINK("https://www.suredividend.com/sure-analysis-PM/","Philip Morris International Inc")</f>
        <v>0</v>
      </c>
      <c r="C2232" t="s">
        <v>3188</v>
      </c>
      <c r="D2232">
        <v>90.94</v>
      </c>
      <c r="E2232">
        <v>0.05718055861007258</v>
      </c>
      <c r="F2232">
        <v>0.02362204724409445</v>
      </c>
      <c r="G2232">
        <v>0.02661522383956338</v>
      </c>
      <c r="H2232">
        <v>5.007735592674334</v>
      </c>
      <c r="I2232">
        <v>141175.800822</v>
      </c>
      <c r="J2232">
        <v>17.66463974243493</v>
      </c>
      <c r="K2232">
        <v>0.9723758432377346</v>
      </c>
      <c r="L2232">
        <v>0.528594682599633</v>
      </c>
      <c r="M2232">
        <v>101.42</v>
      </c>
      <c r="N2232">
        <v>84.45</v>
      </c>
    </row>
    <row r="2233" spans="1:14">
      <c r="A2233" s="1" t="s">
        <v>2245</v>
      </c>
      <c r="B2233">
        <f>HYPERLINK("https://www.suredividend.com/sure-analysis-research-database/","Pacific Mercantile Bancorp")</f>
        <v>0</v>
      </c>
      <c r="C2233" t="s">
        <v>3184</v>
      </c>
      <c r="D2233">
        <v>9.4</v>
      </c>
      <c r="E2233">
        <v>0</v>
      </c>
      <c r="F2233" t="s">
        <v>3182</v>
      </c>
      <c r="G2233" t="s">
        <v>3182</v>
      </c>
      <c r="H2233">
        <v>0</v>
      </c>
      <c r="I2233">
        <v>0</v>
      </c>
      <c r="J2233">
        <v>0</v>
      </c>
      <c r="K2233" t="s">
        <v>3182</v>
      </c>
    </row>
    <row r="2234" spans="1:14">
      <c r="A2234" s="1" t="s">
        <v>2246</v>
      </c>
      <c r="B2234">
        <f>HYPERLINK("https://www.suredividend.com/sure-analysis-research-database/","Psychemedics Corp.")</f>
        <v>0</v>
      </c>
      <c r="C2234" t="s">
        <v>3180</v>
      </c>
      <c r="D2234">
        <v>2.45</v>
      </c>
      <c r="E2234">
        <v>0.08376787111804</v>
      </c>
      <c r="F2234" t="s">
        <v>3182</v>
      </c>
      <c r="G2234" t="s">
        <v>3182</v>
      </c>
      <c r="H2234">
        <v>0.2052312842392</v>
      </c>
      <c r="I2234">
        <v>14.069764</v>
      </c>
      <c r="J2234">
        <v>0</v>
      </c>
      <c r="K2234" t="s">
        <v>3182</v>
      </c>
      <c r="L2234">
        <v>0.170479502086192</v>
      </c>
      <c r="M2234">
        <v>6.48</v>
      </c>
      <c r="N2234">
        <v>2.34</v>
      </c>
    </row>
    <row r="2235" spans="1:14">
      <c r="A2235" s="1" t="s">
        <v>2247</v>
      </c>
      <c r="B2235">
        <f>HYPERLINK("https://www.suredividend.com/sure-analysis-PMT/","Pennymac Mortgage Investment Trust")</f>
        <v>0</v>
      </c>
      <c r="C2235" t="s">
        <v>3187</v>
      </c>
      <c r="D2235">
        <v>13.41</v>
      </c>
      <c r="E2235">
        <v>0.1193139448173005</v>
      </c>
      <c r="F2235">
        <v>-0.148936170212766</v>
      </c>
      <c r="G2235">
        <v>-0.03173902863120104</v>
      </c>
      <c r="H2235">
        <v>1.526808052269823</v>
      </c>
      <c r="I2235">
        <v>1163.457071</v>
      </c>
      <c r="J2235">
        <v>19.50832628447828</v>
      </c>
      <c r="K2235">
        <v>2.28666774340246</v>
      </c>
      <c r="L2235">
        <v>1.114998556928346</v>
      </c>
      <c r="M2235">
        <v>14.16</v>
      </c>
      <c r="N2235">
        <v>10</v>
      </c>
    </row>
    <row r="2236" spans="1:14">
      <c r="A2236" s="1" t="s">
        <v>2248</v>
      </c>
      <c r="B2236">
        <f>HYPERLINK("https://www.suredividend.com/sure-analysis-research-database/","CPI Card Group Inc")</f>
        <v>0</v>
      </c>
      <c r="C2236" t="s">
        <v>3183</v>
      </c>
      <c r="D2236">
        <v>16.7</v>
      </c>
      <c r="E2236">
        <v>0</v>
      </c>
      <c r="F2236" t="s">
        <v>3182</v>
      </c>
      <c r="G2236" t="s">
        <v>3182</v>
      </c>
      <c r="H2236">
        <v>0</v>
      </c>
      <c r="I2236">
        <v>190.89598</v>
      </c>
      <c r="J2236">
        <v>0</v>
      </c>
      <c r="K2236" t="s">
        <v>3182</v>
      </c>
      <c r="M2236">
        <v>45.95</v>
      </c>
      <c r="N2236">
        <v>14.92</v>
      </c>
    </row>
    <row r="2237" spans="1:14">
      <c r="A2237" s="1" t="s">
        <v>2249</v>
      </c>
      <c r="B2237">
        <f>HYPERLINK("https://www.suredividend.com/sure-analysis-research-database/","Patriot National Bancorp Inc")</f>
        <v>0</v>
      </c>
      <c r="C2237" t="s">
        <v>3184</v>
      </c>
      <c r="D2237">
        <v>6.47</v>
      </c>
      <c r="E2237">
        <v>0</v>
      </c>
      <c r="F2237" t="s">
        <v>3182</v>
      </c>
      <c r="G2237" t="s">
        <v>3182</v>
      </c>
      <c r="H2237">
        <v>0</v>
      </c>
      <c r="I2237">
        <v>25.654753</v>
      </c>
      <c r="J2237">
        <v>0</v>
      </c>
      <c r="K2237" t="s">
        <v>3182</v>
      </c>
      <c r="M2237">
        <v>12</v>
      </c>
      <c r="N2237">
        <v>6.14</v>
      </c>
    </row>
    <row r="2238" spans="1:14">
      <c r="A2238" s="1" t="s">
        <v>2250</v>
      </c>
      <c r="B2238">
        <f>HYPERLINK("https://www.suredividend.com/sure-analysis-PNC/","PNC Financial Services Group Inc")</f>
        <v>0</v>
      </c>
      <c r="C2238" t="s">
        <v>3184</v>
      </c>
      <c r="D2238">
        <v>119.85</v>
      </c>
      <c r="E2238">
        <v>0.05173133083020443</v>
      </c>
      <c r="F2238">
        <v>0.03333333333333344</v>
      </c>
      <c r="G2238">
        <v>0.10286313147853</v>
      </c>
      <c r="H2238">
        <v>5.986940650560268</v>
      </c>
      <c r="I2238">
        <v>47730.813091</v>
      </c>
      <c r="J2238">
        <v>8.09408395640156</v>
      </c>
      <c r="K2238">
        <v>0.4103454866730821</v>
      </c>
      <c r="L2238">
        <v>1.175302636204443</v>
      </c>
      <c r="M2238">
        <v>162.53</v>
      </c>
      <c r="N2238">
        <v>107.56</v>
      </c>
    </row>
    <row r="2239" spans="1:14">
      <c r="A2239" s="1" t="s">
        <v>2251</v>
      </c>
      <c r="B2239">
        <f>HYPERLINK("https://www.suredividend.com/sure-analysis-research-database/","Pinnacle Financial Partners Inc.")</f>
        <v>0</v>
      </c>
      <c r="C2239" t="s">
        <v>3184</v>
      </c>
      <c r="D2239">
        <v>66.33</v>
      </c>
      <c r="E2239">
        <v>0.013128125951484</v>
      </c>
      <c r="F2239" t="s">
        <v>3182</v>
      </c>
      <c r="G2239" t="s">
        <v>3182</v>
      </c>
      <c r="H2239">
        <v>0.8707885943619621</v>
      </c>
      <c r="I2239">
        <v>5091.40152</v>
      </c>
      <c r="J2239">
        <v>8.403275087467382</v>
      </c>
      <c r="K2239">
        <v>0.1095331565235172</v>
      </c>
      <c r="L2239">
        <v>1.63039920345597</v>
      </c>
      <c r="M2239">
        <v>85.7</v>
      </c>
      <c r="N2239">
        <v>42.75</v>
      </c>
    </row>
    <row r="2240" spans="1:14">
      <c r="A2240" s="1" t="s">
        <v>2252</v>
      </c>
      <c r="B2240">
        <f>HYPERLINK("https://www.suredividend.com/sure-analysis-PNM/","PNM Resources Inc")</f>
        <v>0</v>
      </c>
      <c r="C2240" t="s">
        <v>3190</v>
      </c>
      <c r="D2240">
        <v>42.33</v>
      </c>
      <c r="E2240">
        <v>0.03472714386959603</v>
      </c>
      <c r="F2240">
        <v>0.05755395683453224</v>
      </c>
      <c r="G2240">
        <v>0.04850829133448964</v>
      </c>
      <c r="H2240">
        <v>1.452088005021966</v>
      </c>
      <c r="I2240">
        <v>3633.390216</v>
      </c>
      <c r="J2240">
        <v>23.62581339640676</v>
      </c>
      <c r="K2240">
        <v>0.8112223491742827</v>
      </c>
      <c r="L2240">
        <v>0.101454776460275</v>
      </c>
      <c r="M2240">
        <v>48.29</v>
      </c>
      <c r="N2240">
        <v>42.09</v>
      </c>
    </row>
    <row r="2241" spans="1:14">
      <c r="A2241" s="1" t="s">
        <v>2253</v>
      </c>
      <c r="B2241">
        <f>HYPERLINK("https://www.suredividend.com/sure-analysis-PNR/","Pentair plc")</f>
        <v>0</v>
      </c>
      <c r="C2241" t="s">
        <v>3183</v>
      </c>
      <c r="D2241">
        <v>60.24</v>
      </c>
      <c r="E2241">
        <v>0.01460823373173971</v>
      </c>
      <c r="F2241">
        <v>0.04761904761904767</v>
      </c>
      <c r="G2241">
        <v>0.04095039696925684</v>
      </c>
      <c r="H2241">
        <v>0.8753129813934891</v>
      </c>
      <c r="I2241">
        <v>9957.60929</v>
      </c>
      <c r="J2241">
        <v>19.53621599011183</v>
      </c>
      <c r="K2241">
        <v>0.2851182349815926</v>
      </c>
      <c r="L2241">
        <v>1.424767308323311</v>
      </c>
      <c r="M2241">
        <v>71.56999999999999</v>
      </c>
      <c r="N2241">
        <v>39.6</v>
      </c>
    </row>
    <row r="2242" spans="1:14">
      <c r="A2242" s="1" t="s">
        <v>2254</v>
      </c>
      <c r="B2242">
        <f>HYPERLINK("https://www.suredividend.com/sure-analysis-research-database/","PrimeEnergy Resources Corp")</f>
        <v>0</v>
      </c>
      <c r="C2242" t="s">
        <v>3189</v>
      </c>
      <c r="D2242">
        <v>107.5</v>
      </c>
      <c r="E2242">
        <v>0</v>
      </c>
      <c r="F2242" t="s">
        <v>3182</v>
      </c>
      <c r="G2242" t="s">
        <v>3182</v>
      </c>
      <c r="H2242">
        <v>0</v>
      </c>
      <c r="I2242">
        <v>197.29475</v>
      </c>
      <c r="J2242">
        <v>0</v>
      </c>
      <c r="K2242" t="s">
        <v>3182</v>
      </c>
      <c r="M2242">
        <v>120</v>
      </c>
      <c r="N2242">
        <v>74.5</v>
      </c>
    </row>
    <row r="2243" spans="1:14">
      <c r="A2243" s="1" t="s">
        <v>2255</v>
      </c>
      <c r="B2243">
        <f>HYPERLINK("https://www.suredividend.com/sure-analysis-PNW/","Pinnacle West Capital Corp.")</f>
        <v>0</v>
      </c>
      <c r="C2243" t="s">
        <v>3190</v>
      </c>
      <c r="D2243">
        <v>75.17</v>
      </c>
      <c r="E2243">
        <v>0.04682719169881602</v>
      </c>
      <c r="F2243">
        <v>0.01734104046242768</v>
      </c>
      <c r="G2243">
        <v>0.03596272540545487</v>
      </c>
      <c r="H2243">
        <v>3.417449925602562</v>
      </c>
      <c r="I2243">
        <v>8517.6783</v>
      </c>
      <c r="J2243">
        <v>20.99501675994577</v>
      </c>
      <c r="K2243">
        <v>0.9572688867234067</v>
      </c>
      <c r="L2243">
        <v>0.5337766893579731</v>
      </c>
      <c r="M2243">
        <v>84.13</v>
      </c>
      <c r="N2243">
        <v>64.28</v>
      </c>
    </row>
    <row r="2244" spans="1:14">
      <c r="A2244" s="1" t="s">
        <v>2256</v>
      </c>
      <c r="B2244">
        <f>HYPERLINK("https://www.suredividend.com/sure-analysis-research-database/","Predictive Oncology Inc")</f>
        <v>0</v>
      </c>
      <c r="C2244" t="s">
        <v>3180</v>
      </c>
      <c r="D2244">
        <v>3.4</v>
      </c>
      <c r="E2244">
        <v>0</v>
      </c>
      <c r="F2244" t="s">
        <v>3182</v>
      </c>
      <c r="G2244" t="s">
        <v>3182</v>
      </c>
      <c r="H2244">
        <v>0</v>
      </c>
      <c r="I2244">
        <v>13.696434</v>
      </c>
      <c r="J2244">
        <v>0</v>
      </c>
      <c r="K2244" t="s">
        <v>3182</v>
      </c>
      <c r="L2244">
        <v>1.965732351457673</v>
      </c>
      <c r="M2244">
        <v>13.88</v>
      </c>
      <c r="N2244">
        <v>2.47</v>
      </c>
    </row>
    <row r="2245" spans="1:14">
      <c r="A2245" s="1" t="s">
        <v>2257</v>
      </c>
      <c r="B2245">
        <f>HYPERLINK("https://www.suredividend.com/sure-analysis-research-database/","Insulet Corporation")</f>
        <v>0</v>
      </c>
      <c r="C2245" t="s">
        <v>3180</v>
      </c>
      <c r="D2245">
        <v>140.44</v>
      </c>
      <c r="E2245">
        <v>0</v>
      </c>
      <c r="F2245" t="s">
        <v>3182</v>
      </c>
      <c r="G2245" t="s">
        <v>3182</v>
      </c>
      <c r="H2245">
        <v>0</v>
      </c>
      <c r="I2245">
        <v>9805.677812</v>
      </c>
      <c r="J2245">
        <v>155.8931289653418</v>
      </c>
      <c r="K2245">
        <v>0</v>
      </c>
      <c r="L2245">
        <v>0.646954009325711</v>
      </c>
      <c r="M2245">
        <v>335.91</v>
      </c>
      <c r="N2245">
        <v>125.82</v>
      </c>
    </row>
    <row r="2246" spans="1:14">
      <c r="A2246" s="1" t="s">
        <v>2258</v>
      </c>
      <c r="B2246">
        <f>HYPERLINK("https://www.suredividend.com/sure-analysis-research-database/","Polished.com Inc")</f>
        <v>0</v>
      </c>
      <c r="C2246" t="s">
        <v>3181</v>
      </c>
      <c r="D2246">
        <v>1.84</v>
      </c>
      <c r="E2246">
        <v>0</v>
      </c>
      <c r="F2246" t="s">
        <v>3182</v>
      </c>
      <c r="G2246" t="s">
        <v>3182</v>
      </c>
      <c r="H2246">
        <v>0</v>
      </c>
      <c r="I2246">
        <v>194.064576</v>
      </c>
      <c r="J2246" t="s">
        <v>3182</v>
      </c>
      <c r="K2246">
        <v>-0</v>
      </c>
      <c r="L2246">
        <v>1.673632669419798</v>
      </c>
      <c r="M2246">
        <v>42.91</v>
      </c>
      <c r="N2246">
        <v>1.6</v>
      </c>
    </row>
    <row r="2247" spans="1:14">
      <c r="A2247" s="1" t="s">
        <v>2259</v>
      </c>
      <c r="B2247">
        <f>HYPERLINK("https://www.suredividend.com/sure-analysis-POOL/","Pool Corporation")</f>
        <v>0</v>
      </c>
      <c r="C2247" t="s">
        <v>3186</v>
      </c>
      <c r="D2247">
        <v>326.23</v>
      </c>
      <c r="E2247">
        <v>0.01348741685314042</v>
      </c>
      <c r="F2247">
        <v>0.1000000000000001</v>
      </c>
      <c r="G2247">
        <v>0.1957380086320961</v>
      </c>
      <c r="H2247">
        <v>4.175497932237414</v>
      </c>
      <c r="I2247">
        <v>12618.305303</v>
      </c>
      <c r="J2247">
        <v>23.3343478965199</v>
      </c>
      <c r="K2247">
        <v>0.3021344379332427</v>
      </c>
      <c r="L2247">
        <v>1.579554905269349</v>
      </c>
      <c r="M2247">
        <v>418.83</v>
      </c>
      <c r="N2247">
        <v>279.46</v>
      </c>
    </row>
    <row r="2248" spans="1:14">
      <c r="A2248" s="1" t="s">
        <v>2260</v>
      </c>
      <c r="B2248">
        <f>HYPERLINK("https://www.suredividend.com/sure-analysis-POR/","Portland General Electric Co")</f>
        <v>0</v>
      </c>
      <c r="C2248" t="s">
        <v>3190</v>
      </c>
      <c r="D2248">
        <v>41.73</v>
      </c>
      <c r="E2248">
        <v>0.0455307931943446</v>
      </c>
      <c r="F2248">
        <v>0.04972375690607733</v>
      </c>
      <c r="G2248">
        <v>0.05554589164848389</v>
      </c>
      <c r="H2248">
        <v>1.826374858999924</v>
      </c>
      <c r="I2248">
        <v>4219.900472</v>
      </c>
      <c r="J2248">
        <v>19.99952830421801</v>
      </c>
      <c r="K2248">
        <v>0.8264139633483819</v>
      </c>
      <c r="L2248">
        <v>0.662807956828748</v>
      </c>
      <c r="M2248">
        <v>50.5</v>
      </c>
      <c r="N2248">
        <v>38.01</v>
      </c>
    </row>
    <row r="2249" spans="1:14">
      <c r="A2249" s="1" t="s">
        <v>2261</v>
      </c>
      <c r="B2249">
        <f>HYPERLINK("https://www.suredividend.com/sure-analysis-research-database/","Post Holdings Inc")</f>
        <v>0</v>
      </c>
      <c r="C2249" t="s">
        <v>3188</v>
      </c>
      <c r="D2249">
        <v>82.54000000000001</v>
      </c>
      <c r="E2249">
        <v>0</v>
      </c>
      <c r="F2249" t="s">
        <v>3182</v>
      </c>
      <c r="G2249" t="s">
        <v>3182</v>
      </c>
      <c r="H2249">
        <v>0</v>
      </c>
      <c r="I2249">
        <v>5052.981015</v>
      </c>
      <c r="J2249">
        <v>16.17989438174832</v>
      </c>
      <c r="K2249">
        <v>0</v>
      </c>
      <c r="L2249">
        <v>0.326563024907766</v>
      </c>
      <c r="M2249">
        <v>98.84</v>
      </c>
      <c r="N2249">
        <v>78.84999999999999</v>
      </c>
    </row>
    <row r="2250" spans="1:14">
      <c r="A2250" s="1" t="s">
        <v>2262</v>
      </c>
      <c r="B2250">
        <f>HYPERLINK("https://www.suredividend.com/sure-analysis-research-database/","Power Integrations Inc.")</f>
        <v>0</v>
      </c>
      <c r="C2250" t="s">
        <v>3185</v>
      </c>
      <c r="D2250">
        <v>71.55</v>
      </c>
      <c r="E2250">
        <v>0.010419190363565</v>
      </c>
      <c r="F2250">
        <v>0.05555555555555558</v>
      </c>
      <c r="G2250">
        <v>0.03496752704080697</v>
      </c>
      <c r="H2250">
        <v>0.7454930705131221</v>
      </c>
      <c r="I2250">
        <v>4106.537552</v>
      </c>
      <c r="J2250">
        <v>45.40269496832399</v>
      </c>
      <c r="K2250">
        <v>0.4748363506453007</v>
      </c>
      <c r="L2250">
        <v>1.551220443992505</v>
      </c>
      <c r="M2250">
        <v>99.15000000000001</v>
      </c>
      <c r="N2250">
        <v>62.8</v>
      </c>
    </row>
    <row r="2251" spans="1:14">
      <c r="A2251" s="1" t="s">
        <v>2263</v>
      </c>
      <c r="B2251">
        <f>HYPERLINK("https://www.suredividend.com/sure-analysis-research-database/","Powell Industries, Inc.")</f>
        <v>0</v>
      </c>
      <c r="C2251" t="s">
        <v>3183</v>
      </c>
      <c r="D2251">
        <v>78.23999999999999</v>
      </c>
      <c r="E2251">
        <v>0.013242647757102</v>
      </c>
      <c r="F2251">
        <v>0.009615384615384581</v>
      </c>
      <c r="G2251">
        <v>0.001915722860066582</v>
      </c>
      <c r="H2251">
        <v>1.036104760515666</v>
      </c>
      <c r="I2251">
        <v>927.9720139999999</v>
      </c>
      <c r="J2251">
        <v>25.19745883349625</v>
      </c>
      <c r="K2251">
        <v>0.3419487658467544</v>
      </c>
      <c r="L2251">
        <v>0.6985634343868391</v>
      </c>
      <c r="M2251">
        <v>91.29000000000001</v>
      </c>
      <c r="N2251">
        <v>24.04</v>
      </c>
    </row>
    <row r="2252" spans="1:14">
      <c r="A2252" s="1" t="s">
        <v>2264</v>
      </c>
      <c r="B2252">
        <f>HYPERLINK("https://www.suredividend.com/sure-analysis-research-database/","Pacific Premier Bancorp, Inc.")</f>
        <v>0</v>
      </c>
      <c r="C2252" t="s">
        <v>3184</v>
      </c>
      <c r="D2252">
        <v>20.49</v>
      </c>
      <c r="E2252">
        <v>0.061469570568268</v>
      </c>
      <c r="F2252">
        <v>0</v>
      </c>
      <c r="G2252">
        <v>0.08447177119769855</v>
      </c>
      <c r="H2252">
        <v>1.259511500943817</v>
      </c>
      <c r="I2252">
        <v>1964.990426</v>
      </c>
      <c r="J2252">
        <v>8.314815364838102</v>
      </c>
      <c r="K2252">
        <v>0.5017974107345885</v>
      </c>
      <c r="L2252">
        <v>1.431992185388904</v>
      </c>
      <c r="M2252">
        <v>33.73</v>
      </c>
      <c r="N2252">
        <v>16.04</v>
      </c>
    </row>
    <row r="2253" spans="1:14">
      <c r="A2253" s="1" t="s">
        <v>2265</v>
      </c>
      <c r="B2253">
        <f>HYPERLINK("https://www.suredividend.com/sure-analysis-research-database/","Pilgrim`s Pride Corp.")</f>
        <v>0</v>
      </c>
      <c r="C2253" t="s">
        <v>3188</v>
      </c>
      <c r="D2253">
        <v>25.61</v>
      </c>
      <c r="E2253">
        <v>0</v>
      </c>
      <c r="F2253" t="s">
        <v>3182</v>
      </c>
      <c r="G2253" t="s">
        <v>3182</v>
      </c>
      <c r="H2253">
        <v>0</v>
      </c>
      <c r="I2253">
        <v>6064.190082</v>
      </c>
      <c r="J2253">
        <v>189.8322141709187</v>
      </c>
      <c r="K2253">
        <v>0</v>
      </c>
      <c r="L2253">
        <v>0.594191136457875</v>
      </c>
      <c r="M2253">
        <v>26.57</v>
      </c>
      <c r="N2253">
        <v>19.96</v>
      </c>
    </row>
    <row r="2254" spans="1:14">
      <c r="A2254" s="1" t="s">
        <v>2266</v>
      </c>
      <c r="B2254">
        <f>HYPERLINK("https://www.suredividend.com/sure-analysis-PPG/","PPG Industries, Inc.")</f>
        <v>0</v>
      </c>
      <c r="C2254" t="s">
        <v>3181</v>
      </c>
      <c r="D2254">
        <v>124.92</v>
      </c>
      <c r="E2254">
        <v>0.02081332052513609</v>
      </c>
      <c r="F2254">
        <v>0.04838709677419351</v>
      </c>
      <c r="G2254">
        <v>0.06251341943967748</v>
      </c>
      <c r="H2254">
        <v>2.49313941210281</v>
      </c>
      <c r="I2254">
        <v>29456.136</v>
      </c>
      <c r="J2254">
        <v>20.77301551480959</v>
      </c>
      <c r="K2254">
        <v>0.4169129451676939</v>
      </c>
      <c r="L2254">
        <v>1.273470167405891</v>
      </c>
      <c r="M2254">
        <v>152.2</v>
      </c>
      <c r="N2254">
        <v>109.81</v>
      </c>
    </row>
    <row r="2255" spans="1:14">
      <c r="A2255" s="1" t="s">
        <v>2267</v>
      </c>
      <c r="B2255">
        <f>HYPERLINK("https://www.suredividend.com/sure-analysis-research-database/","Perma-Pipe International Holdings Inc")</f>
        <v>0</v>
      </c>
      <c r="C2255" t="s">
        <v>3183</v>
      </c>
      <c r="D2255">
        <v>6.75</v>
      </c>
      <c r="E2255">
        <v>0</v>
      </c>
      <c r="F2255" t="s">
        <v>3182</v>
      </c>
      <c r="G2255" t="s">
        <v>3182</v>
      </c>
      <c r="H2255">
        <v>0</v>
      </c>
      <c r="I2255">
        <v>54.428632</v>
      </c>
      <c r="J2255">
        <v>0</v>
      </c>
      <c r="K2255" t="s">
        <v>3182</v>
      </c>
      <c r="M2255">
        <v>11.49</v>
      </c>
      <c r="N2255">
        <v>6.41</v>
      </c>
    </row>
    <row r="2256" spans="1:14">
      <c r="A2256" s="1" t="s">
        <v>2268</v>
      </c>
      <c r="B2256">
        <f>HYPERLINK("https://www.suredividend.com/sure-analysis-PPL/","PPL Corp")</f>
        <v>0</v>
      </c>
      <c r="C2256" t="s">
        <v>3190</v>
      </c>
      <c r="D2256">
        <v>25.08</v>
      </c>
      <c r="E2256">
        <v>0.03827751196172249</v>
      </c>
      <c r="F2256">
        <v>0.06666666666666665</v>
      </c>
      <c r="G2256">
        <v>-0.1015674519177134</v>
      </c>
      <c r="H2256">
        <v>0.9320100423630211</v>
      </c>
      <c r="I2256">
        <v>18486.180583</v>
      </c>
      <c r="J2256">
        <v>24.32392182</v>
      </c>
      <c r="K2256">
        <v>0.9048641187990496</v>
      </c>
      <c r="L2256">
        <v>0.5784779673055011</v>
      </c>
      <c r="M2256">
        <v>30.87</v>
      </c>
      <c r="N2256">
        <v>22.2</v>
      </c>
    </row>
    <row r="2257" spans="1:14">
      <c r="A2257" s="1" t="s">
        <v>2269</v>
      </c>
      <c r="B2257">
        <f>HYPERLINK("https://www.suredividend.com/sure-analysis-research-database/","Pioneer Power Solutions Inc")</f>
        <v>0</v>
      </c>
      <c r="C2257" t="s">
        <v>3183</v>
      </c>
      <c r="D2257">
        <v>5.84</v>
      </c>
      <c r="E2257">
        <v>0</v>
      </c>
      <c r="F2257" t="s">
        <v>3182</v>
      </c>
      <c r="G2257" t="s">
        <v>3182</v>
      </c>
      <c r="H2257">
        <v>0</v>
      </c>
      <c r="I2257">
        <v>58.675087</v>
      </c>
      <c r="J2257">
        <v>0</v>
      </c>
      <c r="K2257" t="s">
        <v>3182</v>
      </c>
      <c r="L2257">
        <v>1.121634742550532</v>
      </c>
      <c r="M2257">
        <v>9.84</v>
      </c>
      <c r="N2257">
        <v>2.35</v>
      </c>
    </row>
    <row r="2258" spans="1:14">
      <c r="A2258" s="1" t="s">
        <v>2270</v>
      </c>
      <c r="B2258">
        <f>HYPERLINK("https://www.suredividend.com/sure-analysis-research-database/","Proassurance Corporation")</f>
        <v>0</v>
      </c>
      <c r="C2258" t="s">
        <v>3184</v>
      </c>
      <c r="D2258">
        <v>17.62</v>
      </c>
      <c r="E2258">
        <v>0.005667355588803</v>
      </c>
      <c r="F2258" t="s">
        <v>3182</v>
      </c>
      <c r="G2258" t="s">
        <v>3182</v>
      </c>
      <c r="H2258">
        <v>0.09985880547472301</v>
      </c>
      <c r="I2258">
        <v>917.381917</v>
      </c>
      <c r="J2258">
        <v>98.96245058899676</v>
      </c>
      <c r="K2258">
        <v>0.5822670873161691</v>
      </c>
      <c r="L2258">
        <v>0.582476441402983</v>
      </c>
      <c r="M2258">
        <v>22.69</v>
      </c>
      <c r="N2258">
        <v>11.87</v>
      </c>
    </row>
    <row r="2259" spans="1:14">
      <c r="A2259" s="1" t="s">
        <v>2271</v>
      </c>
      <c r="B2259">
        <f>HYPERLINK("https://www.suredividend.com/sure-analysis-research-database/","PRA Group Inc")</f>
        <v>0</v>
      </c>
      <c r="C2259" t="s">
        <v>3184</v>
      </c>
      <c r="D2259">
        <v>13.41</v>
      </c>
      <c r="E2259">
        <v>0</v>
      </c>
      <c r="F2259" t="s">
        <v>3182</v>
      </c>
      <c r="G2259" t="s">
        <v>3182</v>
      </c>
      <c r="H2259">
        <v>0</v>
      </c>
      <c r="I2259">
        <v>526.229923</v>
      </c>
      <c r="J2259" t="s">
        <v>3182</v>
      </c>
      <c r="K2259">
        <v>-0</v>
      </c>
      <c r="L2259">
        <v>0.930974354639969</v>
      </c>
      <c r="M2259">
        <v>43.34</v>
      </c>
      <c r="N2259">
        <v>11.85</v>
      </c>
    </row>
    <row r="2260" spans="1:14">
      <c r="A2260" s="1" t="s">
        <v>2272</v>
      </c>
      <c r="B2260">
        <f>HYPERLINK("https://www.suredividend.com/sure-analysis-research-database/","PRA Health Sciences Inc")</f>
        <v>0</v>
      </c>
      <c r="C2260" t="s">
        <v>3180</v>
      </c>
      <c r="D2260">
        <v>165.21</v>
      </c>
      <c r="E2260">
        <v>0</v>
      </c>
      <c r="F2260" t="s">
        <v>3182</v>
      </c>
      <c r="G2260" t="s">
        <v>3182</v>
      </c>
      <c r="H2260">
        <v>0</v>
      </c>
      <c r="I2260">
        <v>0</v>
      </c>
      <c r="J2260">
        <v>0</v>
      </c>
      <c r="K2260">
        <v>0</v>
      </c>
    </row>
    <row r="2261" spans="1:14">
      <c r="A2261" s="1" t="s">
        <v>2273</v>
      </c>
      <c r="B2261">
        <f>HYPERLINK("https://www.suredividend.com/sure-analysis-research-database/","Perceptron, Inc.")</f>
        <v>0</v>
      </c>
      <c r="C2261" t="s">
        <v>3185</v>
      </c>
      <c r="D2261">
        <v>6.975</v>
      </c>
      <c r="E2261">
        <v>0</v>
      </c>
      <c r="F2261" t="s">
        <v>3182</v>
      </c>
      <c r="G2261" t="s">
        <v>3182</v>
      </c>
      <c r="H2261">
        <v>0</v>
      </c>
      <c r="I2261">
        <v>0</v>
      </c>
      <c r="J2261">
        <v>0</v>
      </c>
      <c r="K2261" t="s">
        <v>3182</v>
      </c>
    </row>
    <row r="2262" spans="1:14">
      <c r="A2262" s="1" t="s">
        <v>2274</v>
      </c>
      <c r="B2262">
        <f>HYPERLINK("https://www.suredividend.com/sure-analysis-research-database/","Perficient Inc.")</f>
        <v>0</v>
      </c>
      <c r="C2262" t="s">
        <v>3185</v>
      </c>
      <c r="D2262">
        <v>60.66</v>
      </c>
      <c r="E2262">
        <v>0</v>
      </c>
      <c r="F2262" t="s">
        <v>3182</v>
      </c>
      <c r="G2262" t="s">
        <v>3182</v>
      </c>
      <c r="H2262">
        <v>0</v>
      </c>
      <c r="I2262">
        <v>2109.246287</v>
      </c>
      <c r="J2262">
        <v>20.63498524922469</v>
      </c>
      <c r="K2262">
        <v>0</v>
      </c>
      <c r="L2262">
        <v>1.36556555085489</v>
      </c>
      <c r="M2262">
        <v>96.93000000000001</v>
      </c>
      <c r="N2262">
        <v>51.23</v>
      </c>
    </row>
    <row r="2263" spans="1:14">
      <c r="A2263" s="1" t="s">
        <v>2275</v>
      </c>
      <c r="B2263">
        <f>HYPERLINK("https://www.suredividend.com/sure-analysis-PRGO/","Perrigo Company plc")</f>
        <v>0</v>
      </c>
      <c r="C2263" t="s">
        <v>3180</v>
      </c>
      <c r="D2263">
        <v>27.84</v>
      </c>
      <c r="E2263">
        <v>0.03915229885057472</v>
      </c>
      <c r="F2263">
        <v>0.05000000000000004</v>
      </c>
      <c r="G2263">
        <v>0.07518156458332026</v>
      </c>
      <c r="H2263">
        <v>1.066471013712798</v>
      </c>
      <c r="I2263">
        <v>3769.445604</v>
      </c>
      <c r="J2263" t="s">
        <v>3182</v>
      </c>
      <c r="K2263" t="s">
        <v>3182</v>
      </c>
      <c r="L2263">
        <v>0.4886231901014561</v>
      </c>
      <c r="M2263">
        <v>39.97</v>
      </c>
      <c r="N2263">
        <v>26.81</v>
      </c>
    </row>
    <row r="2264" spans="1:14">
      <c r="A2264" s="1" t="s">
        <v>2276</v>
      </c>
      <c r="B2264">
        <f>HYPERLINK("https://www.suredividend.com/sure-analysis-research-database/","Progress Software Corp.")</f>
        <v>0</v>
      </c>
      <c r="C2264" t="s">
        <v>3185</v>
      </c>
      <c r="D2264">
        <v>49.67</v>
      </c>
      <c r="E2264">
        <v>0.01398099831979</v>
      </c>
      <c r="F2264">
        <v>0</v>
      </c>
      <c r="G2264">
        <v>0.02456913836308061</v>
      </c>
      <c r="H2264">
        <v>0.69443618654401</v>
      </c>
      <c r="I2264">
        <v>2163.890736</v>
      </c>
      <c r="J2264">
        <v>27.54092829095075</v>
      </c>
      <c r="K2264">
        <v>0.3923368285559378</v>
      </c>
      <c r="L2264">
        <v>0.711717697453354</v>
      </c>
      <c r="M2264">
        <v>61.98</v>
      </c>
      <c r="N2264">
        <v>47.39</v>
      </c>
    </row>
    <row r="2265" spans="1:14">
      <c r="A2265" s="1" t="s">
        <v>2277</v>
      </c>
      <c r="B2265">
        <f>HYPERLINK("https://www.suredividend.com/sure-analysis-research-database/","PRGX Global Inc")</f>
        <v>0</v>
      </c>
      <c r="C2265" t="s">
        <v>3183</v>
      </c>
      <c r="D2265">
        <v>7.71</v>
      </c>
      <c r="E2265">
        <v>0</v>
      </c>
      <c r="F2265" t="s">
        <v>3182</v>
      </c>
      <c r="G2265" t="s">
        <v>3182</v>
      </c>
      <c r="H2265">
        <v>0</v>
      </c>
      <c r="I2265">
        <v>0</v>
      </c>
      <c r="J2265">
        <v>0</v>
      </c>
      <c r="K2265">
        <v>-0</v>
      </c>
    </row>
    <row r="2266" spans="1:14">
      <c r="A2266" s="1" t="s">
        <v>2278</v>
      </c>
      <c r="B2266">
        <f>HYPERLINK("https://www.suredividend.com/sure-analysis-PRI/","Primerica Inc")</f>
        <v>0</v>
      </c>
      <c r="C2266" t="s">
        <v>3184</v>
      </c>
      <c r="D2266">
        <v>200.46</v>
      </c>
      <c r="E2266">
        <v>0.01297016861219196</v>
      </c>
      <c r="F2266">
        <v>0.1818181818181817</v>
      </c>
      <c r="G2266">
        <v>0.2105832751075947</v>
      </c>
      <c r="H2266">
        <v>2.48784757989046</v>
      </c>
      <c r="I2266">
        <v>7169.819744</v>
      </c>
      <c r="J2266">
        <v>15.89013533350177</v>
      </c>
      <c r="K2266">
        <v>0.2035881816604304</v>
      </c>
      <c r="L2266">
        <v>0.824458904820879</v>
      </c>
      <c r="M2266">
        <v>219.3</v>
      </c>
      <c r="N2266">
        <v>133.33</v>
      </c>
    </row>
    <row r="2267" spans="1:14">
      <c r="A2267" s="1" t="s">
        <v>2279</v>
      </c>
      <c r="B2267">
        <f>HYPERLINK("https://www.suredividend.com/sure-analysis-research-database/","Primoris Services Corp")</f>
        <v>0</v>
      </c>
      <c r="C2267" t="s">
        <v>3183</v>
      </c>
      <c r="D2267">
        <v>30.79</v>
      </c>
      <c r="E2267">
        <v>0.003893809336703</v>
      </c>
      <c r="F2267">
        <v>0</v>
      </c>
      <c r="G2267">
        <v>0</v>
      </c>
      <c r="H2267">
        <v>0.119890389477103</v>
      </c>
      <c r="I2267">
        <v>1641.996</v>
      </c>
      <c r="J2267">
        <v>13.14827478255647</v>
      </c>
      <c r="K2267">
        <v>0.0519006015052394</v>
      </c>
      <c r="L2267">
        <v>0.9779962323207471</v>
      </c>
      <c r="M2267">
        <v>36.12</v>
      </c>
      <c r="N2267">
        <v>19.99</v>
      </c>
    </row>
    <row r="2268" spans="1:14">
      <c r="A2268" s="1" t="s">
        <v>2280</v>
      </c>
      <c r="B2268">
        <f>HYPERLINK("https://www.suredividend.com/sure-analysis-research-database/","Park National Corp.")</f>
        <v>0</v>
      </c>
      <c r="C2268" t="s">
        <v>3184</v>
      </c>
      <c r="D2268">
        <v>106.37</v>
      </c>
      <c r="E2268">
        <v>0.038824015623602</v>
      </c>
      <c r="F2268">
        <v>0.009615384615384581</v>
      </c>
      <c r="G2268">
        <v>0.007798215589783331</v>
      </c>
      <c r="H2268">
        <v>4.129710541882588</v>
      </c>
      <c r="I2268">
        <v>1718.239817</v>
      </c>
      <c r="J2268">
        <v>12.23216380304551</v>
      </c>
      <c r="K2268">
        <v>0.4801989002189056</v>
      </c>
      <c r="L2268">
        <v>0.9701820750652431</v>
      </c>
      <c r="M2268">
        <v>147.37</v>
      </c>
      <c r="N2268">
        <v>89.38</v>
      </c>
    </row>
    <row r="2269" spans="1:14">
      <c r="A2269" s="1" t="s">
        <v>2281</v>
      </c>
      <c r="B2269">
        <f>HYPERLINK("https://www.suredividend.com/sure-analysis-research-database/","Proto Labs Inc")</f>
        <v>0</v>
      </c>
      <c r="C2269" t="s">
        <v>3183</v>
      </c>
      <c r="D2269">
        <v>24.3</v>
      </c>
      <c r="E2269">
        <v>0</v>
      </c>
      <c r="F2269" t="s">
        <v>3182</v>
      </c>
      <c r="G2269" t="s">
        <v>3182</v>
      </c>
      <c r="H2269">
        <v>0</v>
      </c>
      <c r="I2269">
        <v>634.119046</v>
      </c>
      <c r="J2269" t="s">
        <v>3182</v>
      </c>
      <c r="K2269">
        <v>-0</v>
      </c>
      <c r="L2269">
        <v>1.381727118548289</v>
      </c>
      <c r="M2269">
        <v>39.52</v>
      </c>
      <c r="N2269">
        <v>22.04</v>
      </c>
    </row>
    <row r="2270" spans="1:14">
      <c r="A2270" s="1" t="s">
        <v>2282</v>
      </c>
      <c r="B2270">
        <f>HYPERLINK("https://www.suredividend.com/sure-analysis-research-database/","Primo Water Corporation")</f>
        <v>0</v>
      </c>
      <c r="C2270" t="s">
        <v>3188</v>
      </c>
      <c r="D2270">
        <v>14.5</v>
      </c>
      <c r="E2270">
        <v>0.023172170601952</v>
      </c>
      <c r="F2270">
        <v>0.1940889734928095</v>
      </c>
      <c r="G2270">
        <v>0.1258271220487299</v>
      </c>
      <c r="H2270">
        <v>0.335996473728305</v>
      </c>
      <c r="I2270">
        <v>2331.515465</v>
      </c>
      <c r="J2270">
        <v>27.14220564610012</v>
      </c>
      <c r="K2270">
        <v>0.631809841534985</v>
      </c>
      <c r="L2270">
        <v>0.8381150799126601</v>
      </c>
      <c r="M2270">
        <v>16.19</v>
      </c>
      <c r="N2270">
        <v>12.2</v>
      </c>
    </row>
    <row r="2271" spans="1:14">
      <c r="A2271" s="1" t="s">
        <v>2283</v>
      </c>
      <c r="B2271">
        <f>HYPERLINK("https://www.suredividend.com/sure-analysis-research-database/","Pros Holdings Inc")</f>
        <v>0</v>
      </c>
      <c r="C2271" t="s">
        <v>3185</v>
      </c>
      <c r="D2271">
        <v>34.79</v>
      </c>
      <c r="E2271">
        <v>0</v>
      </c>
      <c r="F2271" t="s">
        <v>3182</v>
      </c>
      <c r="G2271" t="s">
        <v>3182</v>
      </c>
      <c r="H2271">
        <v>0</v>
      </c>
      <c r="I2271">
        <v>1609.43508</v>
      </c>
      <c r="J2271" t="s">
        <v>3182</v>
      </c>
      <c r="K2271">
        <v>-0</v>
      </c>
      <c r="L2271">
        <v>1.374361985205945</v>
      </c>
      <c r="M2271">
        <v>38.96</v>
      </c>
      <c r="N2271">
        <v>20.32</v>
      </c>
    </row>
    <row r="2272" spans="1:14">
      <c r="A2272" s="1" t="s">
        <v>2284</v>
      </c>
      <c r="B2272">
        <f>HYPERLINK("https://www.suredividend.com/sure-analysis-research-database/","Provident Financial Holdings, Inc.")</f>
        <v>0</v>
      </c>
      <c r="C2272" t="s">
        <v>3184</v>
      </c>
      <c r="D2272">
        <v>11.25</v>
      </c>
      <c r="E2272">
        <v>0.048624941650137</v>
      </c>
      <c r="F2272">
        <v>0</v>
      </c>
      <c r="G2272">
        <v>0</v>
      </c>
      <c r="H2272">
        <v>0.547030593564044</v>
      </c>
      <c r="I2272">
        <v>78.63052500000001</v>
      </c>
      <c r="J2272">
        <v>9.15159741620112</v>
      </c>
      <c r="K2272">
        <v>0.4596895744235664</v>
      </c>
      <c r="M2272">
        <v>14.68</v>
      </c>
      <c r="N2272">
        <v>11.25</v>
      </c>
    </row>
    <row r="2273" spans="1:14">
      <c r="A2273" s="1" t="s">
        <v>2285</v>
      </c>
      <c r="B2273">
        <f>HYPERLINK("https://www.suredividend.com/sure-analysis-research-database/","ProPhase Labs Inc")</f>
        <v>0</v>
      </c>
      <c r="C2273" t="s">
        <v>3180</v>
      </c>
      <c r="D2273">
        <v>4.52</v>
      </c>
      <c r="E2273">
        <v>0</v>
      </c>
      <c r="F2273" t="s">
        <v>3182</v>
      </c>
      <c r="G2273" t="s">
        <v>3182</v>
      </c>
      <c r="H2273">
        <v>0</v>
      </c>
      <c r="I2273">
        <v>76.13953100000001</v>
      </c>
      <c r="J2273">
        <v>0</v>
      </c>
      <c r="K2273" t="s">
        <v>3182</v>
      </c>
      <c r="L2273">
        <v>0.291155778946182</v>
      </c>
      <c r="M2273">
        <v>12.69</v>
      </c>
      <c r="N2273">
        <v>4.05</v>
      </c>
    </row>
    <row r="2274" spans="1:14">
      <c r="A2274" s="1" t="s">
        <v>2286</v>
      </c>
      <c r="B2274">
        <f>HYPERLINK("https://www.suredividend.com/sure-analysis-research-database/","Providence Service Corp")</f>
        <v>0</v>
      </c>
      <c r="C2274" t="s">
        <v>3180</v>
      </c>
      <c r="D2274">
        <v>155.58</v>
      </c>
      <c r="E2274">
        <v>0</v>
      </c>
      <c r="F2274" t="s">
        <v>3182</v>
      </c>
      <c r="G2274" t="s">
        <v>3182</v>
      </c>
      <c r="H2274">
        <v>0</v>
      </c>
      <c r="I2274">
        <v>2206.689778</v>
      </c>
      <c r="J2274">
        <v>75.23917548228717</v>
      </c>
      <c r="K2274">
        <v>0</v>
      </c>
      <c r="L2274">
        <v>0.7972693090378321</v>
      </c>
      <c r="M2274">
        <v>155.58</v>
      </c>
      <c r="N2274">
        <v>46.57</v>
      </c>
    </row>
    <row r="2275" spans="1:14">
      <c r="A2275" s="1" t="s">
        <v>2287</v>
      </c>
      <c r="B2275">
        <f>HYPERLINK("https://www.suredividend.com/sure-analysis-research-database/","Perspecta Inc")</f>
        <v>0</v>
      </c>
      <c r="C2275" t="s">
        <v>3185</v>
      </c>
      <c r="D2275">
        <v>29.34</v>
      </c>
      <c r="E2275">
        <v>0.009503252611051</v>
      </c>
      <c r="F2275" t="s">
        <v>3182</v>
      </c>
      <c r="G2275" t="s">
        <v>3182</v>
      </c>
      <c r="H2275">
        <v>0.278825431608245</v>
      </c>
      <c r="I2275">
        <v>4725.820411</v>
      </c>
      <c r="J2275" t="s">
        <v>3182</v>
      </c>
      <c r="K2275" t="s">
        <v>3182</v>
      </c>
      <c r="L2275">
        <v>0.943665960950074</v>
      </c>
      <c r="M2275">
        <v>29.55</v>
      </c>
      <c r="N2275">
        <v>17.26</v>
      </c>
    </row>
    <row r="2276" spans="1:14">
      <c r="A2276" s="1" t="s">
        <v>2288</v>
      </c>
      <c r="B2276">
        <f>HYPERLINK("https://www.suredividend.com/sure-analysis-research-database/","Prothena Corporation plc")</f>
        <v>0</v>
      </c>
      <c r="C2276" t="s">
        <v>3180</v>
      </c>
      <c r="D2276">
        <v>34.96</v>
      </c>
      <c r="E2276">
        <v>0</v>
      </c>
      <c r="F2276" t="s">
        <v>3182</v>
      </c>
      <c r="G2276" t="s">
        <v>3182</v>
      </c>
      <c r="H2276">
        <v>0</v>
      </c>
      <c r="I2276">
        <v>1871.594088</v>
      </c>
      <c r="J2276" t="s">
        <v>3182</v>
      </c>
      <c r="K2276">
        <v>-0</v>
      </c>
      <c r="L2276">
        <v>1.413381314240673</v>
      </c>
      <c r="M2276">
        <v>79.65000000000001</v>
      </c>
      <c r="N2276">
        <v>28.51</v>
      </c>
    </row>
    <row r="2277" spans="1:14">
      <c r="A2277" s="1" t="s">
        <v>2289</v>
      </c>
      <c r="B2277">
        <f>HYPERLINK("https://www.suredividend.com/sure-analysis-research-database/","Paratek Pharmaceuticals Inc.")</f>
        <v>0</v>
      </c>
      <c r="C2277" t="s">
        <v>3180</v>
      </c>
      <c r="D2277">
        <v>2.23</v>
      </c>
      <c r="E2277">
        <v>0</v>
      </c>
      <c r="F2277" t="s">
        <v>3182</v>
      </c>
      <c r="G2277" t="s">
        <v>3182</v>
      </c>
      <c r="H2277">
        <v>0</v>
      </c>
      <c r="I2277">
        <v>0</v>
      </c>
      <c r="J2277">
        <v>0</v>
      </c>
      <c r="K2277">
        <v>-0</v>
      </c>
    </row>
    <row r="2278" spans="1:14">
      <c r="A2278" s="1" t="s">
        <v>2290</v>
      </c>
      <c r="B2278">
        <f>HYPERLINK("https://www.suredividend.com/sure-analysis-research-database/","CarParts.com Inc")</f>
        <v>0</v>
      </c>
      <c r="C2278" t="s">
        <v>3186</v>
      </c>
      <c r="D2278">
        <v>3.06</v>
      </c>
      <c r="E2278">
        <v>0</v>
      </c>
      <c r="F2278" t="s">
        <v>3182</v>
      </c>
      <c r="G2278" t="s">
        <v>3182</v>
      </c>
      <c r="H2278">
        <v>0</v>
      </c>
      <c r="I2278">
        <v>175.945737</v>
      </c>
      <c r="J2278" t="s">
        <v>3182</v>
      </c>
      <c r="K2278">
        <v>-0</v>
      </c>
      <c r="L2278">
        <v>1.603332471218556</v>
      </c>
      <c r="M2278">
        <v>7.44</v>
      </c>
      <c r="N2278">
        <v>2.5</v>
      </c>
    </row>
    <row r="2279" spans="1:14">
      <c r="A2279" s="1" t="s">
        <v>2291</v>
      </c>
      <c r="B2279">
        <f>HYPERLINK("https://www.suredividend.com/sure-analysis-research-database/","Party City Holdco Inc")</f>
        <v>0</v>
      </c>
      <c r="C2279" t="s">
        <v>3186</v>
      </c>
      <c r="D2279">
        <v>0.3742</v>
      </c>
      <c r="E2279">
        <v>0</v>
      </c>
      <c r="F2279" t="s">
        <v>3182</v>
      </c>
      <c r="G2279" t="s">
        <v>3182</v>
      </c>
      <c r="H2279">
        <v>0</v>
      </c>
      <c r="I2279">
        <v>42.402954</v>
      </c>
      <c r="J2279" t="s">
        <v>3182</v>
      </c>
      <c r="K2279">
        <v>-0</v>
      </c>
      <c r="M2279">
        <v>5.51</v>
      </c>
      <c r="N2279">
        <v>0.15</v>
      </c>
    </row>
    <row r="2280" spans="1:14">
      <c r="A2280" s="1" t="s">
        <v>2292</v>
      </c>
      <c r="B2280">
        <f>HYPERLINK("https://www.suredividend.com/sure-analysis-PRU/","Prudential Financial Inc.")</f>
        <v>0</v>
      </c>
      <c r="C2280" t="s">
        <v>3184</v>
      </c>
      <c r="D2280">
        <v>91.67</v>
      </c>
      <c r="E2280">
        <v>0.05454347114650376</v>
      </c>
      <c r="F2280">
        <v>0.04166666666666674</v>
      </c>
      <c r="G2280">
        <v>0.06790716584560208</v>
      </c>
      <c r="H2280">
        <v>4.849202717826646</v>
      </c>
      <c r="I2280">
        <v>33276.21</v>
      </c>
      <c r="J2280">
        <v>30.38923287671233</v>
      </c>
      <c r="K2280">
        <v>1.627249234170016</v>
      </c>
      <c r="L2280">
        <v>1.051227950823432</v>
      </c>
      <c r="M2280">
        <v>105.3</v>
      </c>
      <c r="N2280">
        <v>73.22</v>
      </c>
    </row>
    <row r="2281" spans="1:14">
      <c r="A2281" s="1" t="s">
        <v>2293</v>
      </c>
      <c r="B2281">
        <f>HYPERLINK("https://www.suredividend.com/sure-analysis-research-database/","Provention Bio Inc")</f>
        <v>0</v>
      </c>
      <c r="C2281" t="s">
        <v>3180</v>
      </c>
      <c r="D2281">
        <v>24.98</v>
      </c>
      <c r="E2281">
        <v>0</v>
      </c>
      <c r="F2281" t="s">
        <v>3182</v>
      </c>
      <c r="G2281" t="s">
        <v>3182</v>
      </c>
      <c r="H2281">
        <v>0</v>
      </c>
      <c r="I2281">
        <v>0</v>
      </c>
      <c r="J2281">
        <v>0</v>
      </c>
      <c r="K2281" t="s">
        <v>3182</v>
      </c>
    </row>
    <row r="2282" spans="1:14">
      <c r="A2282" s="1" t="s">
        <v>2294</v>
      </c>
      <c r="B2282">
        <f>HYPERLINK("https://www.suredividend.com/sure-analysis-research-database/","Pluralsight Inc")</f>
        <v>0</v>
      </c>
      <c r="C2282" t="s">
        <v>3185</v>
      </c>
      <c r="D2282">
        <v>22.45</v>
      </c>
      <c r="E2282">
        <v>0</v>
      </c>
      <c r="F2282" t="s">
        <v>3182</v>
      </c>
      <c r="G2282" t="s">
        <v>3182</v>
      </c>
      <c r="H2282">
        <v>0</v>
      </c>
      <c r="I2282">
        <v>0</v>
      </c>
      <c r="J2282">
        <v>0</v>
      </c>
      <c r="K2282">
        <v>-0</v>
      </c>
    </row>
    <row r="2283" spans="1:14">
      <c r="A2283" s="1" t="s">
        <v>2295</v>
      </c>
      <c r="B2283">
        <f>HYPERLINK("https://www.suredividend.com/sure-analysis-PSA/","Public Storage.")</f>
        <v>0</v>
      </c>
      <c r="C2283" t="s">
        <v>3187</v>
      </c>
      <c r="D2283">
        <v>248.26</v>
      </c>
      <c r="E2283">
        <v>0.04833642149359543</v>
      </c>
      <c r="F2283">
        <v>0.5</v>
      </c>
      <c r="G2283">
        <v>0.08447177119769855</v>
      </c>
      <c r="H2283">
        <v>3</v>
      </c>
      <c r="I2283">
        <v>43651.423229</v>
      </c>
      <c r="J2283">
        <v>0</v>
      </c>
      <c r="K2283" t="s">
        <v>3182</v>
      </c>
      <c r="L2283">
        <v>0.769511391664452</v>
      </c>
      <c r="M2283">
        <v>278.15</v>
      </c>
      <c r="N2283">
        <v>233.18</v>
      </c>
    </row>
    <row r="2284" spans="1:14">
      <c r="A2284" s="1" t="s">
        <v>2296</v>
      </c>
      <c r="B2284">
        <f>HYPERLINK("https://www.suredividend.com/sure-analysis-research-database/","PS Business Parks, Inc.")</f>
        <v>0</v>
      </c>
      <c r="C2284" t="s">
        <v>3187</v>
      </c>
      <c r="D2284">
        <v>187.44</v>
      </c>
      <c r="E2284">
        <v>0.022069755700724</v>
      </c>
      <c r="F2284">
        <v>4</v>
      </c>
      <c r="G2284">
        <v>0.3797296614612149</v>
      </c>
      <c r="H2284">
        <v>4.136755008543845</v>
      </c>
      <c r="I2284">
        <v>5178.487916</v>
      </c>
      <c r="J2284">
        <v>11.84480132645616</v>
      </c>
      <c r="K2284">
        <v>0.2616543332412299</v>
      </c>
      <c r="L2284">
        <v>0.363286488982407</v>
      </c>
      <c r="M2284">
        <v>188.54</v>
      </c>
      <c r="N2284">
        <v>142.8</v>
      </c>
    </row>
    <row r="2285" spans="1:14">
      <c r="A2285" s="1" t="s">
        <v>2297</v>
      </c>
      <c r="B2285">
        <f>HYPERLINK("https://www.suredividend.com/sure-analysis-research-database/","Pricesmart Inc.")</f>
        <v>0</v>
      </c>
      <c r="C2285" t="s">
        <v>3188</v>
      </c>
      <c r="D2285">
        <v>66.5</v>
      </c>
      <c r="E2285">
        <v>0.01379345686473</v>
      </c>
      <c r="F2285" t="s">
        <v>3182</v>
      </c>
      <c r="G2285" t="s">
        <v>3182</v>
      </c>
      <c r="H2285">
        <v>0.9172648815045481</v>
      </c>
      <c r="I2285">
        <v>2005.765419</v>
      </c>
      <c r="J2285">
        <v>18.36697421363491</v>
      </c>
      <c r="K2285">
        <v>0.258384473663253</v>
      </c>
      <c r="L2285">
        <v>0.8137284229806641</v>
      </c>
      <c r="M2285">
        <v>82.63</v>
      </c>
      <c r="N2285">
        <v>59.28</v>
      </c>
    </row>
    <row r="2286" spans="1:14">
      <c r="A2286" s="1" t="s">
        <v>2298</v>
      </c>
      <c r="B2286">
        <f>HYPERLINK("https://www.suredividend.com/sure-analysis-research-database/","Parsons Corp")</f>
        <v>0</v>
      </c>
      <c r="C2286" t="s">
        <v>3183</v>
      </c>
      <c r="D2286">
        <v>60.98</v>
      </c>
      <c r="E2286">
        <v>0</v>
      </c>
      <c r="F2286" t="s">
        <v>3182</v>
      </c>
      <c r="G2286" t="s">
        <v>3182</v>
      </c>
      <c r="H2286">
        <v>0</v>
      </c>
      <c r="I2286">
        <v>6396.127378</v>
      </c>
      <c r="J2286">
        <v>50.56387062247028</v>
      </c>
      <c r="K2286">
        <v>0</v>
      </c>
      <c r="L2286">
        <v>0.4686006521055081</v>
      </c>
      <c r="M2286">
        <v>61.73</v>
      </c>
      <c r="N2286">
        <v>40.61</v>
      </c>
    </row>
    <row r="2287" spans="1:14">
      <c r="A2287" s="1" t="s">
        <v>2299</v>
      </c>
      <c r="B2287">
        <f>HYPERLINK("https://www.suredividend.com/sure-analysis-research-database/","Pure Storage Inc")</f>
        <v>0</v>
      </c>
      <c r="C2287" t="s">
        <v>3185</v>
      </c>
      <c r="D2287">
        <v>34.22</v>
      </c>
      <c r="E2287">
        <v>0</v>
      </c>
      <c r="F2287" t="s">
        <v>3182</v>
      </c>
      <c r="G2287" t="s">
        <v>3182</v>
      </c>
      <c r="H2287">
        <v>0</v>
      </c>
      <c r="I2287">
        <v>10675.135381</v>
      </c>
      <c r="J2287" t="s">
        <v>3182</v>
      </c>
      <c r="K2287">
        <v>-0</v>
      </c>
      <c r="L2287">
        <v>1.195091913840065</v>
      </c>
      <c r="M2287">
        <v>40.5</v>
      </c>
      <c r="N2287">
        <v>22.14</v>
      </c>
    </row>
    <row r="2288" spans="1:14">
      <c r="A2288" s="1" t="s">
        <v>2300</v>
      </c>
      <c r="B2288">
        <f>HYPERLINK("https://www.suredividend.com/sure-analysis-research-database/","Plus Therapeutics Inc")</f>
        <v>0</v>
      </c>
      <c r="C2288" t="s">
        <v>3180</v>
      </c>
      <c r="D2288">
        <v>1.36</v>
      </c>
      <c r="E2288">
        <v>0</v>
      </c>
      <c r="F2288" t="s">
        <v>3182</v>
      </c>
      <c r="G2288" t="s">
        <v>3182</v>
      </c>
      <c r="H2288">
        <v>0</v>
      </c>
      <c r="I2288">
        <v>6.150812</v>
      </c>
      <c r="J2288" t="s">
        <v>3182</v>
      </c>
      <c r="K2288">
        <v>-0</v>
      </c>
      <c r="L2288">
        <v>1.001473517215668</v>
      </c>
      <c r="M2288">
        <v>7.5</v>
      </c>
      <c r="N2288">
        <v>0.9694</v>
      </c>
    </row>
    <row r="2289" spans="1:14">
      <c r="A2289" s="1" t="s">
        <v>2301</v>
      </c>
      <c r="B2289">
        <f>HYPERLINK("https://www.suredividend.com/sure-analysis-PSX/","Phillips 66")</f>
        <v>0</v>
      </c>
      <c r="C2289" t="s">
        <v>3189</v>
      </c>
      <c r="D2289">
        <v>118.12</v>
      </c>
      <c r="E2289">
        <v>0.03555706061632238</v>
      </c>
      <c r="F2289">
        <v>0.08247422680412386</v>
      </c>
      <c r="G2289">
        <v>0.05589288248337687</v>
      </c>
      <c r="H2289">
        <v>4.060203563068314</v>
      </c>
      <c r="I2289">
        <v>52597.410055</v>
      </c>
      <c r="J2289">
        <v>4.815730640483428</v>
      </c>
      <c r="K2289">
        <v>0.175008774270186</v>
      </c>
      <c r="L2289">
        <v>0.554067739453836</v>
      </c>
      <c r="M2289">
        <v>125.19</v>
      </c>
      <c r="N2289">
        <v>88.84</v>
      </c>
    </row>
    <row r="2290" spans="1:14">
      <c r="A2290" s="1" t="s">
        <v>2302</v>
      </c>
      <c r="B2290">
        <f>HYPERLINK("https://www.suredividend.com/sure-analysis-research-database/","PTC Inc")</f>
        <v>0</v>
      </c>
      <c r="C2290" t="s">
        <v>3185</v>
      </c>
      <c r="D2290">
        <v>146.32</v>
      </c>
      <c r="E2290">
        <v>0</v>
      </c>
      <c r="F2290" t="s">
        <v>3182</v>
      </c>
      <c r="G2290" t="s">
        <v>3182</v>
      </c>
      <c r="H2290">
        <v>0</v>
      </c>
      <c r="I2290">
        <v>17387.675434</v>
      </c>
      <c r="J2290">
        <v>56.67910394466284</v>
      </c>
      <c r="K2290">
        <v>0</v>
      </c>
      <c r="L2290">
        <v>0.944640809439359</v>
      </c>
      <c r="M2290">
        <v>152.09</v>
      </c>
      <c r="N2290">
        <v>115.45</v>
      </c>
    </row>
    <row r="2291" spans="1:14">
      <c r="A2291" s="1" t="s">
        <v>2303</v>
      </c>
      <c r="B2291">
        <f>HYPERLINK("https://www.suredividend.com/sure-analysis-research-database/","PTC Therapeutics Inc")</f>
        <v>0</v>
      </c>
      <c r="C2291" t="s">
        <v>3180</v>
      </c>
      <c r="D2291">
        <v>18.07</v>
      </c>
      <c r="E2291">
        <v>0</v>
      </c>
      <c r="F2291" t="s">
        <v>3182</v>
      </c>
      <c r="G2291" t="s">
        <v>3182</v>
      </c>
      <c r="H2291">
        <v>0</v>
      </c>
      <c r="I2291">
        <v>1363.61903</v>
      </c>
      <c r="J2291" t="s">
        <v>3182</v>
      </c>
      <c r="K2291">
        <v>-0</v>
      </c>
      <c r="L2291">
        <v>0.980462122827057</v>
      </c>
      <c r="M2291">
        <v>59.84</v>
      </c>
      <c r="N2291">
        <v>17.53</v>
      </c>
    </row>
    <row r="2292" spans="1:14">
      <c r="A2292" s="1" t="s">
        <v>2304</v>
      </c>
      <c r="B2292">
        <f>HYPERLINK("https://www.suredividend.com/sure-analysis-research-database/","PolarityTE Inc")</f>
        <v>0</v>
      </c>
      <c r="C2292" t="s">
        <v>3180</v>
      </c>
      <c r="D2292">
        <v>0.241</v>
      </c>
      <c r="E2292">
        <v>0</v>
      </c>
      <c r="F2292" t="s">
        <v>3182</v>
      </c>
      <c r="G2292" t="s">
        <v>3182</v>
      </c>
      <c r="H2292">
        <v>0</v>
      </c>
      <c r="I2292">
        <v>0</v>
      </c>
      <c r="J2292">
        <v>0</v>
      </c>
      <c r="K2292" t="s">
        <v>3182</v>
      </c>
    </row>
    <row r="2293" spans="1:14">
      <c r="A2293" s="1" t="s">
        <v>2305</v>
      </c>
      <c r="B2293">
        <f>HYPERLINK("https://www.suredividend.com/sure-analysis-research-database/","Patterson-UTI Energy Inc")</f>
        <v>0</v>
      </c>
      <c r="C2293" t="s">
        <v>3189</v>
      </c>
      <c r="D2293">
        <v>12.8</v>
      </c>
      <c r="E2293">
        <v>0.024668971285413</v>
      </c>
      <c r="F2293" t="s">
        <v>3182</v>
      </c>
      <c r="G2293" t="s">
        <v>3182</v>
      </c>
      <c r="H2293">
        <v>0.315762832453291</v>
      </c>
      <c r="I2293">
        <v>2662.317939</v>
      </c>
      <c r="J2293">
        <v>7.698098083223216</v>
      </c>
      <c r="K2293">
        <v>0.1985929763857176</v>
      </c>
      <c r="L2293">
        <v>1.356423412703214</v>
      </c>
      <c r="M2293">
        <v>19.19</v>
      </c>
      <c r="N2293">
        <v>9.65</v>
      </c>
    </row>
    <row r="2294" spans="1:14">
      <c r="A2294" s="1" t="s">
        <v>2306</v>
      </c>
      <c r="B2294">
        <f>HYPERLINK("https://www.suredividend.com/sure-analysis-research-database/","Protagonist Therapeutics Inc")</f>
        <v>0</v>
      </c>
      <c r="C2294" t="s">
        <v>3180</v>
      </c>
      <c r="D2294">
        <v>15.41</v>
      </c>
      <c r="E2294">
        <v>0</v>
      </c>
      <c r="F2294" t="s">
        <v>3182</v>
      </c>
      <c r="G2294" t="s">
        <v>3182</v>
      </c>
      <c r="H2294">
        <v>0</v>
      </c>
      <c r="I2294">
        <v>886.541029</v>
      </c>
      <c r="J2294">
        <v>0</v>
      </c>
      <c r="K2294" t="s">
        <v>3182</v>
      </c>
      <c r="L2294">
        <v>0.6832367294616131</v>
      </c>
      <c r="M2294">
        <v>30.1</v>
      </c>
      <c r="N2294">
        <v>7.24</v>
      </c>
    </row>
    <row r="2295" spans="1:14">
      <c r="A2295" s="1" t="s">
        <v>2307</v>
      </c>
      <c r="B2295">
        <f>HYPERLINK("https://www.suredividend.com/sure-analysis-research-database/","Proteostasis Therapeutics Inc")</f>
        <v>0</v>
      </c>
      <c r="C2295" t="s">
        <v>3180</v>
      </c>
      <c r="D2295">
        <v>1.11</v>
      </c>
      <c r="E2295">
        <v>0</v>
      </c>
      <c r="F2295" t="s">
        <v>3182</v>
      </c>
      <c r="G2295" t="s">
        <v>3182</v>
      </c>
      <c r="H2295">
        <v>0</v>
      </c>
      <c r="I2295">
        <v>57.925078</v>
      </c>
      <c r="J2295">
        <v>0</v>
      </c>
      <c r="K2295" t="s">
        <v>3182</v>
      </c>
      <c r="L2295">
        <v>0.7446024614360091</v>
      </c>
      <c r="M2295">
        <v>2.44</v>
      </c>
      <c r="N2295">
        <v>0.888</v>
      </c>
    </row>
    <row r="2296" spans="1:14">
      <c r="A2296" s="1" t="s">
        <v>2308</v>
      </c>
      <c r="B2296">
        <f>HYPERLINK("https://www.suredividend.com/sure-analysis-research-database/","Palatin Technologies Inc.")</f>
        <v>0</v>
      </c>
      <c r="C2296" t="s">
        <v>3180</v>
      </c>
      <c r="D2296">
        <v>2.16</v>
      </c>
      <c r="E2296">
        <v>0</v>
      </c>
      <c r="F2296" t="s">
        <v>3182</v>
      </c>
      <c r="G2296" t="s">
        <v>3182</v>
      </c>
      <c r="H2296">
        <v>0</v>
      </c>
      <c r="I2296">
        <v>25.804755</v>
      </c>
      <c r="J2296" t="s">
        <v>3182</v>
      </c>
      <c r="K2296">
        <v>-0</v>
      </c>
      <c r="L2296">
        <v>1.000690010736158</v>
      </c>
      <c r="M2296">
        <v>5</v>
      </c>
      <c r="N2296">
        <v>1.43</v>
      </c>
    </row>
    <row r="2297" spans="1:14">
      <c r="A2297" s="1" t="s">
        <v>2309</v>
      </c>
      <c r="B2297">
        <f>HYPERLINK("https://www.suredividend.com/sure-analysis-research-database/","P.A.M. Transportation Services, Inc.")</f>
        <v>0</v>
      </c>
      <c r="C2297" t="s">
        <v>3183</v>
      </c>
      <c r="D2297">
        <v>17.94</v>
      </c>
      <c r="E2297">
        <v>0</v>
      </c>
      <c r="F2297" t="s">
        <v>3182</v>
      </c>
      <c r="G2297" t="s">
        <v>3182</v>
      </c>
      <c r="H2297">
        <v>0</v>
      </c>
      <c r="I2297">
        <v>395.062858</v>
      </c>
      <c r="J2297">
        <v>10.22710547878537</v>
      </c>
      <c r="K2297">
        <v>0</v>
      </c>
      <c r="L2297">
        <v>1.205565240869896</v>
      </c>
      <c r="M2297">
        <v>31.36</v>
      </c>
      <c r="N2297">
        <v>15.66</v>
      </c>
    </row>
    <row r="2298" spans="1:14">
      <c r="A2298" s="1" t="s">
        <v>2310</v>
      </c>
      <c r="B2298">
        <f>HYPERLINK("https://www.suredividend.com/sure-analysis-research-database/","Protective Insurance Corp.")</f>
        <v>0</v>
      </c>
      <c r="C2298" t="s">
        <v>3184</v>
      </c>
      <c r="D2298">
        <v>23.27</v>
      </c>
      <c r="E2298">
        <v>0</v>
      </c>
      <c r="F2298" t="s">
        <v>3182</v>
      </c>
      <c r="G2298" t="s">
        <v>3182</v>
      </c>
      <c r="H2298">
        <v>0.400000005960464</v>
      </c>
      <c r="I2298">
        <v>0</v>
      </c>
      <c r="J2298">
        <v>0</v>
      </c>
      <c r="K2298" t="s">
        <v>3182</v>
      </c>
    </row>
    <row r="2299" spans="1:14">
      <c r="A2299" s="1" t="s">
        <v>2311</v>
      </c>
      <c r="B2299">
        <f>HYPERLINK("https://www.suredividend.com/sure-analysis-research-database/","Protective Insurance Corp.")</f>
        <v>0</v>
      </c>
      <c r="C2299" t="s">
        <v>3184</v>
      </c>
      <c r="D2299">
        <v>23.3</v>
      </c>
      <c r="E2299">
        <v>0</v>
      </c>
      <c r="F2299" t="s">
        <v>3182</v>
      </c>
      <c r="G2299" t="s">
        <v>3182</v>
      </c>
      <c r="H2299">
        <v>0.400000005960464</v>
      </c>
      <c r="I2299">
        <v>0</v>
      </c>
      <c r="J2299">
        <v>0</v>
      </c>
      <c r="K2299">
        <v>0.144404334281756</v>
      </c>
    </row>
    <row r="2300" spans="1:14">
      <c r="A2300" s="1" t="s">
        <v>2312</v>
      </c>
      <c r="B2300">
        <f>HYPERLINK("https://www.suredividend.com/sure-analysis-research-database/","Pulmatrix Inc")</f>
        <v>0</v>
      </c>
      <c r="C2300" t="s">
        <v>3180</v>
      </c>
      <c r="D2300">
        <v>1.91</v>
      </c>
      <c r="E2300">
        <v>0</v>
      </c>
      <c r="F2300" t="s">
        <v>3182</v>
      </c>
      <c r="G2300" t="s">
        <v>3182</v>
      </c>
      <c r="H2300">
        <v>0</v>
      </c>
      <c r="I2300">
        <v>6.975864</v>
      </c>
      <c r="J2300">
        <v>0</v>
      </c>
      <c r="K2300" t="s">
        <v>3182</v>
      </c>
      <c r="L2300">
        <v>0.441390495219415</v>
      </c>
      <c r="M2300">
        <v>4.49</v>
      </c>
      <c r="N2300">
        <v>1.76</v>
      </c>
    </row>
    <row r="2301" spans="1:14">
      <c r="A2301" s="1" t="s">
        <v>2313</v>
      </c>
      <c r="B2301">
        <f>HYPERLINK("https://www.suredividend.com/sure-analysis-research-database/","ProPetro Holding Corp")</f>
        <v>0</v>
      </c>
      <c r="C2301" t="s">
        <v>3189</v>
      </c>
      <c r="D2301">
        <v>10.12</v>
      </c>
      <c r="E2301">
        <v>0</v>
      </c>
      <c r="F2301" t="s">
        <v>3182</v>
      </c>
      <c r="G2301" t="s">
        <v>3182</v>
      </c>
      <c r="H2301">
        <v>0</v>
      </c>
      <c r="I2301">
        <v>1141.253622</v>
      </c>
      <c r="J2301">
        <v>12.53257219331671</v>
      </c>
      <c r="K2301">
        <v>0</v>
      </c>
      <c r="L2301">
        <v>1.441017169769641</v>
      </c>
      <c r="M2301">
        <v>12.58</v>
      </c>
      <c r="N2301">
        <v>6.33</v>
      </c>
    </row>
    <row r="2302" spans="1:14">
      <c r="A2302" s="1" t="s">
        <v>2314</v>
      </c>
      <c r="B2302">
        <f>HYPERLINK("https://www.suredividend.com/sure-analysis-research-database/","Penn Virginia Corp.")</f>
        <v>0</v>
      </c>
      <c r="C2302" t="s">
        <v>3189</v>
      </c>
      <c r="D2302">
        <v>30.66</v>
      </c>
      <c r="E2302">
        <v>0</v>
      </c>
      <c r="F2302" t="s">
        <v>3182</v>
      </c>
      <c r="G2302" t="s">
        <v>3182</v>
      </c>
      <c r="H2302">
        <v>0</v>
      </c>
      <c r="I2302">
        <v>469.966598</v>
      </c>
      <c r="J2302">
        <v>0</v>
      </c>
      <c r="K2302" t="s">
        <v>3182</v>
      </c>
      <c r="L2302">
        <v>1.382141539414036</v>
      </c>
      <c r="M2302">
        <v>35.31</v>
      </c>
      <c r="N2302">
        <v>6.36</v>
      </c>
    </row>
    <row r="2303" spans="1:14">
      <c r="A2303" s="1" t="s">
        <v>2315</v>
      </c>
      <c r="B2303">
        <f>HYPERLINK("https://www.suredividend.com/sure-analysis-research-database/","Provident Bancorp Inc")</f>
        <v>0</v>
      </c>
      <c r="C2303" t="s">
        <v>3184</v>
      </c>
      <c r="D2303">
        <v>9.460000000000001</v>
      </c>
      <c r="E2303">
        <v>0</v>
      </c>
      <c r="F2303" t="s">
        <v>3182</v>
      </c>
      <c r="G2303" t="s">
        <v>3182</v>
      </c>
      <c r="H2303">
        <v>0</v>
      </c>
      <c r="I2303">
        <v>167.306911</v>
      </c>
      <c r="J2303" t="s">
        <v>3182</v>
      </c>
      <c r="K2303">
        <v>-0</v>
      </c>
      <c r="L2303">
        <v>0.9762457829401291</v>
      </c>
      <c r="M2303">
        <v>12.66</v>
      </c>
      <c r="N2303">
        <v>5.76</v>
      </c>
    </row>
    <row r="2304" spans="1:14">
      <c r="A2304" s="1" t="s">
        <v>2316</v>
      </c>
      <c r="B2304">
        <f>HYPERLINK("https://www.suredividend.com/sure-analysis-research-database/","PVH Corp")</f>
        <v>0</v>
      </c>
      <c r="C2304" t="s">
        <v>3186</v>
      </c>
      <c r="D2304">
        <v>74.64</v>
      </c>
      <c r="E2304">
        <v>0.002008246205634</v>
      </c>
      <c r="F2304" t="s">
        <v>3182</v>
      </c>
      <c r="G2304" t="s">
        <v>3182</v>
      </c>
      <c r="H2304">
        <v>0.149895496788582</v>
      </c>
      <c r="I2304">
        <v>4510.117372</v>
      </c>
      <c r="J2304">
        <v>24.7536628557629</v>
      </c>
      <c r="K2304">
        <v>0.05259491115388842</v>
      </c>
      <c r="L2304">
        <v>1.457098650522164</v>
      </c>
      <c r="M2304">
        <v>94.38</v>
      </c>
      <c r="N2304">
        <v>49.99</v>
      </c>
    </row>
    <row r="2305" spans="1:14">
      <c r="A2305" s="1" t="s">
        <v>2317</v>
      </c>
      <c r="B2305">
        <f>HYPERLINK("https://www.suredividend.com/sure-analysis-research-database/","Power REIT")</f>
        <v>0</v>
      </c>
      <c r="C2305" t="s">
        <v>3187</v>
      </c>
      <c r="D2305">
        <v>0.6960000000000001</v>
      </c>
      <c r="E2305">
        <v>0</v>
      </c>
      <c r="F2305" t="s">
        <v>3182</v>
      </c>
      <c r="G2305" t="s">
        <v>3182</v>
      </c>
      <c r="H2305">
        <v>0</v>
      </c>
      <c r="I2305">
        <v>2.359413</v>
      </c>
      <c r="J2305">
        <v>0</v>
      </c>
      <c r="K2305" t="s">
        <v>3182</v>
      </c>
      <c r="L2305">
        <v>1.354441118102538</v>
      </c>
      <c r="M2305">
        <v>9.98</v>
      </c>
      <c r="N2305">
        <v>0.655</v>
      </c>
    </row>
    <row r="2306" spans="1:14">
      <c r="A2306" s="1" t="s">
        <v>2318</v>
      </c>
      <c r="B2306">
        <f>HYPERLINK("https://www.suredividend.com/sure-analysis-research-database/","Penns Woods Bancorp, Inc.")</f>
        <v>0</v>
      </c>
      <c r="C2306" t="s">
        <v>3184</v>
      </c>
      <c r="D2306">
        <v>21.33</v>
      </c>
      <c r="E2306">
        <v>0.05874894813695201</v>
      </c>
      <c r="F2306">
        <v>0</v>
      </c>
      <c r="G2306">
        <v>-0.07400119958231965</v>
      </c>
      <c r="H2306">
        <v>1.253115063761196</v>
      </c>
      <c r="I2306">
        <v>150.728146</v>
      </c>
      <c r="J2306">
        <v>8.108895329244673</v>
      </c>
      <c r="K2306">
        <v>0.4801207140847495</v>
      </c>
      <c r="L2306">
        <v>0.279243349602568</v>
      </c>
      <c r="M2306">
        <v>26.99</v>
      </c>
      <c r="N2306">
        <v>20</v>
      </c>
    </row>
    <row r="2307" spans="1:14">
      <c r="A2307" s="1" t="s">
        <v>2319</v>
      </c>
      <c r="B2307">
        <f>HYPERLINK("https://www.suredividend.com/sure-analysis-research-database/","Quanta Services, Inc.")</f>
        <v>0</v>
      </c>
      <c r="C2307" t="s">
        <v>3183</v>
      </c>
      <c r="D2307">
        <v>175.08</v>
      </c>
      <c r="E2307">
        <v>0.001826551724352</v>
      </c>
      <c r="F2307">
        <v>0.1428571428571428</v>
      </c>
      <c r="G2307">
        <v>0.1486983549970351</v>
      </c>
      <c r="H2307">
        <v>0.31979267589972</v>
      </c>
      <c r="I2307">
        <v>25421.436543</v>
      </c>
      <c r="J2307">
        <v>43.8699241258868</v>
      </c>
      <c r="K2307">
        <v>0.08178840815849617</v>
      </c>
      <c r="L2307">
        <v>1.029052795230772</v>
      </c>
      <c r="M2307">
        <v>212.73</v>
      </c>
      <c r="N2307">
        <v>134.43</v>
      </c>
    </row>
    <row r="2308" spans="1:14">
      <c r="A2308" s="1" t="s">
        <v>2320</v>
      </c>
      <c r="B2308">
        <f>HYPERLINK("https://www.suredividend.com/sure-analysis-PXD/","Pioneer Natural Resources Co.")</f>
        <v>0</v>
      </c>
      <c r="C2308" t="s">
        <v>3189</v>
      </c>
      <c r="D2308">
        <v>245.84</v>
      </c>
      <c r="E2308">
        <v>0.04059550927432477</v>
      </c>
      <c r="F2308">
        <v>-0.8683035714285714</v>
      </c>
      <c r="G2308">
        <v>0.01049180767989588</v>
      </c>
      <c r="H2308">
        <v>16.17610378073852</v>
      </c>
      <c r="I2308">
        <v>57315.421054</v>
      </c>
      <c r="J2308">
        <v>9.916162812027682</v>
      </c>
      <c r="K2308">
        <v>0.6883448417335538</v>
      </c>
      <c r="L2308">
        <v>0.7873437242200361</v>
      </c>
      <c r="M2308">
        <v>257.76</v>
      </c>
      <c r="N2308">
        <v>175.28</v>
      </c>
    </row>
    <row r="2309" spans="1:14">
      <c r="A2309" s="1" t="s">
        <v>2321</v>
      </c>
      <c r="B2309">
        <f>HYPERLINK("https://www.suredividend.com/sure-analysis-research-database/","Pixelworks Inc")</f>
        <v>0</v>
      </c>
      <c r="C2309" t="s">
        <v>3185</v>
      </c>
      <c r="D2309">
        <v>1.25</v>
      </c>
      <c r="E2309">
        <v>0</v>
      </c>
      <c r="F2309" t="s">
        <v>3182</v>
      </c>
      <c r="G2309" t="s">
        <v>3182</v>
      </c>
      <c r="H2309">
        <v>0</v>
      </c>
      <c r="I2309">
        <v>70.26860499999999</v>
      </c>
      <c r="J2309" t="s">
        <v>3182</v>
      </c>
      <c r="K2309">
        <v>-0</v>
      </c>
      <c r="L2309">
        <v>1.267873797353853</v>
      </c>
      <c r="M2309">
        <v>2.32</v>
      </c>
      <c r="N2309">
        <v>1.06</v>
      </c>
    </row>
    <row r="2310" spans="1:14">
      <c r="A2310" s="1" t="s">
        <v>2322</v>
      </c>
      <c r="B2310">
        <f>HYPERLINK("https://www.suredividend.com/sure-analysis-research-database/","PayPal Holdings Inc")</f>
        <v>0</v>
      </c>
      <c r="C2310" t="s">
        <v>3184</v>
      </c>
      <c r="D2310">
        <v>55.06</v>
      </c>
      <c r="E2310">
        <v>0</v>
      </c>
      <c r="F2310" t="s">
        <v>3182</v>
      </c>
      <c r="G2310" t="s">
        <v>3182</v>
      </c>
      <c r="H2310">
        <v>0</v>
      </c>
      <c r="I2310">
        <v>60457.943153</v>
      </c>
      <c r="J2310">
        <v>14.83630506828466</v>
      </c>
      <c r="K2310">
        <v>0</v>
      </c>
      <c r="L2310">
        <v>1.508619190470381</v>
      </c>
      <c r="M2310">
        <v>92.62</v>
      </c>
      <c r="N2310">
        <v>50.25</v>
      </c>
    </row>
    <row r="2311" spans="1:14">
      <c r="A2311" s="1" t="s">
        <v>2323</v>
      </c>
      <c r="B2311">
        <f>HYPERLINK("https://www.suredividend.com/sure-analysis-research-database/","Paramount Gold Nevada Corp")</f>
        <v>0</v>
      </c>
      <c r="C2311" t="s">
        <v>3181</v>
      </c>
      <c r="D2311">
        <v>0.295</v>
      </c>
      <c r="E2311">
        <v>0</v>
      </c>
      <c r="F2311" t="s">
        <v>3182</v>
      </c>
      <c r="G2311" t="s">
        <v>3182</v>
      </c>
      <c r="H2311">
        <v>0</v>
      </c>
      <c r="I2311">
        <v>19.315388</v>
      </c>
      <c r="J2311">
        <v>0</v>
      </c>
      <c r="K2311" t="s">
        <v>3182</v>
      </c>
      <c r="L2311">
        <v>0.477609020879613</v>
      </c>
      <c r="M2311">
        <v>0.425</v>
      </c>
      <c r="N2311">
        <v>0.24</v>
      </c>
    </row>
    <row r="2312" spans="1:14">
      <c r="A2312" s="1" t="s">
        <v>2324</v>
      </c>
      <c r="B2312">
        <f>HYPERLINK("https://www.suredividend.com/sure-analysis-research-database/","Pzena Investment Management Inc")</f>
        <v>0</v>
      </c>
      <c r="C2312" t="s">
        <v>3184</v>
      </c>
      <c r="D2312">
        <v>9.65</v>
      </c>
      <c r="E2312">
        <v>0.06070618030247801</v>
      </c>
      <c r="F2312" t="s">
        <v>3182</v>
      </c>
      <c r="G2312" t="s">
        <v>3182</v>
      </c>
      <c r="H2312">
        <v>0.585814639918918</v>
      </c>
      <c r="I2312">
        <v>161.506829</v>
      </c>
      <c r="J2312">
        <v>10.60660861299008</v>
      </c>
      <c r="K2312">
        <v>3.272707485580548</v>
      </c>
      <c r="L2312">
        <v>1.098589099132716</v>
      </c>
      <c r="M2312">
        <v>11.07</v>
      </c>
      <c r="N2312">
        <v>6.05</v>
      </c>
    </row>
    <row r="2313" spans="1:14">
      <c r="A2313" s="1" t="s">
        <v>2325</v>
      </c>
      <c r="B2313">
        <f>HYPERLINK("https://www.suredividend.com/sure-analysis-research-database/","Papa John`s International, Inc.")</f>
        <v>0</v>
      </c>
      <c r="C2313" t="s">
        <v>3186</v>
      </c>
      <c r="D2313">
        <v>62.96</v>
      </c>
      <c r="E2313">
        <v>0.026963035621725</v>
      </c>
      <c r="F2313">
        <v>0.09523809523809534</v>
      </c>
      <c r="G2313">
        <v>0.1537588961630676</v>
      </c>
      <c r="H2313">
        <v>1.697592722743842</v>
      </c>
      <c r="I2313">
        <v>2061.112832</v>
      </c>
      <c r="J2313">
        <v>28.69351864795635</v>
      </c>
      <c r="K2313">
        <v>0.8122453218870058</v>
      </c>
      <c r="L2313">
        <v>0.8079650504493611</v>
      </c>
      <c r="M2313">
        <v>96.17</v>
      </c>
      <c r="N2313">
        <v>60.66</v>
      </c>
    </row>
    <row r="2314" spans="1:14">
      <c r="A2314" s="1" t="s">
        <v>2326</v>
      </c>
      <c r="B2314">
        <f>HYPERLINK("https://www.suredividend.com/sure-analysis-research-database/","QAD, Inc.")</f>
        <v>0</v>
      </c>
      <c r="C2314" t="s">
        <v>3185</v>
      </c>
      <c r="D2314">
        <v>87.63</v>
      </c>
      <c r="E2314">
        <v>0</v>
      </c>
      <c r="F2314" t="s">
        <v>3182</v>
      </c>
      <c r="G2314" t="s">
        <v>3182</v>
      </c>
      <c r="H2314">
        <v>0.215999990701675</v>
      </c>
      <c r="I2314">
        <v>0</v>
      </c>
      <c r="J2314">
        <v>0</v>
      </c>
      <c r="K2314" t="s">
        <v>3182</v>
      </c>
    </row>
    <row r="2315" spans="1:14">
      <c r="A2315" s="1" t="s">
        <v>2327</v>
      </c>
      <c r="B2315">
        <f>HYPERLINK("https://www.suredividend.com/sure-analysis-research-database/","QAD, Inc.")</f>
        <v>0</v>
      </c>
      <c r="C2315" t="s">
        <v>3185</v>
      </c>
      <c r="D2315">
        <v>87.54000000000001</v>
      </c>
      <c r="E2315">
        <v>0</v>
      </c>
      <c r="F2315" t="s">
        <v>3182</v>
      </c>
      <c r="G2315" t="s">
        <v>3182</v>
      </c>
      <c r="H2315">
        <v>0.179999995976686</v>
      </c>
      <c r="I2315">
        <v>0</v>
      </c>
      <c r="J2315">
        <v>0</v>
      </c>
      <c r="K2315">
        <v>0.6923076768334077</v>
      </c>
    </row>
    <row r="2316" spans="1:14">
      <c r="A2316" s="1" t="s">
        <v>2328</v>
      </c>
      <c r="B2316">
        <f>HYPERLINK("https://www.suredividend.com/sure-analysis-QCOM/","Qualcomm, Inc.")</f>
        <v>0</v>
      </c>
      <c r="C2316" t="s">
        <v>3185</v>
      </c>
      <c r="D2316">
        <v>117.36</v>
      </c>
      <c r="E2316">
        <v>0.027266530334015</v>
      </c>
      <c r="F2316">
        <v>0.06666666666666665</v>
      </c>
      <c r="G2316">
        <v>0.05230021589107769</v>
      </c>
      <c r="H2316">
        <v>3.043014425767086</v>
      </c>
      <c r="I2316">
        <v>129096</v>
      </c>
      <c r="J2316">
        <v>14.98502611723738</v>
      </c>
      <c r="K2316">
        <v>0.3983003175087809</v>
      </c>
      <c r="L2316">
        <v>1.611835158048439</v>
      </c>
      <c r="M2316">
        <v>135.26</v>
      </c>
      <c r="N2316">
        <v>98.67</v>
      </c>
    </row>
    <row r="2317" spans="1:14">
      <c r="A2317" s="1" t="s">
        <v>2329</v>
      </c>
      <c r="B2317">
        <f>HYPERLINK("https://www.suredividend.com/sure-analysis-research-database/","QCR Holding, Inc.")</f>
        <v>0</v>
      </c>
      <c r="C2317" t="s">
        <v>3184</v>
      </c>
      <c r="D2317">
        <v>49.27</v>
      </c>
      <c r="E2317">
        <v>0.004853957652801001</v>
      </c>
      <c r="F2317">
        <v>0</v>
      </c>
      <c r="G2317">
        <v>0</v>
      </c>
      <c r="H2317">
        <v>0.239154493553506</v>
      </c>
      <c r="I2317">
        <v>823.573424</v>
      </c>
      <c r="J2317">
        <v>0</v>
      </c>
      <c r="K2317" t="s">
        <v>3182</v>
      </c>
      <c r="L2317">
        <v>1.033320086122146</v>
      </c>
      <c r="M2317">
        <v>54.19</v>
      </c>
      <c r="N2317">
        <v>34.96</v>
      </c>
    </row>
    <row r="2318" spans="1:14">
      <c r="A2318" s="1" t="s">
        <v>2330</v>
      </c>
      <c r="B2318">
        <f>HYPERLINK("https://www.suredividend.com/sure-analysis-research-database/","QuidelOrtho Corporation")</f>
        <v>0</v>
      </c>
      <c r="C2318" t="s">
        <v>3180</v>
      </c>
      <c r="D2318">
        <v>62.75</v>
      </c>
      <c r="E2318">
        <v>0</v>
      </c>
      <c r="F2318" t="s">
        <v>3182</v>
      </c>
      <c r="G2318" t="s">
        <v>3182</v>
      </c>
      <c r="H2318">
        <v>0</v>
      </c>
      <c r="I2318">
        <v>4191.111342</v>
      </c>
      <c r="J2318">
        <v>4.165791660537255</v>
      </c>
      <c r="K2318">
        <v>0</v>
      </c>
      <c r="L2318">
        <v>0.8533048880392951</v>
      </c>
      <c r="M2318">
        <v>102</v>
      </c>
      <c r="N2318">
        <v>59.29</v>
      </c>
    </row>
    <row r="2319" spans="1:14">
      <c r="A2319" s="1" t="s">
        <v>2331</v>
      </c>
      <c r="B2319">
        <f>HYPERLINK("https://www.suredividend.com/sure-analysis-research-database/","QEP Resources Inc")</f>
        <v>0</v>
      </c>
      <c r="C2319" t="s">
        <v>3189</v>
      </c>
      <c r="D2319">
        <v>4.08</v>
      </c>
      <c r="E2319">
        <v>0</v>
      </c>
      <c r="F2319" t="s">
        <v>3182</v>
      </c>
      <c r="G2319" t="s">
        <v>3182</v>
      </c>
      <c r="H2319">
        <v>0</v>
      </c>
      <c r="I2319">
        <v>989.66855</v>
      </c>
      <c r="J2319">
        <v>309.271421775</v>
      </c>
      <c r="K2319">
        <v>0</v>
      </c>
      <c r="L2319">
        <v>1.716235671530781</v>
      </c>
      <c r="M2319">
        <v>4.9</v>
      </c>
      <c r="N2319">
        <v>0.2625</v>
      </c>
    </row>
    <row r="2320" spans="1:14">
      <c r="A2320" s="1" t="s">
        <v>2332</v>
      </c>
      <c r="B2320">
        <f>HYPERLINK("https://www.suredividend.com/sure-analysis-research-database/","Qualys Inc")</f>
        <v>0</v>
      </c>
      <c r="C2320" t="s">
        <v>3185</v>
      </c>
      <c r="D2320">
        <v>152.72</v>
      </c>
      <c r="E2320">
        <v>0</v>
      </c>
      <c r="F2320" t="s">
        <v>3182</v>
      </c>
      <c r="G2320" t="s">
        <v>3182</v>
      </c>
      <c r="H2320">
        <v>0</v>
      </c>
      <c r="I2320">
        <v>5606.65664</v>
      </c>
      <c r="J2320">
        <v>46.53869862956845</v>
      </c>
      <c r="K2320">
        <v>0</v>
      </c>
      <c r="L2320">
        <v>1.257056926175764</v>
      </c>
      <c r="M2320">
        <v>165.03</v>
      </c>
      <c r="N2320">
        <v>101.1</v>
      </c>
    </row>
    <row r="2321" spans="1:14">
      <c r="A2321" s="1" t="s">
        <v>2333</v>
      </c>
      <c r="B2321">
        <f>HYPERLINK("https://www.suredividend.com/sure-analysis-research-database/","QuinStreet Inc")</f>
        <v>0</v>
      </c>
      <c r="C2321" t="s">
        <v>3191</v>
      </c>
      <c r="D2321">
        <v>11.18</v>
      </c>
      <c r="E2321">
        <v>0</v>
      </c>
      <c r="F2321" t="s">
        <v>3182</v>
      </c>
      <c r="G2321" t="s">
        <v>3182</v>
      </c>
      <c r="H2321">
        <v>0</v>
      </c>
      <c r="I2321">
        <v>611.889628</v>
      </c>
      <c r="J2321" t="s">
        <v>3182</v>
      </c>
      <c r="K2321">
        <v>-0</v>
      </c>
      <c r="L2321">
        <v>0.9353928428639861</v>
      </c>
      <c r="M2321">
        <v>18.18</v>
      </c>
      <c r="N2321">
        <v>6.79</v>
      </c>
    </row>
    <row r="2322" spans="1:14">
      <c r="A2322" s="1" t="s">
        <v>2334</v>
      </c>
      <c r="B2322">
        <f>HYPERLINK("https://www.suredividend.com/sure-analysis-research-database/","Quest Resource Holding Corp")</f>
        <v>0</v>
      </c>
      <c r="C2322" t="s">
        <v>3183</v>
      </c>
      <c r="D2322">
        <v>7.5</v>
      </c>
      <c r="E2322">
        <v>0</v>
      </c>
      <c r="F2322" t="s">
        <v>3182</v>
      </c>
      <c r="G2322" t="s">
        <v>3182</v>
      </c>
      <c r="H2322">
        <v>0</v>
      </c>
      <c r="I2322">
        <v>148.35</v>
      </c>
      <c r="J2322">
        <v>0</v>
      </c>
      <c r="K2322" t="s">
        <v>3182</v>
      </c>
      <c r="L2322">
        <v>0.6242566179337991</v>
      </c>
      <c r="M2322">
        <v>9.119999999999999</v>
      </c>
      <c r="N2322">
        <v>5</v>
      </c>
    </row>
    <row r="2323" spans="1:14">
      <c r="A2323" s="1" t="s">
        <v>2335</v>
      </c>
      <c r="B2323">
        <f>HYPERLINK("https://www.suredividend.com/sure-analysis-research-database/","Qurate Retail Inc")</f>
        <v>0</v>
      </c>
      <c r="C2323" t="s">
        <v>3186</v>
      </c>
      <c r="D2323">
        <v>0.4303</v>
      </c>
      <c r="E2323">
        <v>0</v>
      </c>
      <c r="F2323" t="s">
        <v>3182</v>
      </c>
      <c r="G2323" t="s">
        <v>3182</v>
      </c>
      <c r="H2323">
        <v>0</v>
      </c>
      <c r="I2323">
        <v>233.415923</v>
      </c>
      <c r="J2323">
        <v>0</v>
      </c>
      <c r="K2323" t="s">
        <v>3182</v>
      </c>
      <c r="L2323">
        <v>3.346649506583825</v>
      </c>
      <c r="M2323">
        <v>2.84</v>
      </c>
      <c r="N2323">
        <v>0.4</v>
      </c>
    </row>
    <row r="2324" spans="1:14">
      <c r="A2324" s="1" t="s">
        <v>2336</v>
      </c>
      <c r="B2324">
        <f>HYPERLINK("https://www.suredividend.com/sure-analysis-research-database/","Qorvo Inc")</f>
        <v>0</v>
      </c>
      <c r="C2324" t="s">
        <v>3185</v>
      </c>
      <c r="D2324">
        <v>85.48</v>
      </c>
      <c r="E2324">
        <v>0</v>
      </c>
      <c r="F2324" t="s">
        <v>3182</v>
      </c>
      <c r="G2324" t="s">
        <v>3182</v>
      </c>
      <c r="H2324">
        <v>0</v>
      </c>
      <c r="I2324">
        <v>8369.384839</v>
      </c>
      <c r="J2324" t="s">
        <v>3182</v>
      </c>
      <c r="K2324">
        <v>-0</v>
      </c>
      <c r="L2324">
        <v>1.444569328202148</v>
      </c>
      <c r="M2324">
        <v>114.59</v>
      </c>
      <c r="N2324">
        <v>80.62</v>
      </c>
    </row>
    <row r="2325" spans="1:14">
      <c r="A2325" s="1" t="s">
        <v>2337</v>
      </c>
      <c r="B2325">
        <f>HYPERLINK("https://www.suredividend.com/sure-analysis-research-database/","Quanterix Corp")</f>
        <v>0</v>
      </c>
      <c r="C2325" t="s">
        <v>3180</v>
      </c>
      <c r="D2325">
        <v>22.29</v>
      </c>
      <c r="E2325">
        <v>0</v>
      </c>
      <c r="F2325" t="s">
        <v>3182</v>
      </c>
      <c r="G2325" t="s">
        <v>3182</v>
      </c>
      <c r="H2325">
        <v>0</v>
      </c>
      <c r="I2325">
        <v>837.047142</v>
      </c>
      <c r="J2325" t="s">
        <v>3182</v>
      </c>
      <c r="K2325">
        <v>-0</v>
      </c>
      <c r="L2325">
        <v>1.559122846254615</v>
      </c>
      <c r="M2325">
        <v>28.77</v>
      </c>
      <c r="N2325">
        <v>8.789999999999999</v>
      </c>
    </row>
    <row r="2326" spans="1:14">
      <c r="A2326" s="1" t="s">
        <v>2338</v>
      </c>
      <c r="B2326">
        <f>HYPERLINK("https://www.suredividend.com/sure-analysis-research-database/","Qts Realty Trust Inc")</f>
        <v>0</v>
      </c>
      <c r="C2326" t="s">
        <v>3187</v>
      </c>
      <c r="D2326">
        <v>77.95</v>
      </c>
      <c r="E2326">
        <v>0.024627146197</v>
      </c>
      <c r="F2326" t="s">
        <v>3182</v>
      </c>
      <c r="G2326" t="s">
        <v>3182</v>
      </c>
      <c r="H2326">
        <v>1.919686046056193</v>
      </c>
      <c r="I2326">
        <v>6000.024381</v>
      </c>
      <c r="J2326" t="s">
        <v>3182</v>
      </c>
      <c r="K2326" t="s">
        <v>3182</v>
      </c>
      <c r="L2326">
        <v>0.511585848661215</v>
      </c>
      <c r="M2326">
        <v>78.15000000000001</v>
      </c>
      <c r="N2326">
        <v>55.11</v>
      </c>
    </row>
    <row r="2327" spans="1:14">
      <c r="A2327" s="1" t="s">
        <v>2339</v>
      </c>
      <c r="B2327">
        <f>HYPERLINK("https://www.suredividend.com/sure-analysis-research-database/","Q2 Holdings Inc")</f>
        <v>0</v>
      </c>
      <c r="C2327" t="s">
        <v>3185</v>
      </c>
      <c r="D2327">
        <v>33.01</v>
      </c>
      <c r="E2327">
        <v>0</v>
      </c>
      <c r="F2327" t="s">
        <v>3182</v>
      </c>
      <c r="G2327" t="s">
        <v>3182</v>
      </c>
      <c r="H2327">
        <v>0</v>
      </c>
      <c r="I2327">
        <v>1929.320021</v>
      </c>
      <c r="J2327" t="s">
        <v>3182</v>
      </c>
      <c r="K2327">
        <v>-0</v>
      </c>
      <c r="L2327">
        <v>2.167717840172221</v>
      </c>
      <c r="M2327">
        <v>36.52</v>
      </c>
      <c r="N2327">
        <v>18.91</v>
      </c>
    </row>
    <row r="2328" spans="1:14">
      <c r="A2328" s="1" t="s">
        <v>2340</v>
      </c>
      <c r="B2328">
        <f>HYPERLINK("https://www.suredividend.com/sure-analysis-research-database/","Quad/Graphics Inc")</f>
        <v>0</v>
      </c>
      <c r="C2328" t="s">
        <v>3183</v>
      </c>
      <c r="D2328">
        <v>4.52</v>
      </c>
      <c r="E2328">
        <v>0</v>
      </c>
      <c r="F2328" t="s">
        <v>3182</v>
      </c>
      <c r="G2328" t="s">
        <v>3182</v>
      </c>
      <c r="H2328">
        <v>0</v>
      </c>
      <c r="I2328">
        <v>171.565861</v>
      </c>
      <c r="J2328">
        <v>0</v>
      </c>
      <c r="K2328" t="s">
        <v>3182</v>
      </c>
      <c r="L2328">
        <v>1.287003794120876</v>
      </c>
      <c r="M2328">
        <v>6.41</v>
      </c>
      <c r="N2328">
        <v>2.68</v>
      </c>
    </row>
    <row r="2329" spans="1:14">
      <c r="A2329" s="1" t="s">
        <v>2341</v>
      </c>
      <c r="B2329">
        <f>HYPERLINK("https://www.suredividend.com/sure-analysis-research-database/","Quicklogic Corp")</f>
        <v>0</v>
      </c>
      <c r="C2329" t="s">
        <v>3185</v>
      </c>
      <c r="D2329">
        <v>9.25</v>
      </c>
      <c r="E2329">
        <v>0</v>
      </c>
      <c r="F2329" t="s">
        <v>3182</v>
      </c>
      <c r="G2329" t="s">
        <v>3182</v>
      </c>
      <c r="H2329">
        <v>0</v>
      </c>
      <c r="I2329">
        <v>128.192531</v>
      </c>
      <c r="J2329" t="s">
        <v>3182</v>
      </c>
      <c r="K2329">
        <v>-0</v>
      </c>
      <c r="L2329">
        <v>0.7853850805920281</v>
      </c>
      <c r="M2329">
        <v>10.1</v>
      </c>
      <c r="N2329">
        <v>4.92</v>
      </c>
    </row>
    <row r="2330" spans="1:14">
      <c r="A2330" s="1" t="s">
        <v>2342</v>
      </c>
      <c r="B2330">
        <f>HYPERLINK("https://www.suredividend.com/sure-analysis-research-database/","Qumu Corp")</f>
        <v>0</v>
      </c>
      <c r="C2330" t="s">
        <v>3185</v>
      </c>
      <c r="D2330">
        <v>0.8988</v>
      </c>
      <c r="E2330">
        <v>0</v>
      </c>
      <c r="F2330" t="s">
        <v>3182</v>
      </c>
      <c r="G2330" t="s">
        <v>3182</v>
      </c>
      <c r="H2330">
        <v>0</v>
      </c>
      <c r="I2330">
        <v>0</v>
      </c>
      <c r="J2330">
        <v>0</v>
      </c>
      <c r="K2330">
        <v>-0</v>
      </c>
    </row>
    <row r="2331" spans="1:14">
      <c r="A2331" s="1" t="s">
        <v>2343</v>
      </c>
      <c r="B2331">
        <f>HYPERLINK("https://www.suredividend.com/sure-analysis-research-database/","Quotient Technology Inc")</f>
        <v>0</v>
      </c>
      <c r="C2331" t="s">
        <v>3191</v>
      </c>
      <c r="D2331">
        <v>3.99</v>
      </c>
      <c r="E2331">
        <v>0</v>
      </c>
      <c r="F2331" t="s">
        <v>3182</v>
      </c>
      <c r="G2331" t="s">
        <v>3182</v>
      </c>
      <c r="H2331">
        <v>0</v>
      </c>
      <c r="I2331">
        <v>397.923394</v>
      </c>
      <c r="J2331" t="s">
        <v>3182</v>
      </c>
      <c r="K2331">
        <v>-0</v>
      </c>
      <c r="L2331">
        <v>0.831249451515452</v>
      </c>
      <c r="M2331">
        <v>4.25</v>
      </c>
      <c r="N2331">
        <v>1.71</v>
      </c>
    </row>
    <row r="2332" spans="1:14">
      <c r="A2332" s="1" t="s">
        <v>2344</v>
      </c>
      <c r="B2332">
        <f>HYPERLINK("https://www.suredividend.com/sure-analysis-R/","Ryder System, Inc.")</f>
        <v>0</v>
      </c>
      <c r="C2332" t="s">
        <v>3183</v>
      </c>
      <c r="D2332">
        <v>98</v>
      </c>
      <c r="E2332">
        <v>0.02897959183673469</v>
      </c>
      <c r="F2332" t="s">
        <v>3182</v>
      </c>
      <c r="G2332" t="s">
        <v>3182</v>
      </c>
      <c r="H2332">
        <v>2.543099882555132</v>
      </c>
      <c r="I2332">
        <v>4343.579814</v>
      </c>
      <c r="J2332">
        <v>8.949874236333329</v>
      </c>
      <c r="K2332">
        <v>0.2473832570578922</v>
      </c>
      <c r="L2332">
        <v>0.980567484015278</v>
      </c>
      <c r="M2332">
        <v>107.9</v>
      </c>
      <c r="N2332">
        <v>75.01000000000001</v>
      </c>
    </row>
    <row r="2333" spans="1:14">
      <c r="A2333" s="1" t="s">
        <v>2345</v>
      </c>
      <c r="B2333">
        <f>HYPERLINK("https://www.suredividend.com/sure-analysis-research-database/","Rite Aid Corp.")</f>
        <v>0</v>
      </c>
      <c r="C2333" t="s">
        <v>3180</v>
      </c>
      <c r="D2333">
        <v>0.6483</v>
      </c>
      <c r="E2333">
        <v>0</v>
      </c>
      <c r="F2333" t="s">
        <v>3182</v>
      </c>
      <c r="G2333" t="s">
        <v>3182</v>
      </c>
      <c r="H2333">
        <v>0</v>
      </c>
      <c r="I2333">
        <v>36.756232</v>
      </c>
      <c r="J2333" t="s">
        <v>3182</v>
      </c>
      <c r="K2333">
        <v>-0</v>
      </c>
      <c r="L2333">
        <v>1.050322092675413</v>
      </c>
      <c r="M2333">
        <v>7.37</v>
      </c>
      <c r="N2333">
        <v>0.3779</v>
      </c>
    </row>
    <row r="2334" spans="1:14">
      <c r="A2334" s="1" t="s">
        <v>2346</v>
      </c>
      <c r="B2334">
        <f>HYPERLINK("https://www.suredividend.com/sure-analysis-research-database/","FreightCar America Inc")</f>
        <v>0</v>
      </c>
      <c r="C2334" t="s">
        <v>3183</v>
      </c>
      <c r="D2334">
        <v>2.67</v>
      </c>
      <c r="E2334">
        <v>0</v>
      </c>
      <c r="F2334" t="s">
        <v>3182</v>
      </c>
      <c r="G2334" t="s">
        <v>3182</v>
      </c>
      <c r="H2334">
        <v>0</v>
      </c>
      <c r="I2334">
        <v>47.800102</v>
      </c>
      <c r="J2334" t="s">
        <v>3182</v>
      </c>
      <c r="K2334">
        <v>-0</v>
      </c>
      <c r="L2334">
        <v>0.388387237280539</v>
      </c>
      <c r="M2334">
        <v>4.57</v>
      </c>
      <c r="N2334">
        <v>2.6</v>
      </c>
    </row>
    <row r="2335" spans="1:14">
      <c r="A2335" s="1" t="s">
        <v>2347</v>
      </c>
      <c r="B2335">
        <f>HYPERLINK("https://www.suredividend.com/sure-analysis-research-database/","LiveRamp Holdings Inc")</f>
        <v>0</v>
      </c>
      <c r="C2335" t="s">
        <v>3185</v>
      </c>
      <c r="D2335">
        <v>28.76</v>
      </c>
      <c r="E2335">
        <v>0</v>
      </c>
      <c r="F2335" t="s">
        <v>3182</v>
      </c>
      <c r="G2335" t="s">
        <v>3182</v>
      </c>
      <c r="H2335">
        <v>0</v>
      </c>
      <c r="I2335">
        <v>1904.19681</v>
      </c>
      <c r="J2335" t="s">
        <v>3182</v>
      </c>
      <c r="K2335">
        <v>-0</v>
      </c>
      <c r="L2335">
        <v>1.181800651833777</v>
      </c>
      <c r="M2335">
        <v>32.97</v>
      </c>
      <c r="N2335">
        <v>15.37</v>
      </c>
    </row>
    <row r="2336" spans="1:14">
      <c r="A2336" s="1" t="s">
        <v>2348</v>
      </c>
      <c r="B2336">
        <f>HYPERLINK("https://www.suredividend.com/sure-analysis-research-database/","Ultragenyx Pharmaceutical Inc.")</f>
        <v>0</v>
      </c>
      <c r="C2336" t="s">
        <v>3180</v>
      </c>
      <c r="D2336">
        <v>36.6</v>
      </c>
      <c r="E2336">
        <v>0</v>
      </c>
      <c r="F2336" t="s">
        <v>3182</v>
      </c>
      <c r="G2336" t="s">
        <v>3182</v>
      </c>
      <c r="H2336">
        <v>0</v>
      </c>
      <c r="I2336">
        <v>2616.482687</v>
      </c>
      <c r="J2336" t="s">
        <v>3182</v>
      </c>
      <c r="K2336">
        <v>-0</v>
      </c>
      <c r="L2336">
        <v>1.136556430983651</v>
      </c>
      <c r="M2336">
        <v>54.98</v>
      </c>
      <c r="N2336">
        <v>31.52</v>
      </c>
    </row>
    <row r="2337" spans="1:14">
      <c r="A2337" s="1" t="s">
        <v>2349</v>
      </c>
      <c r="B2337">
        <f>HYPERLINK("https://www.suredividend.com/sure-analysis-research-database/","Rave Restaurant Group Inc")</f>
        <v>0</v>
      </c>
      <c r="C2337" t="s">
        <v>3186</v>
      </c>
      <c r="D2337">
        <v>2.2817</v>
      </c>
      <c r="E2337">
        <v>0</v>
      </c>
      <c r="F2337" t="s">
        <v>3182</v>
      </c>
      <c r="G2337" t="s">
        <v>3182</v>
      </c>
      <c r="H2337">
        <v>0</v>
      </c>
      <c r="I2337">
        <v>32.296215</v>
      </c>
      <c r="J2337">
        <v>0</v>
      </c>
      <c r="K2337" t="s">
        <v>3182</v>
      </c>
      <c r="L2337">
        <v>0.667258493373558</v>
      </c>
      <c r="M2337">
        <v>2.4</v>
      </c>
      <c r="N2337">
        <v>1.2</v>
      </c>
    </row>
    <row r="2338" spans="1:14">
      <c r="A2338" s="1" t="s">
        <v>2350</v>
      </c>
      <c r="B2338">
        <f>HYPERLINK("https://www.suredividend.com/sure-analysis-research-database/","Raven Industries, Inc.")</f>
        <v>0</v>
      </c>
      <c r="C2338" t="s">
        <v>3183</v>
      </c>
      <c r="D2338">
        <v>58.08</v>
      </c>
      <c r="E2338">
        <v>0</v>
      </c>
      <c r="F2338" t="s">
        <v>3182</v>
      </c>
      <c r="G2338" t="s">
        <v>3182</v>
      </c>
      <c r="H2338">
        <v>0</v>
      </c>
      <c r="I2338">
        <v>0</v>
      </c>
      <c r="J2338">
        <v>0</v>
      </c>
      <c r="K2338">
        <v>0</v>
      </c>
    </row>
    <row r="2339" spans="1:14">
      <c r="A2339" s="1" t="s">
        <v>2351</v>
      </c>
      <c r="B2339">
        <f>HYPERLINK("https://www.suredividend.com/sure-analysis-research-database/","RBB Bancorp")</f>
        <v>0</v>
      </c>
      <c r="C2339" t="s">
        <v>3184</v>
      </c>
      <c r="D2339">
        <v>12.39</v>
      </c>
      <c r="E2339">
        <v>0.049748414399912</v>
      </c>
      <c r="F2339">
        <v>0.1428571428571428</v>
      </c>
      <c r="G2339">
        <v>0.09856054330611763</v>
      </c>
      <c r="H2339">
        <v>0.616382854414911</v>
      </c>
      <c r="I2339">
        <v>235.351804</v>
      </c>
      <c r="J2339">
        <v>4.191259668584047</v>
      </c>
      <c r="K2339">
        <v>0.2089433404796308</v>
      </c>
      <c r="L2339">
        <v>1.328013415411177</v>
      </c>
      <c r="M2339">
        <v>21.43</v>
      </c>
      <c r="N2339">
        <v>8.210000000000001</v>
      </c>
    </row>
    <row r="2340" spans="1:14">
      <c r="A2340" s="1" t="s">
        <v>2352</v>
      </c>
      <c r="B2340">
        <f>HYPERLINK("https://www.suredividend.com/sure-analysis-research-database/","Ribbon Communications Inc")</f>
        <v>0</v>
      </c>
      <c r="C2340" t="s">
        <v>3191</v>
      </c>
      <c r="D2340">
        <v>1.93</v>
      </c>
      <c r="E2340">
        <v>0</v>
      </c>
      <c r="F2340" t="s">
        <v>3182</v>
      </c>
      <c r="G2340" t="s">
        <v>3182</v>
      </c>
      <c r="H2340">
        <v>0</v>
      </c>
      <c r="I2340">
        <v>331.440361</v>
      </c>
      <c r="J2340">
        <v>0</v>
      </c>
      <c r="K2340" t="s">
        <v>3182</v>
      </c>
      <c r="L2340">
        <v>1.361078359914027</v>
      </c>
      <c r="M2340">
        <v>4.84</v>
      </c>
      <c r="N2340">
        <v>1.78</v>
      </c>
    </row>
    <row r="2341" spans="1:14">
      <c r="A2341" s="1" t="s">
        <v>2353</v>
      </c>
      <c r="B2341">
        <f>HYPERLINK("https://www.suredividend.com/sure-analysis-research-database/","RBC Bearings Inc.")</f>
        <v>0</v>
      </c>
      <c r="C2341" t="s">
        <v>3183</v>
      </c>
      <c r="D2341">
        <v>221.12</v>
      </c>
      <c r="E2341">
        <v>0</v>
      </c>
      <c r="F2341" t="s">
        <v>3182</v>
      </c>
      <c r="G2341" t="s">
        <v>3182</v>
      </c>
      <c r="H2341">
        <v>0</v>
      </c>
      <c r="I2341">
        <v>6369.429042</v>
      </c>
      <c r="J2341">
        <v>40.722125166867</v>
      </c>
      <c r="K2341">
        <v>0</v>
      </c>
      <c r="L2341">
        <v>1.01176563618438</v>
      </c>
      <c r="M2341">
        <v>254.5</v>
      </c>
      <c r="N2341">
        <v>195.18</v>
      </c>
    </row>
    <row r="2342" spans="1:14">
      <c r="A2342" s="1" t="s">
        <v>2354</v>
      </c>
      <c r="B2342">
        <f>HYPERLINK("https://www.suredividend.com/sure-analysis-RBCAA/","Republic Bancorp, Inc. (KY)")</f>
        <v>0</v>
      </c>
      <c r="C2342" t="s">
        <v>3184</v>
      </c>
      <c r="D2342">
        <v>46.22</v>
      </c>
      <c r="E2342">
        <v>0.03245348334054522</v>
      </c>
      <c r="F2342">
        <v>0.09677419354838701</v>
      </c>
      <c r="G2342">
        <v>0.09096607850144967</v>
      </c>
      <c r="H2342">
        <v>1.430167136407762</v>
      </c>
      <c r="I2342">
        <v>803.592799</v>
      </c>
      <c r="J2342">
        <v>9.088051734729651</v>
      </c>
      <c r="K2342">
        <v>0.3228368253742127</v>
      </c>
      <c r="L2342">
        <v>0.690166410605882</v>
      </c>
      <c r="M2342">
        <v>47.99</v>
      </c>
      <c r="N2342">
        <v>36.01</v>
      </c>
    </row>
    <row r="2343" spans="1:14">
      <c r="A2343" s="1" t="s">
        <v>2355</v>
      </c>
      <c r="B2343">
        <f>HYPERLINK("https://www.suredividend.com/sure-analysis-research-database/","Rubicon Technology Inc")</f>
        <v>0</v>
      </c>
      <c r="C2343" t="s">
        <v>3185</v>
      </c>
      <c r="D2343">
        <v>0.5750000000000001</v>
      </c>
      <c r="E2343">
        <v>0</v>
      </c>
      <c r="F2343" t="s">
        <v>3182</v>
      </c>
      <c r="G2343" t="s">
        <v>3182</v>
      </c>
      <c r="H2343">
        <v>0</v>
      </c>
      <c r="I2343">
        <v>1.367244</v>
      </c>
      <c r="J2343">
        <v>1.462292647058823</v>
      </c>
      <c r="K2343">
        <v>0</v>
      </c>
      <c r="M2343">
        <v>1.39</v>
      </c>
      <c r="N2343">
        <v>0.4312</v>
      </c>
    </row>
    <row r="2344" spans="1:14">
      <c r="A2344" s="1" t="s">
        <v>2356</v>
      </c>
      <c r="B2344">
        <f>HYPERLINK("https://www.suredividend.com/sure-analysis-research-database/","Reliant Bancorp Inc")</f>
        <v>0</v>
      </c>
      <c r="C2344" t="s">
        <v>3184</v>
      </c>
      <c r="D2344">
        <v>35.5</v>
      </c>
      <c r="E2344">
        <v>0</v>
      </c>
      <c r="F2344" t="s">
        <v>3182</v>
      </c>
      <c r="G2344" t="s">
        <v>3182</v>
      </c>
      <c r="H2344">
        <v>0.4799999892711641</v>
      </c>
      <c r="I2344">
        <v>0</v>
      </c>
      <c r="J2344">
        <v>0</v>
      </c>
      <c r="K2344">
        <v>0.1589403937983987</v>
      </c>
    </row>
    <row r="2345" spans="1:14">
      <c r="A2345" s="1" t="s">
        <v>2357</v>
      </c>
      <c r="B2345">
        <f>HYPERLINK("https://www.suredividend.com/sure-analysis-research-database/","Ready Capital Corp")</f>
        <v>0</v>
      </c>
      <c r="C2345" t="s">
        <v>3187</v>
      </c>
      <c r="D2345">
        <v>9.94</v>
      </c>
      <c r="E2345">
        <v>0.159092855198849</v>
      </c>
      <c r="F2345">
        <v>-0.1000000000000001</v>
      </c>
      <c r="G2345">
        <v>-0.0208516376390232</v>
      </c>
      <c r="H2345">
        <v>1.58138298067656</v>
      </c>
      <c r="I2345">
        <v>1709.399831</v>
      </c>
      <c r="J2345">
        <v>4.866923568622092</v>
      </c>
      <c r="K2345">
        <v>0.5750483566096581</v>
      </c>
      <c r="L2345">
        <v>1.266328932348449</v>
      </c>
      <c r="M2345">
        <v>12.05</v>
      </c>
      <c r="N2345">
        <v>8.359999999999999</v>
      </c>
    </row>
    <row r="2346" spans="1:14">
      <c r="A2346" s="1" t="s">
        <v>2358</v>
      </c>
      <c r="B2346">
        <f>HYPERLINK("https://www.suredividend.com/sure-analysis-research-database/","Rocket Pharmaceuticals Inc")</f>
        <v>0</v>
      </c>
      <c r="C2346" t="s">
        <v>3180</v>
      </c>
      <c r="D2346">
        <v>19.21</v>
      </c>
      <c r="E2346">
        <v>0</v>
      </c>
      <c r="F2346" t="s">
        <v>3182</v>
      </c>
      <c r="G2346" t="s">
        <v>3182</v>
      </c>
      <c r="H2346">
        <v>0</v>
      </c>
      <c r="I2346">
        <v>1546.895451</v>
      </c>
      <c r="J2346">
        <v>0</v>
      </c>
      <c r="K2346" t="s">
        <v>3182</v>
      </c>
      <c r="L2346">
        <v>1.831583794679262</v>
      </c>
      <c r="M2346">
        <v>24.65</v>
      </c>
      <c r="N2346">
        <v>14.86</v>
      </c>
    </row>
    <row r="2347" spans="1:14">
      <c r="A2347" s="1" t="s">
        <v>2359</v>
      </c>
      <c r="B2347">
        <f>HYPERLINK("https://www.suredividend.com/sure-analysis-research-database/","Rocky Brands, Inc")</f>
        <v>0</v>
      </c>
      <c r="C2347" t="s">
        <v>3186</v>
      </c>
      <c r="D2347">
        <v>18.11</v>
      </c>
      <c r="E2347">
        <v>0.03348899564360201</v>
      </c>
      <c r="F2347">
        <v>0</v>
      </c>
      <c r="G2347">
        <v>0.05251935381426631</v>
      </c>
      <c r="H2347">
        <v>0.6064857111056331</v>
      </c>
      <c r="I2347">
        <v>133.4019</v>
      </c>
      <c r="J2347">
        <v>0</v>
      </c>
      <c r="K2347" t="s">
        <v>3182</v>
      </c>
      <c r="L2347">
        <v>1.722566361286453</v>
      </c>
      <c r="M2347">
        <v>31.84</v>
      </c>
      <c r="N2347">
        <v>11.78</v>
      </c>
    </row>
    <row r="2348" spans="1:14">
      <c r="A2348" s="1" t="s">
        <v>2360</v>
      </c>
      <c r="B2348">
        <f>HYPERLINK("https://www.suredividend.com/sure-analysis-research-database/","Royal Caribbean Group")</f>
        <v>0</v>
      </c>
      <c r="C2348" t="s">
        <v>3186</v>
      </c>
      <c r="D2348">
        <v>88.31999999999999</v>
      </c>
      <c r="E2348">
        <v>0</v>
      </c>
      <c r="F2348" t="s">
        <v>3182</v>
      </c>
      <c r="G2348" t="s">
        <v>3182</v>
      </c>
      <c r="H2348">
        <v>0</v>
      </c>
      <c r="I2348">
        <v>22630.684385</v>
      </c>
      <c r="J2348">
        <v>24.60603203067017</v>
      </c>
      <c r="K2348">
        <v>0</v>
      </c>
      <c r="L2348">
        <v>1.492013422824524</v>
      </c>
      <c r="M2348">
        <v>112.95</v>
      </c>
      <c r="N2348">
        <v>47.91</v>
      </c>
    </row>
    <row r="2349" spans="1:14">
      <c r="A2349" s="1" t="s">
        <v>2361</v>
      </c>
      <c r="B2349">
        <f>HYPERLINK("https://www.suredividend.com/sure-analysis-research-database/","R1 RCM Inc.")</f>
        <v>0</v>
      </c>
      <c r="C2349" t="s">
        <v>3180</v>
      </c>
      <c r="D2349">
        <v>10.86</v>
      </c>
      <c r="E2349">
        <v>0</v>
      </c>
      <c r="F2349" t="s">
        <v>3182</v>
      </c>
      <c r="G2349" t="s">
        <v>3182</v>
      </c>
      <c r="H2349">
        <v>0</v>
      </c>
      <c r="I2349">
        <v>3037.542</v>
      </c>
      <c r="J2349" t="s">
        <v>3182</v>
      </c>
      <c r="K2349">
        <v>-0</v>
      </c>
      <c r="L2349">
        <v>1.255792112517929</v>
      </c>
      <c r="M2349">
        <v>18.7</v>
      </c>
      <c r="N2349">
        <v>6.71</v>
      </c>
    </row>
    <row r="2350" spans="1:14">
      <c r="A2350" s="1" t="s">
        <v>2362</v>
      </c>
      <c r="B2350">
        <f>HYPERLINK("https://www.suredividend.com/sure-analysis-research-database/","RCM Technologies, Inc.")</f>
        <v>0</v>
      </c>
      <c r="C2350" t="s">
        <v>3183</v>
      </c>
      <c r="D2350">
        <v>20.14</v>
      </c>
      <c r="E2350">
        <v>0</v>
      </c>
      <c r="F2350" t="s">
        <v>3182</v>
      </c>
      <c r="G2350" t="s">
        <v>3182</v>
      </c>
      <c r="H2350">
        <v>0</v>
      </c>
      <c r="I2350">
        <v>160.630578</v>
      </c>
      <c r="J2350">
        <v>0</v>
      </c>
      <c r="K2350" t="s">
        <v>3182</v>
      </c>
      <c r="L2350">
        <v>0.508294581890798</v>
      </c>
      <c r="M2350">
        <v>21.55</v>
      </c>
      <c r="N2350">
        <v>10.11</v>
      </c>
    </row>
    <row r="2351" spans="1:14">
      <c r="A2351" s="1" t="s">
        <v>2363</v>
      </c>
      <c r="B2351">
        <f>HYPERLINK("https://www.suredividend.com/sure-analysis-research-database/","Arcus Biosciences Inc")</f>
        <v>0</v>
      </c>
      <c r="C2351" t="s">
        <v>3180</v>
      </c>
      <c r="D2351">
        <v>15.75</v>
      </c>
      <c r="E2351">
        <v>0</v>
      </c>
      <c r="F2351" t="s">
        <v>3182</v>
      </c>
      <c r="G2351" t="s">
        <v>3182</v>
      </c>
      <c r="H2351">
        <v>0</v>
      </c>
      <c r="I2351">
        <v>1173.432708</v>
      </c>
      <c r="J2351" t="s">
        <v>3182</v>
      </c>
      <c r="K2351">
        <v>-0</v>
      </c>
      <c r="L2351">
        <v>1.547738975645382</v>
      </c>
      <c r="M2351">
        <v>36.13</v>
      </c>
      <c r="N2351">
        <v>14.33</v>
      </c>
    </row>
    <row r="2352" spans="1:14">
      <c r="A2352" s="1" t="s">
        <v>2364</v>
      </c>
      <c r="B2352">
        <f>HYPERLINK("https://www.suredividend.com/sure-analysis-research-database/","Redfin Corp")</f>
        <v>0</v>
      </c>
      <c r="C2352" t="s">
        <v>3187</v>
      </c>
      <c r="D2352">
        <v>5.07</v>
      </c>
      <c r="E2352">
        <v>0</v>
      </c>
      <c r="F2352" t="s">
        <v>3182</v>
      </c>
      <c r="G2352" t="s">
        <v>3182</v>
      </c>
      <c r="H2352">
        <v>0</v>
      </c>
      <c r="I2352">
        <v>577.8542179999999</v>
      </c>
      <c r="J2352" t="s">
        <v>3182</v>
      </c>
      <c r="K2352">
        <v>-0</v>
      </c>
      <c r="L2352">
        <v>3.69382050147525</v>
      </c>
      <c r="M2352">
        <v>17.68</v>
      </c>
      <c r="N2352">
        <v>3.08</v>
      </c>
    </row>
    <row r="2353" spans="1:14">
      <c r="A2353" s="1" t="s">
        <v>2365</v>
      </c>
      <c r="B2353">
        <f>HYPERLINK("https://www.suredividend.com/sure-analysis-research-database/","Reading International Inc")</f>
        <v>0</v>
      </c>
      <c r="C2353" t="s">
        <v>3191</v>
      </c>
      <c r="D2353">
        <v>1.89</v>
      </c>
      <c r="E2353">
        <v>0</v>
      </c>
      <c r="F2353" t="s">
        <v>3182</v>
      </c>
      <c r="G2353" t="s">
        <v>3182</v>
      </c>
      <c r="H2353">
        <v>0</v>
      </c>
      <c r="I2353">
        <v>59.961443</v>
      </c>
      <c r="J2353" t="s">
        <v>3182</v>
      </c>
      <c r="K2353">
        <v>-0</v>
      </c>
      <c r="L2353">
        <v>0.433456510002602</v>
      </c>
      <c r="M2353">
        <v>3.85</v>
      </c>
      <c r="N2353">
        <v>1.8</v>
      </c>
    </row>
    <row r="2354" spans="1:14">
      <c r="A2354" s="1" t="s">
        <v>2366</v>
      </c>
      <c r="B2354">
        <f>HYPERLINK("https://www.suredividend.com/sure-analysis-research-database/","Radian Group, Inc.")</f>
        <v>0</v>
      </c>
      <c r="C2354" t="s">
        <v>3184</v>
      </c>
      <c r="D2354">
        <v>26.51</v>
      </c>
      <c r="E2354">
        <v>0.032580215505236</v>
      </c>
      <c r="F2354">
        <v>0.125</v>
      </c>
      <c r="G2354">
        <v>1.459509485849364</v>
      </c>
      <c r="H2354">
        <v>0.863701513043825</v>
      </c>
      <c r="I2354">
        <v>4173.359628</v>
      </c>
      <c r="J2354">
        <v>6.280885701839405</v>
      </c>
      <c r="K2354">
        <v>0.2111739640693949</v>
      </c>
      <c r="L2354">
        <v>0.8437154693601771</v>
      </c>
      <c r="M2354">
        <v>28.02</v>
      </c>
      <c r="N2354">
        <v>17.35</v>
      </c>
    </row>
    <row r="2355" spans="1:14">
      <c r="A2355" s="1" t="s">
        <v>2367</v>
      </c>
      <c r="B2355">
        <f>HYPERLINK("https://www.suredividend.com/sure-analysis-research-database/","Radnet Inc")</f>
        <v>0</v>
      </c>
      <c r="C2355" t="s">
        <v>3180</v>
      </c>
      <c r="D2355">
        <v>27.34</v>
      </c>
      <c r="E2355">
        <v>0</v>
      </c>
      <c r="F2355" t="s">
        <v>3182</v>
      </c>
      <c r="G2355" t="s">
        <v>3182</v>
      </c>
      <c r="H2355">
        <v>0</v>
      </c>
      <c r="I2355">
        <v>1852.903622</v>
      </c>
      <c r="J2355" t="s">
        <v>3182</v>
      </c>
      <c r="K2355">
        <v>-0</v>
      </c>
      <c r="L2355">
        <v>1.182647509422438</v>
      </c>
      <c r="M2355">
        <v>35.18</v>
      </c>
      <c r="N2355">
        <v>12.03</v>
      </c>
    </row>
    <row r="2356" spans="1:14">
      <c r="A2356" s="1" t="s">
        <v>2368</v>
      </c>
      <c r="B2356">
        <f>HYPERLINK("https://www.suredividend.com/sure-analysis-research-database/","Schnitzer Steel Industries Inc.")</f>
        <v>0</v>
      </c>
      <c r="C2356" t="s">
        <v>3180</v>
      </c>
      <c r="D2356">
        <v>24.06</v>
      </c>
      <c r="E2356">
        <v>0.030660666448531</v>
      </c>
      <c r="F2356" t="s">
        <v>3182</v>
      </c>
      <c r="G2356" t="s">
        <v>3182</v>
      </c>
      <c r="H2356">
        <v>0.737695634751656</v>
      </c>
      <c r="I2356">
        <v>657.132326</v>
      </c>
      <c r="J2356" t="s">
        <v>3182</v>
      </c>
      <c r="K2356" t="s">
        <v>3182</v>
      </c>
      <c r="L2356">
        <v>1.323611086682368</v>
      </c>
      <c r="M2356">
        <v>36.64</v>
      </c>
      <c r="N2356">
        <v>22.34</v>
      </c>
    </row>
    <row r="2357" spans="1:14">
      <c r="A2357" s="1" t="s">
        <v>2369</v>
      </c>
      <c r="B2357">
        <f>HYPERLINK("https://www.suredividend.com/sure-analysis-research-database/","Red Violet Inc")</f>
        <v>0</v>
      </c>
      <c r="C2357" t="s">
        <v>3185</v>
      </c>
      <c r="D2357">
        <v>19.05</v>
      </c>
      <c r="E2357">
        <v>0</v>
      </c>
      <c r="F2357" t="s">
        <v>3182</v>
      </c>
      <c r="G2357" t="s">
        <v>3182</v>
      </c>
      <c r="H2357">
        <v>0</v>
      </c>
      <c r="I2357">
        <v>265.052004</v>
      </c>
      <c r="J2357">
        <v>0</v>
      </c>
      <c r="K2357" t="s">
        <v>3182</v>
      </c>
      <c r="L2357">
        <v>1.03976337620887</v>
      </c>
      <c r="M2357">
        <v>27.61</v>
      </c>
      <c r="N2357">
        <v>14.89</v>
      </c>
    </row>
    <row r="2358" spans="1:14">
      <c r="A2358" s="1" t="s">
        <v>2370</v>
      </c>
      <c r="B2358">
        <f>HYPERLINK("https://www.suredividend.com/sure-analysis-research-database/","Reeds Inc")</f>
        <v>0</v>
      </c>
      <c r="C2358" t="s">
        <v>3188</v>
      </c>
      <c r="D2358">
        <v>3.24</v>
      </c>
      <c r="E2358">
        <v>0</v>
      </c>
      <c r="F2358" t="s">
        <v>3182</v>
      </c>
      <c r="G2358" t="s">
        <v>3182</v>
      </c>
      <c r="H2358">
        <v>0</v>
      </c>
      <c r="I2358">
        <v>0</v>
      </c>
      <c r="J2358">
        <v>0</v>
      </c>
      <c r="K2358" t="s">
        <v>3182</v>
      </c>
    </row>
    <row r="2359" spans="1:14">
      <c r="A2359" s="1" t="s">
        <v>2371</v>
      </c>
      <c r="B2359">
        <f>HYPERLINK("https://www.suredividend.com/sure-analysis-research-database/","Research Frontiers Inc.")</f>
        <v>0</v>
      </c>
      <c r="C2359" t="s">
        <v>3185</v>
      </c>
      <c r="D2359">
        <v>1.0198</v>
      </c>
      <c r="E2359">
        <v>0</v>
      </c>
      <c r="F2359" t="s">
        <v>3182</v>
      </c>
      <c r="G2359" t="s">
        <v>3182</v>
      </c>
      <c r="H2359">
        <v>0</v>
      </c>
      <c r="I2359">
        <v>34.172771</v>
      </c>
      <c r="J2359" t="s">
        <v>3182</v>
      </c>
      <c r="K2359">
        <v>-0</v>
      </c>
      <c r="L2359">
        <v>0.603571580611111</v>
      </c>
      <c r="M2359">
        <v>2.5</v>
      </c>
      <c r="N2359">
        <v>0.99</v>
      </c>
    </row>
    <row r="2360" spans="1:14">
      <c r="A2360" s="1" t="s">
        <v>2372</v>
      </c>
      <c r="B2360">
        <f>HYPERLINK("https://www.suredividend.com/sure-analysis-REG/","Regency Centers Corporation")</f>
        <v>0</v>
      </c>
      <c r="C2360" t="s">
        <v>3187</v>
      </c>
      <c r="D2360">
        <v>62.15</v>
      </c>
      <c r="E2360">
        <v>0.0418342719227675</v>
      </c>
      <c r="F2360">
        <v>0.04000000000000004</v>
      </c>
      <c r="G2360">
        <v>0.03210545800579934</v>
      </c>
      <c r="H2360">
        <v>2.526839304694489</v>
      </c>
      <c r="I2360">
        <v>10627.849937</v>
      </c>
      <c r="J2360">
        <v>28.96629618796742</v>
      </c>
      <c r="K2360">
        <v>1.18076603023107</v>
      </c>
      <c r="L2360">
        <v>0.926235807609982</v>
      </c>
      <c r="M2360">
        <v>65.48999999999999</v>
      </c>
      <c r="N2360">
        <v>52.48</v>
      </c>
    </row>
    <row r="2361" spans="1:14">
      <c r="A2361" s="1" t="s">
        <v>2373</v>
      </c>
      <c r="B2361">
        <f>HYPERLINK("https://www.suredividend.com/sure-analysis-research-database/","Renewable Energy Group Inc")</f>
        <v>0</v>
      </c>
      <c r="C2361" t="s">
        <v>3189</v>
      </c>
      <c r="D2361">
        <v>61.5</v>
      </c>
      <c r="E2361">
        <v>0</v>
      </c>
      <c r="F2361" t="s">
        <v>3182</v>
      </c>
      <c r="G2361" t="s">
        <v>3182</v>
      </c>
      <c r="H2361">
        <v>0</v>
      </c>
      <c r="I2361">
        <v>0</v>
      </c>
      <c r="J2361">
        <v>0</v>
      </c>
      <c r="K2361">
        <v>0</v>
      </c>
    </row>
    <row r="2362" spans="1:14">
      <c r="A2362" s="1" t="s">
        <v>2374</v>
      </c>
      <c r="B2362">
        <f>HYPERLINK("https://www.suredividend.com/sure-analysis-research-database/","Regeneron Pharmaceuticals, Inc.")</f>
        <v>0</v>
      </c>
      <c r="C2362" t="s">
        <v>3180</v>
      </c>
      <c r="D2362">
        <v>818.79</v>
      </c>
      <c r="E2362">
        <v>0</v>
      </c>
      <c r="F2362" t="s">
        <v>3182</v>
      </c>
      <c r="G2362" t="s">
        <v>3182</v>
      </c>
      <c r="H2362">
        <v>0</v>
      </c>
      <c r="I2362">
        <v>88886.792711</v>
      </c>
      <c r="J2362">
        <v>20.67615555041172</v>
      </c>
      <c r="K2362">
        <v>0</v>
      </c>
      <c r="L2362">
        <v>0.4297557749706291</v>
      </c>
      <c r="M2362">
        <v>853.97</v>
      </c>
      <c r="N2362">
        <v>668</v>
      </c>
    </row>
    <row r="2363" spans="1:14">
      <c r="A2363" s="1" t="s">
        <v>2375</v>
      </c>
      <c r="B2363">
        <f>HYPERLINK("https://www.suredividend.com/sure-analysis-research-database/","Ring Energy Inc")</f>
        <v>0</v>
      </c>
      <c r="C2363" t="s">
        <v>3189</v>
      </c>
      <c r="D2363">
        <v>1.76</v>
      </c>
      <c r="E2363">
        <v>0</v>
      </c>
      <c r="F2363" t="s">
        <v>3182</v>
      </c>
      <c r="G2363" t="s">
        <v>3182</v>
      </c>
      <c r="H2363">
        <v>0</v>
      </c>
      <c r="I2363">
        <v>343.82792</v>
      </c>
      <c r="J2363">
        <v>0</v>
      </c>
      <c r="K2363" t="s">
        <v>3182</v>
      </c>
      <c r="L2363">
        <v>1.569801395168698</v>
      </c>
      <c r="M2363">
        <v>3.47</v>
      </c>
      <c r="N2363">
        <v>1.63</v>
      </c>
    </row>
    <row r="2364" spans="1:14">
      <c r="A2364" s="1" t="s">
        <v>2376</v>
      </c>
      <c r="B2364">
        <f>HYPERLINK("https://www.suredividend.com/sure-analysis-research-database/","Richardson Electronics, Ltd.")</f>
        <v>0</v>
      </c>
      <c r="C2364" t="s">
        <v>3185</v>
      </c>
      <c r="D2364">
        <v>11.29</v>
      </c>
      <c r="E2364">
        <v>0.015806782905994</v>
      </c>
      <c r="F2364">
        <v>0</v>
      </c>
      <c r="G2364">
        <v>0</v>
      </c>
      <c r="H2364">
        <v>0.17845857900868</v>
      </c>
      <c r="I2364">
        <v>138.019719</v>
      </c>
      <c r="J2364">
        <v>8.007642107797633</v>
      </c>
      <c r="K2364">
        <v>0.1499651924442689</v>
      </c>
      <c r="L2364">
        <v>1.441885640401351</v>
      </c>
      <c r="M2364">
        <v>26.72</v>
      </c>
      <c r="N2364">
        <v>10.25</v>
      </c>
    </row>
    <row r="2365" spans="1:14">
      <c r="A2365" s="1" t="s">
        <v>2377</v>
      </c>
      <c r="B2365">
        <f>HYPERLINK("https://www.suredividend.com/sure-analysis-research-database/","Reliv` International, Inc.")</f>
        <v>0</v>
      </c>
      <c r="C2365" t="s">
        <v>3188</v>
      </c>
      <c r="D2365">
        <v>3.78</v>
      </c>
      <c r="E2365">
        <v>0</v>
      </c>
      <c r="F2365" t="s">
        <v>3182</v>
      </c>
      <c r="G2365" t="s">
        <v>3182</v>
      </c>
      <c r="H2365">
        <v>0</v>
      </c>
      <c r="I2365">
        <v>5.374657</v>
      </c>
      <c r="J2365">
        <v>0</v>
      </c>
      <c r="K2365" t="s">
        <v>3182</v>
      </c>
      <c r="M2365">
        <v>4.62</v>
      </c>
      <c r="N2365">
        <v>2.09</v>
      </c>
    </row>
    <row r="2366" spans="1:14">
      <c r="A2366" s="1" t="s">
        <v>2378</v>
      </c>
      <c r="B2366">
        <f>HYPERLINK("https://www.suredividend.com/sure-analysis-research-database/","Replimune Group Inc")</f>
        <v>0</v>
      </c>
      <c r="C2366" t="s">
        <v>3180</v>
      </c>
      <c r="D2366">
        <v>13.64</v>
      </c>
      <c r="E2366">
        <v>0</v>
      </c>
      <c r="F2366" t="s">
        <v>3182</v>
      </c>
      <c r="G2366" t="s">
        <v>3182</v>
      </c>
      <c r="H2366">
        <v>0</v>
      </c>
      <c r="I2366">
        <v>804.709887</v>
      </c>
      <c r="J2366">
        <v>0</v>
      </c>
      <c r="K2366" t="s">
        <v>3182</v>
      </c>
      <c r="L2366">
        <v>1.084448253578595</v>
      </c>
      <c r="M2366">
        <v>29.52</v>
      </c>
      <c r="N2366">
        <v>13.09</v>
      </c>
    </row>
    <row r="2367" spans="1:14">
      <c r="A2367" s="1" t="s">
        <v>2379</v>
      </c>
      <c r="B2367">
        <f>HYPERLINK("https://www.suredividend.com/sure-analysis-research-database/","RPC, Inc.")</f>
        <v>0</v>
      </c>
      <c r="C2367" t="s">
        <v>3189</v>
      </c>
      <c r="D2367">
        <v>8.25</v>
      </c>
      <c r="E2367">
        <v>0.016858988891096</v>
      </c>
      <c r="F2367" t="s">
        <v>3182</v>
      </c>
      <c r="G2367" t="s">
        <v>3182</v>
      </c>
      <c r="H2367">
        <v>0.139086658351543</v>
      </c>
      <c r="I2367">
        <v>1785.374036</v>
      </c>
      <c r="J2367">
        <v>7.480763739095456</v>
      </c>
      <c r="K2367">
        <v>0.1241845163853063</v>
      </c>
      <c r="L2367">
        <v>1.121587212521755</v>
      </c>
      <c r="M2367">
        <v>10.72</v>
      </c>
      <c r="N2367">
        <v>6.51</v>
      </c>
    </row>
    <row r="2368" spans="1:14">
      <c r="A2368" s="1" t="s">
        <v>2380</v>
      </c>
      <c r="B2368">
        <f>HYPERLINK("https://www.suredividend.com/sure-analysis-research-database/","Strategic Trust")</f>
        <v>0</v>
      </c>
      <c r="C2368" t="s">
        <v>3187</v>
      </c>
      <c r="D2368">
        <v>9.376899999999999</v>
      </c>
      <c r="E2368">
        <v>0.07653538977593401</v>
      </c>
      <c r="F2368" t="s">
        <v>3182</v>
      </c>
      <c r="G2368" t="s">
        <v>3182</v>
      </c>
      <c r="H2368">
        <v>0.7176646963899621</v>
      </c>
      <c r="I2368">
        <v>0.703267</v>
      </c>
      <c r="J2368">
        <v>0</v>
      </c>
      <c r="K2368" t="s">
        <v>3182</v>
      </c>
      <c r="L2368">
        <v>0.982460174651368</v>
      </c>
      <c r="M2368">
        <v>11.6</v>
      </c>
      <c r="N2368">
        <v>8.960000000000001</v>
      </c>
    </row>
    <row r="2369" spans="1:14">
      <c r="A2369" s="1" t="s">
        <v>2381</v>
      </c>
      <c r="B2369">
        <f>HYPERLINK("https://www.suredividend.com/sure-analysis-research-database/","Resonant Inc")</f>
        <v>0</v>
      </c>
      <c r="C2369" t="s">
        <v>3185</v>
      </c>
      <c r="D2369">
        <v>4.48</v>
      </c>
      <c r="E2369">
        <v>0</v>
      </c>
      <c r="F2369" t="s">
        <v>3182</v>
      </c>
      <c r="G2369" t="s">
        <v>3182</v>
      </c>
      <c r="H2369">
        <v>0</v>
      </c>
      <c r="I2369">
        <v>0</v>
      </c>
      <c r="J2369">
        <v>0</v>
      </c>
      <c r="K2369" t="s">
        <v>3182</v>
      </c>
    </row>
    <row r="2370" spans="1:14">
      <c r="A2370" s="1" t="s">
        <v>2382</v>
      </c>
      <c r="B2370">
        <f>HYPERLINK("https://www.suredividend.com/sure-analysis-research-database/","Reata Pharmaceuticals Inc")</f>
        <v>0</v>
      </c>
      <c r="C2370" t="s">
        <v>3180</v>
      </c>
      <c r="D2370">
        <v>172.36</v>
      </c>
      <c r="E2370">
        <v>0</v>
      </c>
      <c r="F2370" t="s">
        <v>3182</v>
      </c>
      <c r="G2370" t="s">
        <v>3182</v>
      </c>
      <c r="H2370">
        <v>0</v>
      </c>
      <c r="I2370">
        <v>0</v>
      </c>
      <c r="J2370">
        <v>0</v>
      </c>
      <c r="K2370">
        <v>-0</v>
      </c>
    </row>
    <row r="2371" spans="1:14">
      <c r="A2371" s="1" t="s">
        <v>2383</v>
      </c>
      <c r="B2371">
        <f>HYPERLINK("https://www.suredividend.com/sure-analysis-research-database/","Revlon, Inc.")</f>
        <v>0</v>
      </c>
      <c r="C2371" t="s">
        <v>3188</v>
      </c>
      <c r="D2371">
        <v>3.8999</v>
      </c>
      <c r="E2371">
        <v>0</v>
      </c>
      <c r="F2371" t="s">
        <v>3182</v>
      </c>
      <c r="G2371" t="s">
        <v>3182</v>
      </c>
      <c r="H2371">
        <v>0</v>
      </c>
      <c r="I2371">
        <v>211.693011</v>
      </c>
      <c r="J2371" t="s">
        <v>3182</v>
      </c>
      <c r="K2371">
        <v>-0</v>
      </c>
      <c r="L2371">
        <v>2.232919751231036</v>
      </c>
      <c r="M2371">
        <v>17.65</v>
      </c>
      <c r="N2371">
        <v>1.08</v>
      </c>
    </row>
    <row r="2372" spans="1:14">
      <c r="A2372" s="1" t="s">
        <v>2384</v>
      </c>
      <c r="B2372">
        <f>HYPERLINK("https://www.suredividend.com/sure-analysis-research-database/","REV Group Inc")</f>
        <v>0</v>
      </c>
      <c r="C2372" t="s">
        <v>3183</v>
      </c>
      <c r="D2372">
        <v>14.71</v>
      </c>
      <c r="E2372">
        <v>0.0135237605895</v>
      </c>
      <c r="F2372" t="s">
        <v>3182</v>
      </c>
      <c r="G2372" t="s">
        <v>3182</v>
      </c>
      <c r="H2372">
        <v>0.198934518271557</v>
      </c>
      <c r="I2372">
        <v>872.436964</v>
      </c>
      <c r="J2372" t="s">
        <v>3182</v>
      </c>
      <c r="K2372" t="s">
        <v>3182</v>
      </c>
      <c r="L2372">
        <v>1.043769661862703</v>
      </c>
      <c r="M2372">
        <v>16.54</v>
      </c>
      <c r="N2372">
        <v>9.779999999999999</v>
      </c>
    </row>
    <row r="2373" spans="1:14">
      <c r="A2373" s="1" t="s">
        <v>2385</v>
      </c>
      <c r="B2373">
        <f>HYPERLINK("https://www.suredividend.com/sure-analysis-research-database/","REX American Resources Corp")</f>
        <v>0</v>
      </c>
      <c r="C2373" t="s">
        <v>3189</v>
      </c>
      <c r="D2373">
        <v>37.95</v>
      </c>
      <c r="E2373">
        <v>0</v>
      </c>
      <c r="F2373" t="s">
        <v>3182</v>
      </c>
      <c r="G2373" t="s">
        <v>3182</v>
      </c>
      <c r="H2373">
        <v>0</v>
      </c>
      <c r="I2373">
        <v>664.267123</v>
      </c>
      <c r="J2373">
        <v>25.91149644055235</v>
      </c>
      <c r="K2373">
        <v>0</v>
      </c>
      <c r="L2373">
        <v>1.155019604822614</v>
      </c>
      <c r="M2373">
        <v>41.63</v>
      </c>
      <c r="N2373">
        <v>27.42</v>
      </c>
    </row>
    <row r="2374" spans="1:14">
      <c r="A2374" s="1" t="s">
        <v>2386</v>
      </c>
      <c r="B2374">
        <f>HYPERLINK("https://www.suredividend.com/sure-analysis-research-database/","Rexford Industrial Realty Inc")</f>
        <v>0</v>
      </c>
      <c r="C2374" t="s">
        <v>3187</v>
      </c>
      <c r="D2374">
        <v>45.1</v>
      </c>
      <c r="E2374">
        <v>0.031919690001997</v>
      </c>
      <c r="F2374">
        <v>0.2063492063492063</v>
      </c>
      <c r="G2374">
        <v>0.1888654957871243</v>
      </c>
      <c r="H2374">
        <v>1.439578019090094</v>
      </c>
      <c r="I2374">
        <v>9520.489087</v>
      </c>
      <c r="J2374">
        <v>46.10584955785212</v>
      </c>
      <c r="K2374">
        <v>1.371026684847708</v>
      </c>
      <c r="L2374">
        <v>1.161561740749361</v>
      </c>
      <c r="M2374">
        <v>65.27</v>
      </c>
      <c r="N2374">
        <v>41.56</v>
      </c>
    </row>
    <row r="2375" spans="1:14">
      <c r="A2375" s="1" t="s">
        <v>2387</v>
      </c>
      <c r="B2375">
        <f>HYPERLINK("https://www.suredividend.com/sure-analysis-research-database/","Resideo Technologies Inc")</f>
        <v>0</v>
      </c>
      <c r="C2375" t="s">
        <v>3183</v>
      </c>
      <c r="D2375">
        <v>15.53</v>
      </c>
      <c r="E2375">
        <v>0</v>
      </c>
      <c r="F2375" t="s">
        <v>3182</v>
      </c>
      <c r="G2375" t="s">
        <v>3182</v>
      </c>
      <c r="H2375">
        <v>0</v>
      </c>
      <c r="I2375">
        <v>2293.046804</v>
      </c>
      <c r="J2375">
        <v>10.97151580727273</v>
      </c>
      <c r="K2375">
        <v>0</v>
      </c>
      <c r="L2375">
        <v>1.367548012949751</v>
      </c>
      <c r="M2375">
        <v>20.16</v>
      </c>
      <c r="N2375">
        <v>14.2</v>
      </c>
    </row>
    <row r="2376" spans="1:14">
      <c r="A2376" s="1" t="s">
        <v>2388</v>
      </c>
      <c r="B2376">
        <f>HYPERLINK("https://www.suredividend.com/sure-analysis-RF/","Regions Financial Corp.")</f>
        <v>0</v>
      </c>
      <c r="C2376" t="s">
        <v>3184</v>
      </c>
      <c r="D2376">
        <v>15.43</v>
      </c>
      <c r="E2376">
        <v>0.06221646143875567</v>
      </c>
      <c r="F2376">
        <v>0.2</v>
      </c>
      <c r="G2376">
        <v>0.1138241786028789</v>
      </c>
      <c r="H2376">
        <v>0.825884471343252</v>
      </c>
      <c r="I2376">
        <v>14479.164162</v>
      </c>
      <c r="J2376">
        <v>6.557592464451992</v>
      </c>
      <c r="K2376">
        <v>0.3514402005715966</v>
      </c>
      <c r="L2376">
        <v>1.267390248889476</v>
      </c>
      <c r="M2376">
        <v>23.52</v>
      </c>
      <c r="N2376">
        <v>13.6</v>
      </c>
    </row>
    <row r="2377" spans="1:14">
      <c r="A2377" s="1" t="s">
        <v>2389</v>
      </c>
      <c r="B2377">
        <f>HYPERLINK("https://www.suredividend.com/sure-analysis-research-database/","RF Industries Ltd.")</f>
        <v>0</v>
      </c>
      <c r="C2377" t="s">
        <v>3183</v>
      </c>
      <c r="D2377">
        <v>2.88</v>
      </c>
      <c r="E2377">
        <v>0</v>
      </c>
      <c r="F2377" t="s">
        <v>3182</v>
      </c>
      <c r="G2377" t="s">
        <v>3182</v>
      </c>
      <c r="H2377">
        <v>0</v>
      </c>
      <c r="I2377">
        <v>29.634886</v>
      </c>
      <c r="J2377">
        <v>0</v>
      </c>
      <c r="K2377" t="s">
        <v>3182</v>
      </c>
      <c r="L2377">
        <v>0.310041800021776</v>
      </c>
      <c r="M2377">
        <v>5.93</v>
      </c>
      <c r="N2377">
        <v>2.53</v>
      </c>
    </row>
    <row r="2378" spans="1:14">
      <c r="A2378" s="1" t="s">
        <v>2390</v>
      </c>
      <c r="B2378">
        <f>HYPERLINK("https://www.suredividend.com/sure-analysis-research-database/","Rafael Holdings Inc")</f>
        <v>0</v>
      </c>
      <c r="C2378" t="s">
        <v>3180</v>
      </c>
      <c r="D2378">
        <v>1.71</v>
      </c>
      <c r="E2378">
        <v>0</v>
      </c>
      <c r="F2378" t="s">
        <v>3182</v>
      </c>
      <c r="G2378" t="s">
        <v>3182</v>
      </c>
      <c r="H2378">
        <v>0</v>
      </c>
      <c r="I2378">
        <v>40.560297</v>
      </c>
      <c r="J2378">
        <v>0</v>
      </c>
      <c r="K2378" t="s">
        <v>3182</v>
      </c>
      <c r="L2378">
        <v>0.6280053450142871</v>
      </c>
      <c r="M2378">
        <v>2.52</v>
      </c>
      <c r="N2378">
        <v>1.44</v>
      </c>
    </row>
    <row r="2379" spans="1:14">
      <c r="A2379" s="1" t="s">
        <v>2391</v>
      </c>
      <c r="B2379">
        <f>HYPERLINK("https://www.suredividend.com/sure-analysis-research-database/","Resolute Forest Products Inc")</f>
        <v>0</v>
      </c>
      <c r="C2379" t="s">
        <v>3181</v>
      </c>
      <c r="D2379">
        <v>21.92</v>
      </c>
      <c r="E2379">
        <v>0</v>
      </c>
      <c r="F2379" t="s">
        <v>3182</v>
      </c>
      <c r="G2379" t="s">
        <v>3182</v>
      </c>
      <c r="H2379">
        <v>0</v>
      </c>
      <c r="I2379">
        <v>1699.845377</v>
      </c>
      <c r="J2379">
        <v>3.999636182188235</v>
      </c>
      <c r="K2379">
        <v>0</v>
      </c>
      <c r="L2379">
        <v>0.545072036245082</v>
      </c>
      <c r="M2379">
        <v>22.62</v>
      </c>
      <c r="N2379">
        <v>11.55</v>
      </c>
    </row>
    <row r="2380" spans="1:14">
      <c r="A2380" s="1" t="s">
        <v>2392</v>
      </c>
      <c r="B2380">
        <f>HYPERLINK("https://www.suredividend.com/sure-analysis-RGA/","Reinsurance Group Of America, Inc.")</f>
        <v>0</v>
      </c>
      <c r="C2380" t="s">
        <v>3184</v>
      </c>
      <c r="D2380">
        <v>148.76</v>
      </c>
      <c r="E2380">
        <v>0.02151115891368648</v>
      </c>
      <c r="F2380">
        <v>0.0625</v>
      </c>
      <c r="G2380">
        <v>0.07214502590085092</v>
      </c>
      <c r="H2380">
        <v>3.222790132884962</v>
      </c>
      <c r="I2380">
        <v>9849.667219000001</v>
      </c>
      <c r="J2380">
        <v>10.42292827432804</v>
      </c>
      <c r="K2380">
        <v>0.2308588920404701</v>
      </c>
      <c r="L2380">
        <v>0.526188348353499</v>
      </c>
      <c r="M2380">
        <v>156.08</v>
      </c>
      <c r="N2380">
        <v>119.61</v>
      </c>
    </row>
    <row r="2381" spans="1:14">
      <c r="A2381" s="1" t="s">
        <v>2393</v>
      </c>
      <c r="B2381">
        <f>HYPERLINK("https://www.suredividend.com/sure-analysis-RGCO/","RGC Resources, Inc.")</f>
        <v>0</v>
      </c>
      <c r="C2381" t="s">
        <v>3190</v>
      </c>
      <c r="D2381">
        <v>16.56</v>
      </c>
      <c r="E2381">
        <v>0.04770531400966184</v>
      </c>
      <c r="F2381">
        <v>0.01282051282051277</v>
      </c>
      <c r="G2381">
        <v>0.03661295272409038</v>
      </c>
      <c r="H2381">
        <v>0.7671213205677601</v>
      </c>
      <c r="I2381">
        <v>165.619822</v>
      </c>
      <c r="J2381">
        <v>0</v>
      </c>
      <c r="K2381" t="s">
        <v>3182</v>
      </c>
      <c r="L2381">
        <v>0.3405696748835521</v>
      </c>
      <c r="M2381">
        <v>23.26</v>
      </c>
      <c r="N2381">
        <v>15.36</v>
      </c>
    </row>
    <row r="2382" spans="1:14">
      <c r="A2382" s="1" t="s">
        <v>2394</v>
      </c>
      <c r="B2382">
        <f>HYPERLINK("https://www.suredividend.com/sure-analysis-research-database/","Repligen Corp.")</f>
        <v>0</v>
      </c>
      <c r="C2382" t="s">
        <v>3180</v>
      </c>
      <c r="D2382">
        <v>136.54</v>
      </c>
      <c r="E2382">
        <v>0</v>
      </c>
      <c r="F2382" t="s">
        <v>3182</v>
      </c>
      <c r="G2382" t="s">
        <v>3182</v>
      </c>
      <c r="H2382">
        <v>0</v>
      </c>
      <c r="I2382">
        <v>7623.303055</v>
      </c>
      <c r="J2382">
        <v>65.83504374164464</v>
      </c>
      <c r="K2382">
        <v>0</v>
      </c>
      <c r="L2382">
        <v>1.568702880819176</v>
      </c>
      <c r="M2382">
        <v>212.17</v>
      </c>
      <c r="N2382">
        <v>110.45</v>
      </c>
    </row>
    <row r="2383" spans="1:14">
      <c r="A2383" s="1" t="s">
        <v>2395</v>
      </c>
      <c r="B2383">
        <f>HYPERLINK("https://www.suredividend.com/sure-analysis-RGLD/","Royal Gold, Inc.")</f>
        <v>0</v>
      </c>
      <c r="C2383" t="s">
        <v>3181</v>
      </c>
      <c r="D2383">
        <v>106.63</v>
      </c>
      <c r="E2383">
        <v>0.01406733564662853</v>
      </c>
      <c r="F2383">
        <v>0.0714285714285714</v>
      </c>
      <c r="G2383">
        <v>0.0719069301576436</v>
      </c>
      <c r="H2383">
        <v>1.485940735953164</v>
      </c>
      <c r="I2383">
        <v>7004.389706</v>
      </c>
      <c r="J2383">
        <v>30.52141350388468</v>
      </c>
      <c r="K2383">
        <v>0.4257709845138005</v>
      </c>
      <c r="L2383">
        <v>0.502176915094625</v>
      </c>
      <c r="M2383">
        <v>145.79</v>
      </c>
      <c r="N2383">
        <v>88.63</v>
      </c>
    </row>
    <row r="2384" spans="1:14">
      <c r="A2384" s="1" t="s">
        <v>2396</v>
      </c>
      <c r="B2384">
        <f>HYPERLINK("https://www.suredividend.com/sure-analysis-research-database/","Regulus Therapeutics Inc")</f>
        <v>0</v>
      </c>
      <c r="C2384" t="s">
        <v>3180</v>
      </c>
      <c r="D2384">
        <v>1.35</v>
      </c>
      <c r="E2384">
        <v>0</v>
      </c>
      <c r="F2384" t="s">
        <v>3182</v>
      </c>
      <c r="G2384" t="s">
        <v>3182</v>
      </c>
      <c r="H2384">
        <v>0</v>
      </c>
      <c r="I2384">
        <v>26.304022</v>
      </c>
      <c r="J2384">
        <v>0</v>
      </c>
      <c r="K2384" t="s">
        <v>3182</v>
      </c>
      <c r="L2384">
        <v>1.13303460731451</v>
      </c>
      <c r="M2384">
        <v>2.14</v>
      </c>
      <c r="N2384">
        <v>0.76</v>
      </c>
    </row>
    <row r="2385" spans="1:14">
      <c r="A2385" s="1" t="s">
        <v>2397</v>
      </c>
      <c r="B2385">
        <f>HYPERLINK("https://www.suredividend.com/sure-analysis-research-database/","Regenxbio Inc")</f>
        <v>0</v>
      </c>
      <c r="C2385" t="s">
        <v>3180</v>
      </c>
      <c r="D2385">
        <v>14.19</v>
      </c>
      <c r="E2385">
        <v>0</v>
      </c>
      <c r="F2385" t="s">
        <v>3182</v>
      </c>
      <c r="G2385" t="s">
        <v>3182</v>
      </c>
      <c r="H2385">
        <v>0</v>
      </c>
      <c r="I2385">
        <v>623.793933</v>
      </c>
      <c r="J2385" t="s">
        <v>3182</v>
      </c>
      <c r="K2385">
        <v>-0</v>
      </c>
      <c r="L2385">
        <v>1.311701332407613</v>
      </c>
      <c r="M2385">
        <v>25.54</v>
      </c>
      <c r="N2385">
        <v>12.82</v>
      </c>
    </row>
    <row r="2386" spans="1:14">
      <c r="A2386" s="1" t="s">
        <v>2398</v>
      </c>
      <c r="B2386">
        <f>HYPERLINK("https://www.suredividend.com/sure-analysis-research-database/","Sturm, Ruger &amp; Co., Inc.")</f>
        <v>0</v>
      </c>
      <c r="C2386" t="s">
        <v>3183</v>
      </c>
      <c r="D2386">
        <v>45.47</v>
      </c>
      <c r="E2386">
        <v>0.032109162953077</v>
      </c>
      <c r="F2386">
        <v>-0.1219512195121952</v>
      </c>
      <c r="G2386">
        <v>0.04419329594385624</v>
      </c>
      <c r="H2386">
        <v>1.460003639476425</v>
      </c>
      <c r="I2386">
        <v>805.850351</v>
      </c>
      <c r="J2386">
        <v>11.87204028610154</v>
      </c>
      <c r="K2386">
        <v>0.383203054980689</v>
      </c>
      <c r="L2386">
        <v>0.398959063601513</v>
      </c>
      <c r="M2386">
        <v>60.12</v>
      </c>
      <c r="N2386">
        <v>45.35</v>
      </c>
    </row>
    <row r="2387" spans="1:14">
      <c r="A2387" s="1" t="s">
        <v>2399</v>
      </c>
      <c r="B2387">
        <f>HYPERLINK("https://www.suredividend.com/sure-analysis-research-database/","Regis Corp.")</f>
        <v>0</v>
      </c>
      <c r="C2387" t="s">
        <v>3186</v>
      </c>
      <c r="D2387">
        <v>0.5318000000000001</v>
      </c>
      <c r="E2387">
        <v>0</v>
      </c>
      <c r="F2387" t="s">
        <v>3182</v>
      </c>
      <c r="G2387" t="s">
        <v>3182</v>
      </c>
      <c r="H2387">
        <v>0</v>
      </c>
      <c r="I2387">
        <v>24.239044</v>
      </c>
      <c r="J2387" t="s">
        <v>3182</v>
      </c>
      <c r="K2387">
        <v>-0</v>
      </c>
      <c r="L2387">
        <v>1.02491668903863</v>
      </c>
      <c r="M2387">
        <v>1.85</v>
      </c>
      <c r="N2387">
        <v>0.5</v>
      </c>
    </row>
    <row r="2388" spans="1:14">
      <c r="A2388" s="1" t="s">
        <v>2400</v>
      </c>
      <c r="B2388">
        <f>HYPERLINK("https://www.suredividend.com/sure-analysis-research-database/","RH")</f>
        <v>0</v>
      </c>
      <c r="C2388" t="s">
        <v>3186</v>
      </c>
      <c r="D2388">
        <v>225.02</v>
      </c>
      <c r="E2388">
        <v>0</v>
      </c>
      <c r="F2388" t="s">
        <v>3182</v>
      </c>
      <c r="G2388" t="s">
        <v>3182</v>
      </c>
      <c r="H2388">
        <v>0</v>
      </c>
      <c r="I2388">
        <v>4140.411204</v>
      </c>
      <c r="J2388">
        <v>12.77813983525861</v>
      </c>
      <c r="K2388">
        <v>0</v>
      </c>
      <c r="L2388">
        <v>1.649724522583023</v>
      </c>
      <c r="M2388">
        <v>406.38</v>
      </c>
      <c r="N2388">
        <v>207.26</v>
      </c>
    </row>
    <row r="2389" spans="1:14">
      <c r="A2389" s="1" t="s">
        <v>2401</v>
      </c>
      <c r="B2389">
        <f>HYPERLINK("https://www.suredividend.com/sure-analysis-research-database/","Regional Health Properties Inc")</f>
        <v>0</v>
      </c>
      <c r="C2389" t="s">
        <v>3180</v>
      </c>
      <c r="D2389">
        <v>1.875</v>
      </c>
      <c r="E2389">
        <v>0</v>
      </c>
      <c r="F2389" t="s">
        <v>3182</v>
      </c>
      <c r="G2389" t="s">
        <v>3182</v>
      </c>
      <c r="H2389">
        <v>0</v>
      </c>
      <c r="I2389">
        <v>3.530678</v>
      </c>
      <c r="J2389">
        <v>0</v>
      </c>
      <c r="K2389" t="s">
        <v>3182</v>
      </c>
      <c r="M2389">
        <v>4.52</v>
      </c>
      <c r="N2389">
        <v>1.8</v>
      </c>
    </row>
    <row r="2390" spans="1:14">
      <c r="A2390" s="1" t="s">
        <v>2402</v>
      </c>
      <c r="B2390">
        <f>HYPERLINK("https://www.suredividend.com/sure-analysis-RHI/","Robert Half Inc")</f>
        <v>0</v>
      </c>
      <c r="C2390" t="s">
        <v>3183</v>
      </c>
      <c r="D2390">
        <v>75.83</v>
      </c>
      <c r="E2390">
        <v>0.0253197942766715</v>
      </c>
      <c r="F2390">
        <v>0.1162790697674418</v>
      </c>
      <c r="G2390">
        <v>0.1138241786028789</v>
      </c>
      <c r="H2390">
        <v>1.852270535001686</v>
      </c>
      <c r="I2390">
        <v>8030.014438</v>
      </c>
      <c r="J2390">
        <v>17.0309641409771</v>
      </c>
      <c r="K2390">
        <v>0.4190657319008339</v>
      </c>
      <c r="L2390">
        <v>1.197843231940134</v>
      </c>
      <c r="M2390">
        <v>88.05</v>
      </c>
      <c r="N2390">
        <v>64.23999999999999</v>
      </c>
    </row>
    <row r="2391" spans="1:14">
      <c r="A2391" s="1" t="s">
        <v>2403</v>
      </c>
      <c r="B2391">
        <f>HYPERLINK("https://www.suredividend.com/sure-analysis-research-database/","Ryman Hospitality Properties Inc")</f>
        <v>0</v>
      </c>
      <c r="C2391" t="s">
        <v>3187</v>
      </c>
      <c r="D2391">
        <v>89.59</v>
      </c>
      <c r="E2391">
        <v>0.03306830829106201</v>
      </c>
      <c r="F2391" t="s">
        <v>3182</v>
      </c>
      <c r="G2391" t="s">
        <v>3182</v>
      </c>
      <c r="H2391">
        <v>2.962589739796264</v>
      </c>
      <c r="I2391">
        <v>5349.10426</v>
      </c>
      <c r="J2391">
        <v>23.1369646136345</v>
      </c>
      <c r="K2391">
        <v>0.7388004338644051</v>
      </c>
      <c r="L2391">
        <v>1.066507448794826</v>
      </c>
      <c r="M2391">
        <v>97.31999999999999</v>
      </c>
      <c r="N2391">
        <v>74.73999999999999</v>
      </c>
    </row>
    <row r="2392" spans="1:14">
      <c r="A2392" s="1" t="s">
        <v>2404</v>
      </c>
      <c r="B2392">
        <f>HYPERLINK("https://www.suredividend.com/sure-analysis-research-database/","RiceBran Technologies")</f>
        <v>0</v>
      </c>
      <c r="C2392" t="s">
        <v>3188</v>
      </c>
      <c r="D2392">
        <v>0.3661</v>
      </c>
      <c r="E2392">
        <v>0</v>
      </c>
      <c r="F2392" t="s">
        <v>3182</v>
      </c>
      <c r="G2392" t="s">
        <v>3182</v>
      </c>
      <c r="H2392">
        <v>0</v>
      </c>
      <c r="I2392">
        <v>2.419107</v>
      </c>
      <c r="J2392">
        <v>0</v>
      </c>
      <c r="K2392" t="s">
        <v>3182</v>
      </c>
      <c r="L2392">
        <v>0.9670625816884181</v>
      </c>
      <c r="M2392">
        <v>1.39</v>
      </c>
      <c r="N2392">
        <v>0.306</v>
      </c>
    </row>
    <row r="2393" spans="1:14">
      <c r="A2393" s="1" t="s">
        <v>2405</v>
      </c>
      <c r="B2393">
        <f>HYPERLINK("https://www.suredividend.com/sure-analysis-research-database/","RCI Hospitality Holdings Inc")</f>
        <v>0</v>
      </c>
      <c r="C2393" t="s">
        <v>3186</v>
      </c>
      <c r="D2393">
        <v>55.145</v>
      </c>
      <c r="E2393">
        <v>0.004161191689297</v>
      </c>
      <c r="F2393">
        <v>0.2</v>
      </c>
      <c r="G2393">
        <v>0.1486983549970351</v>
      </c>
      <c r="H2393">
        <v>0.229468915706295</v>
      </c>
      <c r="I2393">
        <v>519.454044</v>
      </c>
      <c r="J2393">
        <v>13.79069328125415</v>
      </c>
      <c r="K2393">
        <v>0.05665899153241852</v>
      </c>
      <c r="L2393">
        <v>0.855744264869108</v>
      </c>
      <c r="M2393">
        <v>97.04000000000001</v>
      </c>
      <c r="N2393">
        <v>50.43</v>
      </c>
    </row>
    <row r="2394" spans="1:14">
      <c r="A2394" s="1" t="s">
        <v>2406</v>
      </c>
      <c r="B2394">
        <f>HYPERLINK("https://www.suredividend.com/sure-analysis-research-database/","Transocean Ltd")</f>
        <v>0</v>
      </c>
      <c r="C2394" t="s">
        <v>3189</v>
      </c>
      <c r="D2394">
        <v>6.89</v>
      </c>
      <c r="E2394">
        <v>0</v>
      </c>
      <c r="F2394" t="s">
        <v>3182</v>
      </c>
      <c r="G2394" t="s">
        <v>3182</v>
      </c>
      <c r="H2394">
        <v>0</v>
      </c>
      <c r="I2394">
        <v>5574.222529</v>
      </c>
      <c r="J2394" t="s">
        <v>3182</v>
      </c>
      <c r="K2394">
        <v>-0</v>
      </c>
      <c r="L2394">
        <v>1.452459408224456</v>
      </c>
      <c r="M2394">
        <v>8.880000000000001</v>
      </c>
      <c r="N2394">
        <v>3.65</v>
      </c>
    </row>
    <row r="2395" spans="1:14">
      <c r="A2395" s="1" t="s">
        <v>2407</v>
      </c>
      <c r="B2395">
        <f>HYPERLINK("https://www.suredividend.com/sure-analysis-research-database/","Rigel Pharmaceuticals")</f>
        <v>0</v>
      </c>
      <c r="C2395" t="s">
        <v>3180</v>
      </c>
      <c r="D2395">
        <v>0.7985</v>
      </c>
      <c r="E2395">
        <v>0</v>
      </c>
      <c r="F2395" t="s">
        <v>3182</v>
      </c>
      <c r="G2395" t="s">
        <v>3182</v>
      </c>
      <c r="H2395">
        <v>0</v>
      </c>
      <c r="I2395">
        <v>139.229882</v>
      </c>
      <c r="J2395" t="s">
        <v>3182</v>
      </c>
      <c r="K2395">
        <v>-0</v>
      </c>
      <c r="L2395">
        <v>0.9371096907467191</v>
      </c>
      <c r="M2395">
        <v>2.04</v>
      </c>
      <c r="N2395">
        <v>0.6679</v>
      </c>
    </row>
    <row r="2396" spans="1:14">
      <c r="A2396" s="1" t="s">
        <v>2408</v>
      </c>
      <c r="B2396">
        <f>HYPERLINK("https://www.suredividend.com/sure-analysis-research-database/","B. Riley Financial Inc")</f>
        <v>0</v>
      </c>
      <c r="C2396" t="s">
        <v>3184</v>
      </c>
      <c r="D2396">
        <v>39.43</v>
      </c>
      <c r="E2396">
        <v>0.095236749115851</v>
      </c>
      <c r="F2396">
        <v>0</v>
      </c>
      <c r="G2396">
        <v>0.5848931924611136</v>
      </c>
      <c r="H2396">
        <v>3.755185017638008</v>
      </c>
      <c r="I2396">
        <v>1205.445246</v>
      </c>
      <c r="J2396">
        <v>26.26414026995228</v>
      </c>
      <c r="K2396">
        <v>2.346990636023755</v>
      </c>
      <c r="L2396">
        <v>2.381334714808476</v>
      </c>
      <c r="M2396">
        <v>58.45</v>
      </c>
      <c r="N2396">
        <v>22.64</v>
      </c>
    </row>
    <row r="2397" spans="1:14">
      <c r="A2397" s="1" t="s">
        <v>2409</v>
      </c>
      <c r="B2397">
        <f>HYPERLINK("https://www.suredividend.com/sure-analysis-research-database/","Riot Platforms Inc")</f>
        <v>0</v>
      </c>
      <c r="C2397" t="s">
        <v>3185</v>
      </c>
      <c r="D2397">
        <v>11.3</v>
      </c>
      <c r="E2397">
        <v>0</v>
      </c>
      <c r="F2397" t="s">
        <v>3182</v>
      </c>
      <c r="G2397" t="s">
        <v>3182</v>
      </c>
      <c r="H2397">
        <v>0</v>
      </c>
      <c r="I2397">
        <v>2245.102442</v>
      </c>
      <c r="J2397">
        <v>0</v>
      </c>
      <c r="K2397" t="s">
        <v>3182</v>
      </c>
      <c r="L2397">
        <v>2.775076237736516</v>
      </c>
      <c r="M2397">
        <v>20.65</v>
      </c>
      <c r="N2397">
        <v>3.25</v>
      </c>
    </row>
    <row r="2398" spans="1:14">
      <c r="A2398" s="1" t="s">
        <v>2410</v>
      </c>
      <c r="B2398">
        <f>HYPERLINK("https://www.suredividend.com/sure-analysis-RJF/","Raymond James Financial, Inc.")</f>
        <v>0</v>
      </c>
      <c r="C2398" t="s">
        <v>3184</v>
      </c>
      <c r="D2398">
        <v>99.41</v>
      </c>
      <c r="E2398">
        <v>0.01689970827884519</v>
      </c>
      <c r="F2398">
        <v>0.2352941176470587</v>
      </c>
      <c r="G2398">
        <v>0.04316756381013498</v>
      </c>
      <c r="H2398">
        <v>1.669464838075021</v>
      </c>
      <c r="I2398">
        <v>20760.93779</v>
      </c>
      <c r="J2398">
        <v>11.94530367642693</v>
      </c>
      <c r="K2398">
        <v>0.2099955771163548</v>
      </c>
      <c r="L2398">
        <v>0.934855164992451</v>
      </c>
      <c r="M2398">
        <v>123.91</v>
      </c>
      <c r="N2398">
        <v>81.33</v>
      </c>
    </row>
    <row r="2399" spans="1:14">
      <c r="A2399" s="1" t="s">
        <v>2411</v>
      </c>
      <c r="B2399">
        <f>HYPERLINK("https://www.suredividend.com/sure-analysis-research-database/","Arcadia Biosciences Inc")</f>
        <v>0</v>
      </c>
      <c r="C2399" t="s">
        <v>3181</v>
      </c>
      <c r="D2399">
        <v>3.31</v>
      </c>
      <c r="E2399">
        <v>0</v>
      </c>
      <c r="F2399" t="s">
        <v>3182</v>
      </c>
      <c r="G2399" t="s">
        <v>3182</v>
      </c>
      <c r="H2399">
        <v>0</v>
      </c>
      <c r="I2399">
        <v>3.66891</v>
      </c>
      <c r="J2399" t="s">
        <v>3182</v>
      </c>
      <c r="K2399">
        <v>-0</v>
      </c>
      <c r="L2399">
        <v>0.178273329982055</v>
      </c>
      <c r="M2399">
        <v>18.94</v>
      </c>
      <c r="N2399">
        <v>2.92</v>
      </c>
    </row>
    <row r="2400" spans="1:14">
      <c r="A2400" s="1" t="s">
        <v>2412</v>
      </c>
      <c r="B2400">
        <f>HYPERLINK("https://www.suredividend.com/sure-analysis-RL/","Ralph Lauren Corp")</f>
        <v>0</v>
      </c>
      <c r="C2400" t="s">
        <v>3186</v>
      </c>
      <c r="D2400">
        <v>112.52</v>
      </c>
      <c r="E2400">
        <v>0.02666192676857448</v>
      </c>
      <c r="F2400" t="s">
        <v>3182</v>
      </c>
      <c r="G2400" t="s">
        <v>3182</v>
      </c>
      <c r="H2400">
        <v>2.971440062626256</v>
      </c>
      <c r="I2400">
        <v>7626.6056</v>
      </c>
      <c r="J2400">
        <v>8.551848412721114</v>
      </c>
      <c r="K2400">
        <v>0.3799795476504164</v>
      </c>
      <c r="L2400">
        <v>1.131861222080367</v>
      </c>
      <c r="M2400">
        <v>134.87</v>
      </c>
      <c r="N2400">
        <v>87.73</v>
      </c>
    </row>
    <row r="2401" spans="1:14">
      <c r="A2401" s="1" t="s">
        <v>2413</v>
      </c>
      <c r="B2401">
        <f>HYPERLINK("https://www.suredividend.com/sure-analysis-research-database/","Radiant Logistics, Inc.")</f>
        <v>0</v>
      </c>
      <c r="C2401" t="s">
        <v>3183</v>
      </c>
      <c r="D2401">
        <v>5.85</v>
      </c>
      <c r="E2401">
        <v>0</v>
      </c>
      <c r="F2401" t="s">
        <v>3182</v>
      </c>
      <c r="G2401" t="s">
        <v>3182</v>
      </c>
      <c r="H2401">
        <v>0</v>
      </c>
      <c r="I2401">
        <v>277.225539</v>
      </c>
      <c r="J2401">
        <v>0</v>
      </c>
      <c r="K2401" t="s">
        <v>3182</v>
      </c>
      <c r="L2401">
        <v>0.8622661086357211</v>
      </c>
      <c r="M2401">
        <v>7.76</v>
      </c>
      <c r="N2401">
        <v>4.93</v>
      </c>
    </row>
    <row r="2402" spans="1:14">
      <c r="A2402" s="1" t="s">
        <v>2414</v>
      </c>
      <c r="B2402">
        <f>HYPERLINK("https://www.suredividend.com/sure-analysis-research-database/","Red Lion Hotels Corporation")</f>
        <v>0</v>
      </c>
      <c r="C2402" t="s">
        <v>3186</v>
      </c>
      <c r="D2402">
        <v>3.49</v>
      </c>
      <c r="E2402">
        <v>0</v>
      </c>
      <c r="F2402" t="s">
        <v>3182</v>
      </c>
      <c r="G2402" t="s">
        <v>3182</v>
      </c>
      <c r="H2402">
        <v>0</v>
      </c>
      <c r="I2402">
        <v>88.99938</v>
      </c>
      <c r="J2402">
        <v>0</v>
      </c>
      <c r="K2402">
        <v>-0</v>
      </c>
      <c r="L2402">
        <v>1.138578444571625</v>
      </c>
    </row>
    <row r="2403" spans="1:14">
      <c r="A2403" s="1" t="s">
        <v>2415</v>
      </c>
      <c r="B2403">
        <f>HYPERLINK("https://www.suredividend.com/sure-analysis-RLI/","RLI Corp.")</f>
        <v>0</v>
      </c>
      <c r="C2403" t="s">
        <v>3184</v>
      </c>
      <c r="D2403">
        <v>134.35</v>
      </c>
      <c r="E2403">
        <v>0.008038704875325643</v>
      </c>
      <c r="F2403">
        <v>0.03846153846153855</v>
      </c>
      <c r="G2403">
        <v>0.03258826616987576</v>
      </c>
      <c r="H2403">
        <v>1.056732000187499</v>
      </c>
      <c r="I2403">
        <v>6129.822334</v>
      </c>
      <c r="J2403">
        <v>21.29645431152786</v>
      </c>
      <c r="K2403">
        <v>0.1693480769531248</v>
      </c>
      <c r="L2403">
        <v>0.4590005685403291</v>
      </c>
      <c r="M2403">
        <v>149.01</v>
      </c>
      <c r="N2403">
        <v>122.79</v>
      </c>
    </row>
    <row r="2404" spans="1:14">
      <c r="A2404" s="1" t="s">
        <v>2416</v>
      </c>
      <c r="B2404">
        <f>HYPERLINK("https://www.suredividend.com/sure-analysis-research-database/","RLJ Lodging Trust")</f>
        <v>0</v>
      </c>
      <c r="C2404" t="s">
        <v>3187</v>
      </c>
      <c r="D2404">
        <v>9.91</v>
      </c>
      <c r="E2404">
        <v>0.030919653483544</v>
      </c>
      <c r="F2404">
        <v>1</v>
      </c>
      <c r="G2404">
        <v>-0.2124154064688504</v>
      </c>
      <c r="H2404">
        <v>0.306413766021929</v>
      </c>
      <c r="I2404">
        <v>1560.622707</v>
      </c>
      <c r="J2404">
        <v>30.89424343600911</v>
      </c>
      <c r="K2404">
        <v>0.9656910369427325</v>
      </c>
      <c r="L2404">
        <v>1.19650628739875</v>
      </c>
      <c r="M2404">
        <v>12.58</v>
      </c>
      <c r="N2404">
        <v>9.029999999999999</v>
      </c>
    </row>
    <row r="2405" spans="1:14">
      <c r="A2405" s="1" t="s">
        <v>2417</v>
      </c>
      <c r="B2405">
        <f>HYPERLINK("https://www.suredividend.com/sure-analysis-research-database/","Regional Management Corp")</f>
        <v>0</v>
      </c>
      <c r="C2405" t="s">
        <v>3184</v>
      </c>
      <c r="D2405">
        <v>22.46</v>
      </c>
      <c r="E2405">
        <v>0.05257433058098</v>
      </c>
      <c r="F2405" t="s">
        <v>3182</v>
      </c>
      <c r="G2405" t="s">
        <v>3182</v>
      </c>
      <c r="H2405">
        <v>1.180819464848813</v>
      </c>
      <c r="I2405">
        <v>220.943063</v>
      </c>
      <c r="J2405">
        <v>0</v>
      </c>
      <c r="K2405" t="s">
        <v>3182</v>
      </c>
      <c r="L2405">
        <v>1.031294862599458</v>
      </c>
      <c r="M2405">
        <v>37.16</v>
      </c>
      <c r="N2405">
        <v>20.91</v>
      </c>
    </row>
    <row r="2406" spans="1:14">
      <c r="A2406" s="1" t="s">
        <v>2418</v>
      </c>
      <c r="B2406">
        <f>HYPERLINK("https://www.suredividend.com/sure-analysis-research-database/","RE/MAX Holdings Inc")</f>
        <v>0</v>
      </c>
      <c r="C2406" t="s">
        <v>3187</v>
      </c>
      <c r="D2406">
        <v>11.19</v>
      </c>
      <c r="E2406">
        <v>0.080714767602393</v>
      </c>
      <c r="F2406">
        <v>0</v>
      </c>
      <c r="G2406">
        <v>0.02834672210021361</v>
      </c>
      <c r="H2406">
        <v>0.9031982494707791</v>
      </c>
      <c r="I2406">
        <v>202.841857</v>
      </c>
      <c r="J2406">
        <v>1200.247676627219</v>
      </c>
      <c r="K2406">
        <v>98.17372276856294</v>
      </c>
      <c r="L2406">
        <v>1.256151238507609</v>
      </c>
      <c r="M2406">
        <v>23.39</v>
      </c>
      <c r="N2406">
        <v>10.08</v>
      </c>
    </row>
    <row r="2407" spans="1:14">
      <c r="A2407" s="1" t="s">
        <v>2419</v>
      </c>
      <c r="B2407">
        <f>HYPERLINK("https://www.suredividend.com/sure-analysis-research-database/","Rambus Inc.")</f>
        <v>0</v>
      </c>
      <c r="C2407" t="s">
        <v>3185</v>
      </c>
      <c r="D2407">
        <v>54.54</v>
      </c>
      <c r="E2407">
        <v>0</v>
      </c>
      <c r="F2407" t="s">
        <v>3182</v>
      </c>
      <c r="G2407" t="s">
        <v>3182</v>
      </c>
      <c r="H2407">
        <v>0</v>
      </c>
      <c r="I2407">
        <v>5950.314</v>
      </c>
      <c r="J2407">
        <v>31.47498267644896</v>
      </c>
      <c r="K2407">
        <v>0</v>
      </c>
      <c r="L2407">
        <v>1.352016423444284</v>
      </c>
      <c r="M2407">
        <v>68.54000000000001</v>
      </c>
      <c r="N2407">
        <v>34.19</v>
      </c>
    </row>
    <row r="2408" spans="1:14">
      <c r="A2408" s="1" t="s">
        <v>2420</v>
      </c>
      <c r="B2408">
        <f>HYPERLINK("https://www.suredividend.com/sure-analysis-research-database/","Rocky Mountain Chocolate Factory Inc")</f>
        <v>0</v>
      </c>
      <c r="C2408" t="s">
        <v>3188</v>
      </c>
      <c r="D2408">
        <v>4</v>
      </c>
      <c r="E2408">
        <v>0</v>
      </c>
      <c r="F2408" t="s">
        <v>3182</v>
      </c>
      <c r="G2408" t="s">
        <v>3182</v>
      </c>
      <c r="H2408">
        <v>0</v>
      </c>
      <c r="I2408">
        <v>25.20874</v>
      </c>
      <c r="J2408">
        <v>0</v>
      </c>
      <c r="K2408" t="s">
        <v>3182</v>
      </c>
      <c r="L2408">
        <v>0.142827368578218</v>
      </c>
      <c r="M2408">
        <v>6.98</v>
      </c>
      <c r="N2408">
        <v>3.72</v>
      </c>
    </row>
    <row r="2409" spans="1:14">
      <c r="A2409" s="1" t="s">
        <v>2421</v>
      </c>
      <c r="B2409">
        <f>HYPERLINK("https://www.suredividend.com/sure-analysis-RMD/","Resmed Inc.")</f>
        <v>0</v>
      </c>
      <c r="C2409" t="s">
        <v>3180</v>
      </c>
      <c r="D2409">
        <v>150.1</v>
      </c>
      <c r="E2409">
        <v>0.01279147235176549</v>
      </c>
      <c r="F2409">
        <v>0.09090909090909083</v>
      </c>
      <c r="G2409">
        <v>0.05343538597058362</v>
      </c>
      <c r="H2409">
        <v>1.794014731100088</v>
      </c>
      <c r="I2409">
        <v>22078.495691</v>
      </c>
      <c r="J2409">
        <v>24.35575917374517</v>
      </c>
      <c r="K2409">
        <v>0.2921848096254215</v>
      </c>
      <c r="L2409">
        <v>0.9583265732982921</v>
      </c>
      <c r="M2409">
        <v>242.42</v>
      </c>
      <c r="N2409">
        <v>132.24</v>
      </c>
    </row>
    <row r="2410" spans="1:14">
      <c r="A2410" s="1" t="s">
        <v>2422</v>
      </c>
      <c r="B2410">
        <f>HYPERLINK("https://www.suredividend.com/sure-analysis-research-database/","RMR Group Inc (The)")</f>
        <v>0</v>
      </c>
      <c r="C2410" t="s">
        <v>3187</v>
      </c>
      <c r="D2410">
        <v>23.11</v>
      </c>
      <c r="E2410">
        <v>0.065879235481642</v>
      </c>
      <c r="F2410">
        <v>0</v>
      </c>
      <c r="G2410">
        <v>0.02706608708935176</v>
      </c>
      <c r="H2410">
        <v>1.522469131980766</v>
      </c>
      <c r="I2410">
        <v>360.797457</v>
      </c>
      <c r="J2410">
        <v>0</v>
      </c>
      <c r="K2410" t="s">
        <v>3182</v>
      </c>
      <c r="L2410">
        <v>0.7682408325702931</v>
      </c>
      <c r="M2410">
        <v>28.56</v>
      </c>
      <c r="N2410">
        <v>19.44</v>
      </c>
    </row>
    <row r="2411" spans="1:14">
      <c r="A2411" s="1" t="s">
        <v>2423</v>
      </c>
      <c r="B2411">
        <f>HYPERLINK("https://www.suredividend.com/sure-analysis-research-database/","Rockwell Medical Inc")</f>
        <v>0</v>
      </c>
      <c r="C2411" t="s">
        <v>3180</v>
      </c>
      <c r="D2411">
        <v>1.93</v>
      </c>
      <c r="E2411">
        <v>0</v>
      </c>
      <c r="F2411" t="s">
        <v>3182</v>
      </c>
      <c r="G2411" t="s">
        <v>3182</v>
      </c>
      <c r="H2411">
        <v>0</v>
      </c>
      <c r="I2411">
        <v>54.98505</v>
      </c>
      <c r="J2411" t="s">
        <v>3182</v>
      </c>
      <c r="K2411">
        <v>-0</v>
      </c>
      <c r="L2411">
        <v>2.448290270336793</v>
      </c>
      <c r="M2411">
        <v>6.24</v>
      </c>
      <c r="N2411">
        <v>0.84</v>
      </c>
    </row>
    <row r="2412" spans="1:14">
      <c r="A2412" s="1" t="s">
        <v>2424</v>
      </c>
      <c r="B2412">
        <f>HYPERLINK("https://www.suredividend.com/sure-analysis-research-database/","Randolph Bancorp Inc")</f>
        <v>0</v>
      </c>
      <c r="C2412" t="s">
        <v>3184</v>
      </c>
      <c r="D2412">
        <v>26.99</v>
      </c>
      <c r="E2412">
        <v>0</v>
      </c>
      <c r="F2412" t="s">
        <v>3182</v>
      </c>
      <c r="G2412" t="s">
        <v>3182</v>
      </c>
      <c r="H2412">
        <v>0.150000005960464</v>
      </c>
      <c r="I2412">
        <v>0</v>
      </c>
      <c r="J2412">
        <v>0</v>
      </c>
      <c r="K2412" t="s">
        <v>3182</v>
      </c>
    </row>
    <row r="2413" spans="1:14">
      <c r="A2413" s="1" t="s">
        <v>2425</v>
      </c>
      <c r="B2413">
        <f>HYPERLINK("https://www.suredividend.com/sure-analysis-research-database/","RigNet Inc")</f>
        <v>0</v>
      </c>
      <c r="C2413" t="s">
        <v>3189</v>
      </c>
      <c r="D2413">
        <v>9.6</v>
      </c>
      <c r="E2413">
        <v>0</v>
      </c>
      <c r="F2413" t="s">
        <v>3182</v>
      </c>
      <c r="G2413" t="s">
        <v>3182</v>
      </c>
      <c r="H2413">
        <v>0</v>
      </c>
      <c r="I2413">
        <v>0</v>
      </c>
      <c r="J2413">
        <v>0</v>
      </c>
      <c r="K2413" t="s">
        <v>3182</v>
      </c>
    </row>
    <row r="2414" spans="1:14">
      <c r="A2414" s="1" t="s">
        <v>2426</v>
      </c>
      <c r="B2414">
        <f>HYPERLINK("https://www.suredividend.com/sure-analysis-research-database/","RingCentral Inc.")</f>
        <v>0</v>
      </c>
      <c r="C2414" t="s">
        <v>3185</v>
      </c>
      <c r="D2414">
        <v>27.25</v>
      </c>
      <c r="E2414">
        <v>0</v>
      </c>
      <c r="F2414" t="s">
        <v>3182</v>
      </c>
      <c r="G2414" t="s">
        <v>3182</v>
      </c>
      <c r="H2414">
        <v>0</v>
      </c>
      <c r="I2414">
        <v>2309.71079</v>
      </c>
      <c r="J2414" t="s">
        <v>3182</v>
      </c>
      <c r="K2414">
        <v>-0</v>
      </c>
      <c r="L2414">
        <v>2.923446293031774</v>
      </c>
      <c r="M2414">
        <v>49.32</v>
      </c>
      <c r="N2414">
        <v>25.08</v>
      </c>
    </row>
    <row r="2415" spans="1:14">
      <c r="A2415" s="1" t="s">
        <v>2427</v>
      </c>
      <c r="B2415">
        <f>HYPERLINK("https://www.suredividend.com/sure-analysis-RNR/","RenaissanceRe Holdings Ltd")</f>
        <v>0</v>
      </c>
      <c r="C2415" t="s">
        <v>3184</v>
      </c>
      <c r="D2415">
        <v>208.61</v>
      </c>
      <c r="E2415">
        <v>0.007286323762044005</v>
      </c>
      <c r="F2415">
        <v>0.02702702702702697</v>
      </c>
      <c r="G2415">
        <v>0.02861755351046824</v>
      </c>
      <c r="H2415">
        <v>1.505603867954208</v>
      </c>
      <c r="I2415">
        <v>10676.979808</v>
      </c>
      <c r="J2415">
        <v>29.2103846786496</v>
      </c>
      <c r="K2415">
        <v>0.1798809878081491</v>
      </c>
      <c r="L2415">
        <v>0.3333963954424951</v>
      </c>
      <c r="M2415">
        <v>227.16</v>
      </c>
      <c r="N2415">
        <v>171.87</v>
      </c>
    </row>
    <row r="2416" spans="1:14">
      <c r="A2416" s="1" t="s">
        <v>2428</v>
      </c>
      <c r="B2416">
        <f>HYPERLINK("https://www.suredividend.com/sure-analysis-research-database/","Renasant Corp.")</f>
        <v>0</v>
      </c>
      <c r="C2416" t="s">
        <v>3184</v>
      </c>
      <c r="D2416">
        <v>26.03</v>
      </c>
      <c r="E2416">
        <v>0.033281963818485</v>
      </c>
      <c r="F2416">
        <v>0</v>
      </c>
      <c r="G2416">
        <v>0.009347419909568888</v>
      </c>
      <c r="H2416">
        <v>0.86632951819517</v>
      </c>
      <c r="I2416">
        <v>1461.242544</v>
      </c>
      <c r="J2416">
        <v>8.720504069430188</v>
      </c>
      <c r="K2416">
        <v>0.290714603421198</v>
      </c>
      <c r="L2416">
        <v>1.044265146152112</v>
      </c>
      <c r="M2416">
        <v>40.27</v>
      </c>
      <c r="N2416">
        <v>22.92</v>
      </c>
    </row>
    <row r="2417" spans="1:14">
      <c r="A2417" s="1" t="s">
        <v>2429</v>
      </c>
      <c r="B2417">
        <f>HYPERLINK("https://www.suredividend.com/sure-analysis-research-database/","Realnetworks, Inc.")</f>
        <v>0</v>
      </c>
      <c r="C2417" t="s">
        <v>3191</v>
      </c>
      <c r="D2417">
        <v>0.73</v>
      </c>
      <c r="E2417">
        <v>0</v>
      </c>
      <c r="F2417" t="s">
        <v>3182</v>
      </c>
      <c r="G2417" t="s">
        <v>3182</v>
      </c>
      <c r="H2417">
        <v>0</v>
      </c>
      <c r="I2417">
        <v>0</v>
      </c>
      <c r="J2417">
        <v>0</v>
      </c>
      <c r="K2417">
        <v>-0</v>
      </c>
    </row>
    <row r="2418" spans="1:14">
      <c r="A2418" s="1" t="s">
        <v>2430</v>
      </c>
      <c r="B2418">
        <f>HYPERLINK("https://www.suredividend.com/sure-analysis-research-database/","Construction Partners Inc")</f>
        <v>0</v>
      </c>
      <c r="C2418" t="s">
        <v>3183</v>
      </c>
      <c r="D2418">
        <v>39.71</v>
      </c>
      <c r="E2418">
        <v>0</v>
      </c>
      <c r="F2418" t="s">
        <v>3182</v>
      </c>
      <c r="G2418" t="s">
        <v>3182</v>
      </c>
      <c r="H2418">
        <v>0</v>
      </c>
      <c r="I2418">
        <v>1736.45119</v>
      </c>
      <c r="J2418">
        <v>55.65013588757492</v>
      </c>
      <c r="K2418">
        <v>0</v>
      </c>
      <c r="L2418">
        <v>1.24090343160118</v>
      </c>
      <c r="M2418">
        <v>40.76</v>
      </c>
      <c r="N2418">
        <v>24.12</v>
      </c>
    </row>
    <row r="2419" spans="1:14">
      <c r="A2419" s="1" t="s">
        <v>2431</v>
      </c>
      <c r="B2419">
        <f>HYPERLINK("https://www.suredividend.com/sure-analysis-research-database/","Gibraltar Industries Inc.")</f>
        <v>0</v>
      </c>
      <c r="C2419" t="s">
        <v>3183</v>
      </c>
      <c r="D2419">
        <v>65.22</v>
      </c>
      <c r="E2419">
        <v>0</v>
      </c>
      <c r="F2419" t="s">
        <v>3182</v>
      </c>
      <c r="G2419" t="s">
        <v>3182</v>
      </c>
      <c r="H2419">
        <v>0</v>
      </c>
      <c r="I2419">
        <v>1984.23091</v>
      </c>
      <c r="J2419">
        <v>22.17885105393171</v>
      </c>
      <c r="K2419">
        <v>0</v>
      </c>
      <c r="L2419">
        <v>1.137178285042941</v>
      </c>
      <c r="M2419">
        <v>77.09999999999999</v>
      </c>
      <c r="N2419">
        <v>44.69</v>
      </c>
    </row>
    <row r="2420" spans="1:14">
      <c r="A2420" s="1" t="s">
        <v>2432</v>
      </c>
      <c r="B2420">
        <f>HYPERLINK("https://www.suredividend.com/sure-analysis-research-database/","Rogers Corp.")</f>
        <v>0</v>
      </c>
      <c r="C2420" t="s">
        <v>3185</v>
      </c>
      <c r="D2420">
        <v>117.96</v>
      </c>
      <c r="E2420">
        <v>0</v>
      </c>
      <c r="F2420" t="s">
        <v>3182</v>
      </c>
      <c r="G2420" t="s">
        <v>3182</v>
      </c>
      <c r="H2420">
        <v>0</v>
      </c>
      <c r="I2420">
        <v>2196.004581</v>
      </c>
      <c r="J2420">
        <v>21.80696094655518</v>
      </c>
      <c r="K2420">
        <v>0</v>
      </c>
      <c r="L2420">
        <v>0.833258902310354</v>
      </c>
      <c r="M2420">
        <v>173.16</v>
      </c>
      <c r="N2420">
        <v>98.45</v>
      </c>
    </row>
    <row r="2421" spans="1:14">
      <c r="A2421" s="1" t="s">
        <v>2433</v>
      </c>
      <c r="B2421">
        <f>HYPERLINK("https://www.suredividend.com/sure-analysis-research-database/","Retail Opportunity Investments Corp")</f>
        <v>0</v>
      </c>
      <c r="C2421" t="s">
        <v>3187</v>
      </c>
      <c r="D2421">
        <v>12.36</v>
      </c>
      <c r="E2421">
        <v>0.047099786048347</v>
      </c>
      <c r="F2421" t="s">
        <v>3182</v>
      </c>
      <c r="G2421" t="s">
        <v>3182</v>
      </c>
      <c r="H2421">
        <v>0.5821533555575731</v>
      </c>
      <c r="I2421">
        <v>1557.382186</v>
      </c>
      <c r="J2421">
        <v>42.95752706459977</v>
      </c>
      <c r="K2421">
        <v>2.133993238847409</v>
      </c>
      <c r="L2421">
        <v>1.007376862535512</v>
      </c>
      <c r="M2421">
        <v>15.48</v>
      </c>
      <c r="N2421">
        <v>10.99</v>
      </c>
    </row>
    <row r="2422" spans="1:14">
      <c r="A2422" s="1" t="s">
        <v>2434</v>
      </c>
      <c r="B2422">
        <f>HYPERLINK("https://www.suredividend.com/sure-analysis-ROK/","Rockwell Automation Inc")</f>
        <v>0</v>
      </c>
      <c r="C2422" t="s">
        <v>3183</v>
      </c>
      <c r="D2422">
        <v>258.6</v>
      </c>
      <c r="E2422">
        <v>0.01933488012374323</v>
      </c>
      <c r="F2422">
        <v>0</v>
      </c>
      <c r="G2422">
        <v>0.03997297703182556</v>
      </c>
      <c r="H2422">
        <v>4.685939764706252</v>
      </c>
      <c r="I2422">
        <v>29702.819533</v>
      </c>
      <c r="J2422">
        <v>20.94993619170546</v>
      </c>
      <c r="K2422">
        <v>0.3822136839075247</v>
      </c>
      <c r="L2422">
        <v>1.195642113518603</v>
      </c>
      <c r="M2422">
        <v>347.15</v>
      </c>
      <c r="N2422">
        <v>235.21</v>
      </c>
    </row>
    <row r="2423" spans="1:14">
      <c r="A2423" s="1" t="s">
        <v>2435</v>
      </c>
      <c r="B2423">
        <f>HYPERLINK("https://www.suredividend.com/sure-analysis-research-database/","Roku Inc")</f>
        <v>0</v>
      </c>
      <c r="C2423" t="s">
        <v>3191</v>
      </c>
      <c r="D2423">
        <v>78.05</v>
      </c>
      <c r="E2423">
        <v>0</v>
      </c>
      <c r="F2423" t="s">
        <v>3182</v>
      </c>
      <c r="G2423" t="s">
        <v>3182</v>
      </c>
      <c r="H2423">
        <v>0</v>
      </c>
      <c r="I2423">
        <v>9686.004999999999</v>
      </c>
      <c r="J2423" t="s">
        <v>3182</v>
      </c>
      <c r="K2423">
        <v>-0</v>
      </c>
      <c r="L2423">
        <v>2.652467275919389</v>
      </c>
      <c r="M2423">
        <v>98.44</v>
      </c>
      <c r="N2423">
        <v>38.26</v>
      </c>
    </row>
    <row r="2424" spans="1:14">
      <c r="A2424" s="1" t="s">
        <v>2436</v>
      </c>
      <c r="B2424">
        <f>HYPERLINK("https://www.suredividend.com/sure-analysis-ROL/","Rollins, Inc.")</f>
        <v>0</v>
      </c>
      <c r="C2424" t="s">
        <v>3186</v>
      </c>
      <c r="D2424">
        <v>37.69</v>
      </c>
      <c r="E2424">
        <v>0.01379676306712656</v>
      </c>
      <c r="F2424">
        <v>0.3</v>
      </c>
      <c r="G2424">
        <v>0.04364022715043592</v>
      </c>
      <c r="H2424">
        <v>0.5174654991781761</v>
      </c>
      <c r="I2424">
        <v>18243.386868</v>
      </c>
      <c r="J2424">
        <v>44.02499805259335</v>
      </c>
      <c r="K2424">
        <v>0.6147131137778286</v>
      </c>
      <c r="L2424">
        <v>0.4879998161582561</v>
      </c>
      <c r="M2424">
        <v>44.9</v>
      </c>
      <c r="N2424">
        <v>32.19</v>
      </c>
    </row>
    <row r="2425" spans="1:14">
      <c r="A2425" s="1" t="s">
        <v>2437</v>
      </c>
      <c r="B2425">
        <f>HYPERLINK("https://www.suredividend.com/sure-analysis-research-database/","RBC Bearings Inc.")</f>
        <v>0</v>
      </c>
      <c r="C2425" t="s">
        <v>3183</v>
      </c>
      <c r="D2425">
        <v>208.32</v>
      </c>
      <c r="E2425">
        <v>0</v>
      </c>
      <c r="F2425" t="s">
        <v>3182</v>
      </c>
      <c r="G2425" t="s">
        <v>3182</v>
      </c>
      <c r="H2425">
        <v>0</v>
      </c>
      <c r="I2425">
        <v>6269.891645</v>
      </c>
      <c r="J2425">
        <v>0</v>
      </c>
      <c r="K2425" t="s">
        <v>3182</v>
      </c>
    </row>
    <row r="2426" spans="1:14">
      <c r="A2426" s="1" t="s">
        <v>2438</v>
      </c>
      <c r="B2426">
        <f>HYPERLINK("https://www.suredividend.com/sure-analysis-ROP/","Roper Technologies Inc")</f>
        <v>0</v>
      </c>
      <c r="C2426" t="s">
        <v>3183</v>
      </c>
      <c r="D2426">
        <v>494.05</v>
      </c>
      <c r="E2426">
        <v>0.005525756502378302</v>
      </c>
      <c r="F2426">
        <v>0.1008064516129032</v>
      </c>
      <c r="G2426">
        <v>0.08093152661749414</v>
      </c>
      <c r="H2426">
        <v>2.721274231203509</v>
      </c>
      <c r="I2426">
        <v>52863.35</v>
      </c>
      <c r="J2426">
        <v>18.20739477853551</v>
      </c>
      <c r="K2426">
        <v>0.1003049845633435</v>
      </c>
      <c r="L2426">
        <v>0.8151393140472301</v>
      </c>
      <c r="M2426">
        <v>507.48</v>
      </c>
      <c r="N2426">
        <v>385.81</v>
      </c>
    </row>
    <row r="2427" spans="1:14">
      <c r="A2427" s="1" t="s">
        <v>2439</v>
      </c>
      <c r="B2427">
        <f>HYPERLINK("https://www.suredividend.com/sure-analysis-ROST/","Ross Stores, Inc.")</f>
        <v>0</v>
      </c>
      <c r="C2427" t="s">
        <v>3186</v>
      </c>
      <c r="D2427">
        <v>118.32</v>
      </c>
      <c r="E2427">
        <v>0.01132521974306964</v>
      </c>
      <c r="F2427" t="s">
        <v>3182</v>
      </c>
      <c r="G2427" t="s">
        <v>3182</v>
      </c>
      <c r="H2427">
        <v>1.308623777974405</v>
      </c>
      <c r="I2427">
        <v>40306.398634</v>
      </c>
      <c r="J2427">
        <v>25.08818287305589</v>
      </c>
      <c r="K2427">
        <v>0.2778394433066677</v>
      </c>
      <c r="L2427">
        <v>0.809204844623277</v>
      </c>
      <c r="M2427">
        <v>122.31</v>
      </c>
      <c r="N2427">
        <v>89.29000000000001</v>
      </c>
    </row>
    <row r="2428" spans="1:14">
      <c r="A2428" s="1" t="s">
        <v>2440</v>
      </c>
      <c r="B2428">
        <f>HYPERLINK("https://www.suredividend.com/sure-analysis-research-database/","RealPage Inc.")</f>
        <v>0</v>
      </c>
      <c r="C2428" t="s">
        <v>3185</v>
      </c>
      <c r="D2428">
        <v>88.72</v>
      </c>
      <c r="E2428">
        <v>0</v>
      </c>
      <c r="F2428" t="s">
        <v>3182</v>
      </c>
      <c r="G2428" t="s">
        <v>3182</v>
      </c>
      <c r="H2428">
        <v>0</v>
      </c>
      <c r="I2428">
        <v>0</v>
      </c>
      <c r="J2428">
        <v>0</v>
      </c>
      <c r="K2428">
        <v>0</v>
      </c>
    </row>
    <row r="2429" spans="1:14">
      <c r="A2429" s="1" t="s">
        <v>2441</v>
      </c>
      <c r="B2429">
        <f>HYPERLINK("https://www.suredividend.com/sure-analysis-research-database/","Retail Properties of America Inc")</f>
        <v>0</v>
      </c>
      <c r="C2429" t="s">
        <v>3187</v>
      </c>
      <c r="D2429">
        <v>13.15</v>
      </c>
      <c r="E2429">
        <v>0.021110549336365</v>
      </c>
      <c r="F2429" t="s">
        <v>3182</v>
      </c>
      <c r="G2429" t="s">
        <v>3182</v>
      </c>
      <c r="H2429">
        <v>0.277603723773209</v>
      </c>
      <c r="I2429">
        <v>2824.591977</v>
      </c>
      <c r="J2429">
        <v>144.7321160765526</v>
      </c>
      <c r="K2429">
        <v>3.040566525445882</v>
      </c>
      <c r="L2429">
        <v>1.391233007611826</v>
      </c>
      <c r="M2429">
        <v>14.07</v>
      </c>
      <c r="N2429">
        <v>5.01</v>
      </c>
    </row>
    <row r="2430" spans="1:14">
      <c r="A2430" s="1" t="s">
        <v>2442</v>
      </c>
      <c r="B2430">
        <f>HYPERLINK("https://www.suredividend.com/sure-analysis-research-database/","Rapid7 Inc")</f>
        <v>0</v>
      </c>
      <c r="C2430" t="s">
        <v>3185</v>
      </c>
      <c r="D2430">
        <v>47.14</v>
      </c>
      <c r="E2430">
        <v>0</v>
      </c>
      <c r="F2430" t="s">
        <v>3182</v>
      </c>
      <c r="G2430" t="s">
        <v>3182</v>
      </c>
      <c r="H2430">
        <v>0</v>
      </c>
      <c r="I2430">
        <v>2875.54</v>
      </c>
      <c r="J2430" t="s">
        <v>3182</v>
      </c>
      <c r="K2430">
        <v>-0</v>
      </c>
      <c r="L2430">
        <v>1.877743641764083</v>
      </c>
      <c r="M2430">
        <v>55.61</v>
      </c>
      <c r="N2430">
        <v>26.49</v>
      </c>
    </row>
    <row r="2431" spans="1:14">
      <c r="A2431" s="1" t="s">
        <v>2443</v>
      </c>
      <c r="B2431">
        <f>HYPERLINK("https://www.suredividend.com/sure-analysis-RPM/","RPM International, Inc.")</f>
        <v>0</v>
      </c>
      <c r="C2431" t="s">
        <v>3181</v>
      </c>
      <c r="D2431">
        <v>94.03</v>
      </c>
      <c r="E2431">
        <v>0.01956822290758269</v>
      </c>
      <c r="F2431">
        <v>0.09523809523809534</v>
      </c>
      <c r="G2431">
        <v>0.05618004403862731</v>
      </c>
      <c r="H2431">
        <v>1.708070876858685</v>
      </c>
      <c r="I2431">
        <v>12113.721758</v>
      </c>
      <c r="J2431">
        <v>23.79700331985054</v>
      </c>
      <c r="K2431">
        <v>0.4324230067996671</v>
      </c>
      <c r="L2431">
        <v>0.9835696234481671</v>
      </c>
      <c r="M2431">
        <v>106.89</v>
      </c>
      <c r="N2431">
        <v>77.79000000000001</v>
      </c>
    </row>
    <row r="2432" spans="1:14">
      <c r="A2432" s="1" t="s">
        <v>2444</v>
      </c>
      <c r="B2432">
        <f>HYPERLINK("https://www.suredividend.com/sure-analysis-RPT/","RPT Realty")</f>
        <v>0</v>
      </c>
      <c r="C2432" t="s">
        <v>3187</v>
      </c>
      <c r="D2432">
        <v>11.14</v>
      </c>
      <c r="E2432">
        <v>0.05026929982046679</v>
      </c>
      <c r="F2432" t="s">
        <v>3182</v>
      </c>
      <c r="G2432" t="s">
        <v>3182</v>
      </c>
      <c r="H2432">
        <v>0.53941751290745</v>
      </c>
      <c r="I2432">
        <v>966.594517</v>
      </c>
      <c r="J2432">
        <v>14.81870542405102</v>
      </c>
      <c r="K2432">
        <v>0.7076184086415452</v>
      </c>
      <c r="L2432">
        <v>1.13302163095266</v>
      </c>
      <c r="M2432">
        <v>11.53</v>
      </c>
      <c r="N2432">
        <v>8.4</v>
      </c>
    </row>
    <row r="2433" spans="1:14">
      <c r="A2433" s="1" t="s">
        <v>2445</v>
      </c>
      <c r="B2433">
        <f>HYPERLINK("https://www.suredividend.com/sure-analysis-research-database/","Range Resources Corp")</f>
        <v>0</v>
      </c>
      <c r="C2433" t="s">
        <v>3189</v>
      </c>
      <c r="D2433">
        <v>37.35</v>
      </c>
      <c r="E2433">
        <v>0.008532130288619001</v>
      </c>
      <c r="F2433" t="s">
        <v>3182</v>
      </c>
      <c r="G2433" t="s">
        <v>3182</v>
      </c>
      <c r="H2433">
        <v>0.318675066279935</v>
      </c>
      <c r="I2433">
        <v>9012.737343000001</v>
      </c>
      <c r="J2433">
        <v>6.651393041922045</v>
      </c>
      <c r="K2433">
        <v>0.05721275875761849</v>
      </c>
      <c r="L2433">
        <v>1.25114280808278</v>
      </c>
      <c r="M2433">
        <v>37.47</v>
      </c>
      <c r="N2433">
        <v>22.41</v>
      </c>
    </row>
    <row r="2434" spans="1:14">
      <c r="A2434" s="1" t="s">
        <v>2446</v>
      </c>
      <c r="B2434">
        <f>HYPERLINK("https://www.suredividend.com/sure-analysis-research-database/","R.R. Donnelley &amp; Sons Co.")</f>
        <v>0</v>
      </c>
      <c r="C2434" t="s">
        <v>3183</v>
      </c>
      <c r="D2434">
        <v>10.84</v>
      </c>
      <c r="E2434">
        <v>0</v>
      </c>
      <c r="F2434" t="s">
        <v>3182</v>
      </c>
      <c r="G2434" t="s">
        <v>3182</v>
      </c>
      <c r="H2434">
        <v>0</v>
      </c>
      <c r="I2434">
        <v>790.236</v>
      </c>
      <c r="J2434">
        <v>4.03799693408278</v>
      </c>
      <c r="K2434">
        <v>0</v>
      </c>
      <c r="L2434">
        <v>0.9962175310821421</v>
      </c>
      <c r="M2434">
        <v>11.33</v>
      </c>
      <c r="N2434">
        <v>3.27</v>
      </c>
    </row>
    <row r="2435" spans="1:14">
      <c r="A2435" s="1" t="s">
        <v>2447</v>
      </c>
      <c r="B2435">
        <f>HYPERLINK("https://www.suredividend.com/sure-analysis-research-database/","Red Robin Gourmet Burgers Inc")</f>
        <v>0</v>
      </c>
      <c r="C2435" t="s">
        <v>3186</v>
      </c>
      <c r="D2435">
        <v>9.289999999999999</v>
      </c>
      <c r="E2435">
        <v>0</v>
      </c>
      <c r="F2435" t="s">
        <v>3182</v>
      </c>
      <c r="G2435" t="s">
        <v>3182</v>
      </c>
      <c r="H2435">
        <v>0</v>
      </c>
      <c r="I2435">
        <v>147.98041</v>
      </c>
      <c r="J2435" t="s">
        <v>3182</v>
      </c>
      <c r="K2435">
        <v>-0</v>
      </c>
      <c r="L2435">
        <v>1.426754478956423</v>
      </c>
      <c r="M2435">
        <v>16.5</v>
      </c>
      <c r="N2435">
        <v>5.35</v>
      </c>
    </row>
    <row r="2436" spans="1:14">
      <c r="A2436" s="1" t="s">
        <v>2448</v>
      </c>
      <c r="B2436">
        <f>HYPERLINK("https://www.suredividend.com/sure-analysis-research-database/","Red Rock Resorts Inc")</f>
        <v>0</v>
      </c>
      <c r="C2436" t="s">
        <v>3186</v>
      </c>
      <c r="D2436">
        <v>40</v>
      </c>
      <c r="E2436">
        <v>0.024625197146909</v>
      </c>
      <c r="F2436" t="s">
        <v>3182</v>
      </c>
      <c r="G2436" t="s">
        <v>3182</v>
      </c>
      <c r="H2436">
        <v>0.9850078858763931</v>
      </c>
      <c r="I2436">
        <v>2335.63372</v>
      </c>
      <c r="J2436">
        <v>10.35518957934312</v>
      </c>
      <c r="K2436">
        <v>0.4974787302406026</v>
      </c>
      <c r="L2436">
        <v>1.046582176179616</v>
      </c>
      <c r="M2436">
        <v>50.77</v>
      </c>
      <c r="N2436">
        <v>37.04</v>
      </c>
    </row>
    <row r="2437" spans="1:14">
      <c r="A2437" s="1" t="s">
        <v>2449</v>
      </c>
      <c r="B2437">
        <f>HYPERLINK("https://www.suredividend.com/sure-analysis-research-database/","Roadrunner Transportation Systems Inc")</f>
        <v>0</v>
      </c>
      <c r="C2437" t="s">
        <v>3183</v>
      </c>
      <c r="D2437">
        <v>1.67</v>
      </c>
      <c r="E2437">
        <v>0</v>
      </c>
      <c r="F2437" t="s">
        <v>3182</v>
      </c>
      <c r="G2437" t="s">
        <v>3182</v>
      </c>
      <c r="H2437">
        <v>0</v>
      </c>
      <c r="I2437">
        <v>63.973535</v>
      </c>
      <c r="J2437" t="s">
        <v>3182</v>
      </c>
      <c r="K2437">
        <v>-0</v>
      </c>
      <c r="M2437">
        <v>3.15</v>
      </c>
      <c r="N2437">
        <v>1</v>
      </c>
    </row>
    <row r="2438" spans="1:14">
      <c r="A2438" s="1" t="s">
        <v>2450</v>
      </c>
      <c r="B2438">
        <f>HYPERLINK("https://www.suredividend.com/sure-analysis-RS/","Reliance Steel &amp; Aluminum Co.")</f>
        <v>0</v>
      </c>
      <c r="C2438" t="s">
        <v>3181</v>
      </c>
      <c r="D2438">
        <v>265.04</v>
      </c>
      <c r="E2438">
        <v>0.01509206157561123</v>
      </c>
      <c r="F2438">
        <v>0.1428571428571428</v>
      </c>
      <c r="G2438">
        <v>0.1486983549970351</v>
      </c>
      <c r="H2438">
        <v>3.853500384447597</v>
      </c>
      <c r="I2438">
        <v>16897.966306</v>
      </c>
      <c r="J2438">
        <v>11.17442554323502</v>
      </c>
      <c r="K2438">
        <v>0.1525534594001424</v>
      </c>
      <c r="L2438">
        <v>0.780668696474044</v>
      </c>
      <c r="M2438">
        <v>294.93</v>
      </c>
      <c r="N2438">
        <v>188.41</v>
      </c>
    </row>
    <row r="2439" spans="1:14">
      <c r="A2439" s="1" t="s">
        <v>2451</v>
      </c>
      <c r="B2439">
        <f>HYPERLINK("https://www.suredividend.com/sure-analysis-RSG/","Republic Services, Inc.")</f>
        <v>0</v>
      </c>
      <c r="C2439" t="s">
        <v>3183</v>
      </c>
      <c r="D2439">
        <v>151.71</v>
      </c>
      <c r="E2439">
        <v>0.01410585986421462</v>
      </c>
      <c r="F2439">
        <v>0.08080808080808088</v>
      </c>
      <c r="G2439">
        <v>0.07365438667886703</v>
      </c>
      <c r="H2439">
        <v>2.009491799661893</v>
      </c>
      <c r="I2439">
        <v>47733.50387</v>
      </c>
      <c r="J2439">
        <v>29.13599699086248</v>
      </c>
      <c r="K2439">
        <v>0.3886831333968845</v>
      </c>
      <c r="L2439">
        <v>0.36704088935747</v>
      </c>
      <c r="M2439">
        <v>156.07</v>
      </c>
      <c r="N2439">
        <v>119.3</v>
      </c>
    </row>
    <row r="2440" spans="1:14">
      <c r="A2440" s="1" t="s">
        <v>2452</v>
      </c>
      <c r="B2440">
        <f>HYPERLINK("https://www.suredividend.com/sure-analysis-research-database/","Rubius Therapeutics Inc")</f>
        <v>0</v>
      </c>
      <c r="C2440" t="s">
        <v>3180</v>
      </c>
      <c r="D2440">
        <v>0.0172</v>
      </c>
      <c r="E2440">
        <v>0</v>
      </c>
      <c r="F2440" t="s">
        <v>3182</v>
      </c>
      <c r="G2440" t="s">
        <v>3182</v>
      </c>
      <c r="H2440">
        <v>0</v>
      </c>
      <c r="I2440">
        <v>1.556307</v>
      </c>
      <c r="J2440">
        <v>0</v>
      </c>
      <c r="K2440" t="s">
        <v>3182</v>
      </c>
      <c r="M2440">
        <v>0.115</v>
      </c>
      <c r="N2440">
        <v>0.0032</v>
      </c>
    </row>
    <row r="2441" spans="1:14">
      <c r="A2441" s="1" t="s">
        <v>2453</v>
      </c>
      <c r="B2441">
        <f>HYPERLINK("https://www.suredividend.com/sure-analysis-research-database/","Sunrun Inc")</f>
        <v>0</v>
      </c>
      <c r="C2441" t="s">
        <v>3185</v>
      </c>
      <c r="D2441">
        <v>10.45</v>
      </c>
      <c r="E2441">
        <v>0</v>
      </c>
      <c r="F2441" t="s">
        <v>3182</v>
      </c>
      <c r="G2441" t="s">
        <v>3182</v>
      </c>
      <c r="H2441">
        <v>0</v>
      </c>
      <c r="I2441">
        <v>2269.566081</v>
      </c>
      <c r="J2441">
        <v>25.59651370464773</v>
      </c>
      <c r="K2441">
        <v>0</v>
      </c>
      <c r="L2441">
        <v>2.966355761839565</v>
      </c>
      <c r="M2441">
        <v>33.33</v>
      </c>
      <c r="N2441">
        <v>8.43</v>
      </c>
    </row>
    <row r="2442" spans="1:14">
      <c r="A2442" s="1" t="s">
        <v>2454</v>
      </c>
      <c r="B2442">
        <f>HYPERLINK("https://www.suredividend.com/sure-analysis-research-database/","Rush Enterprises Inc")</f>
        <v>0</v>
      </c>
      <c r="C2442" t="s">
        <v>3186</v>
      </c>
      <c r="D2442">
        <v>37.02</v>
      </c>
      <c r="E2442">
        <v>0.015814273032573</v>
      </c>
      <c r="F2442">
        <v>-0.1904761904761904</v>
      </c>
      <c r="G2442">
        <v>0.07214502590085092</v>
      </c>
      <c r="H2442">
        <v>0.585444387665856</v>
      </c>
      <c r="I2442">
        <v>2049.810656</v>
      </c>
      <c r="J2442">
        <v>5.428955307625077</v>
      </c>
      <c r="K2442">
        <v>0.08764137539908025</v>
      </c>
      <c r="L2442">
        <v>0.8789026709850971</v>
      </c>
      <c r="M2442">
        <v>46.11</v>
      </c>
      <c r="N2442">
        <v>31.37</v>
      </c>
    </row>
    <row r="2443" spans="1:14">
      <c r="A2443" s="1" t="s">
        <v>2455</v>
      </c>
      <c r="B2443">
        <f>HYPERLINK("https://www.suredividend.com/sure-analysis-research-database/","Rush Enterprises Inc")</f>
        <v>0</v>
      </c>
      <c r="C2443" t="s">
        <v>3186</v>
      </c>
      <c r="D2443">
        <v>41.7</v>
      </c>
      <c r="E2443">
        <v>0.014047787843846</v>
      </c>
      <c r="F2443">
        <v>-0.1904761904761904</v>
      </c>
      <c r="G2443">
        <v>0.07214502590085092</v>
      </c>
      <c r="H2443">
        <v>0.5857927530883871</v>
      </c>
      <c r="I2443">
        <v>2049.810656</v>
      </c>
      <c r="J2443">
        <v>5.428955307625077</v>
      </c>
      <c r="K2443">
        <v>0.0876935259114352</v>
      </c>
      <c r="L2443">
        <v>0.9252624934647661</v>
      </c>
      <c r="M2443">
        <v>49.86</v>
      </c>
      <c r="N2443">
        <v>32.58</v>
      </c>
    </row>
    <row r="2444" spans="1:14">
      <c r="A2444" s="1" t="s">
        <v>2456</v>
      </c>
      <c r="B2444">
        <f>HYPERLINK("https://www.suredividend.com/sure-analysis-research-database/","Ruths Hospitality Group Inc")</f>
        <v>0</v>
      </c>
      <c r="C2444" t="s">
        <v>3186</v>
      </c>
      <c r="D2444">
        <v>21.49</v>
      </c>
      <c r="E2444">
        <v>0</v>
      </c>
      <c r="F2444" t="s">
        <v>3182</v>
      </c>
      <c r="G2444" t="s">
        <v>3182</v>
      </c>
      <c r="H2444">
        <v>0.439999997615814</v>
      </c>
      <c r="I2444">
        <v>0</v>
      </c>
      <c r="J2444">
        <v>0</v>
      </c>
      <c r="K2444">
        <v>0.3697478971561463</v>
      </c>
    </row>
    <row r="2445" spans="1:14">
      <c r="A2445" s="1" t="s">
        <v>2457</v>
      </c>
      <c r="B2445">
        <f>HYPERLINK("https://www.suredividend.com/sure-analysis-research-database/","Retail Value Inc")</f>
        <v>0</v>
      </c>
      <c r="C2445" t="s">
        <v>3187</v>
      </c>
      <c r="D2445">
        <v>3</v>
      </c>
      <c r="E2445">
        <v>0</v>
      </c>
      <c r="F2445" t="s">
        <v>3182</v>
      </c>
      <c r="G2445" t="s">
        <v>3182</v>
      </c>
      <c r="H2445">
        <v>0</v>
      </c>
      <c r="I2445">
        <v>63.35145</v>
      </c>
      <c r="J2445">
        <v>0</v>
      </c>
      <c r="K2445" t="s">
        <v>3182</v>
      </c>
      <c r="L2445">
        <v>0.324953635968146</v>
      </c>
      <c r="M2445">
        <v>3.49</v>
      </c>
      <c r="N2445">
        <v>1.58</v>
      </c>
    </row>
    <row r="2446" spans="1:14">
      <c r="A2446" s="1" t="s">
        <v>2458</v>
      </c>
      <c r="B2446">
        <f>HYPERLINK("https://www.suredividend.com/sure-analysis-research-database/","Revance Therapeutics Inc")</f>
        <v>0</v>
      </c>
      <c r="C2446" t="s">
        <v>3180</v>
      </c>
      <c r="D2446">
        <v>8.44</v>
      </c>
      <c r="E2446">
        <v>0</v>
      </c>
      <c r="F2446" t="s">
        <v>3182</v>
      </c>
      <c r="G2446" t="s">
        <v>3182</v>
      </c>
      <c r="H2446">
        <v>0</v>
      </c>
      <c r="I2446">
        <v>742.343213</v>
      </c>
      <c r="J2446">
        <v>0</v>
      </c>
      <c r="K2446" t="s">
        <v>3182</v>
      </c>
      <c r="L2446">
        <v>1.334178998414893</v>
      </c>
      <c r="M2446">
        <v>37.98</v>
      </c>
      <c r="N2446">
        <v>7.51</v>
      </c>
    </row>
    <row r="2447" spans="1:14">
      <c r="A2447" s="1" t="s">
        <v>2459</v>
      </c>
      <c r="B2447">
        <f>HYPERLINK("https://www.suredividend.com/sure-analysis-research-database/","Retractable Technologies Inc")</f>
        <v>0</v>
      </c>
      <c r="C2447" t="s">
        <v>3180</v>
      </c>
      <c r="D2447">
        <v>1.1</v>
      </c>
      <c r="E2447">
        <v>0</v>
      </c>
      <c r="F2447" t="s">
        <v>3182</v>
      </c>
      <c r="G2447" t="s">
        <v>3182</v>
      </c>
      <c r="H2447">
        <v>0</v>
      </c>
      <c r="I2447">
        <v>32.930875</v>
      </c>
      <c r="J2447">
        <v>0</v>
      </c>
      <c r="K2447" t="s">
        <v>3182</v>
      </c>
      <c r="L2447">
        <v>0.7608191197060761</v>
      </c>
      <c r="M2447">
        <v>2.49</v>
      </c>
      <c r="N2447">
        <v>1.02</v>
      </c>
    </row>
    <row r="2448" spans="1:14">
      <c r="A2448" s="1" t="s">
        <v>2460</v>
      </c>
      <c r="B2448">
        <f>HYPERLINK("https://www.suredividend.com/sure-analysis-research-database/","Riverview Bancorp, Inc.")</f>
        <v>0</v>
      </c>
      <c r="C2448" t="s">
        <v>3184</v>
      </c>
      <c r="D2448">
        <v>5.49</v>
      </c>
      <c r="E2448">
        <v>0.042278928004614</v>
      </c>
      <c r="F2448">
        <v>0</v>
      </c>
      <c r="G2448">
        <v>0.08447177119769855</v>
      </c>
      <c r="H2448">
        <v>0.232111314745334</v>
      </c>
      <c r="I2448">
        <v>115.959335</v>
      </c>
      <c r="J2448">
        <v>0</v>
      </c>
      <c r="K2448" t="s">
        <v>3182</v>
      </c>
      <c r="L2448">
        <v>0.5316620124629371</v>
      </c>
      <c r="M2448">
        <v>7.43</v>
      </c>
      <c r="N2448">
        <v>3.99</v>
      </c>
    </row>
    <row r="2449" spans="1:14">
      <c r="A2449" s="1" t="s">
        <v>2461</v>
      </c>
      <c r="B2449">
        <f>HYPERLINK("https://www.suredividend.com/sure-analysis-research-database/","Redwood Trust Inc.")</f>
        <v>0</v>
      </c>
      <c r="C2449" t="s">
        <v>3187</v>
      </c>
      <c r="D2449">
        <v>6.7</v>
      </c>
      <c r="E2449">
        <v>0.11163691699795</v>
      </c>
      <c r="F2449">
        <v>-0.3043478260869565</v>
      </c>
      <c r="G2449">
        <v>-0.1181397937782795</v>
      </c>
      <c r="H2449">
        <v>0.7479673438862661</v>
      </c>
      <c r="I2449">
        <v>765.372108</v>
      </c>
      <c r="J2449" t="s">
        <v>3182</v>
      </c>
      <c r="K2449" t="s">
        <v>3182</v>
      </c>
      <c r="L2449">
        <v>1.176425688997853</v>
      </c>
      <c r="M2449">
        <v>8.119999999999999</v>
      </c>
      <c r="N2449">
        <v>5.22</v>
      </c>
    </row>
    <row r="2450" spans="1:14">
      <c r="A2450" s="1" t="s">
        <v>2462</v>
      </c>
      <c r="B2450">
        <f>HYPERLINK("https://www.suredividend.com/sure-analysis-research-database/","Rayonier Advanced Materials Inc")</f>
        <v>0</v>
      </c>
      <c r="C2450" t="s">
        <v>3181</v>
      </c>
      <c r="D2450">
        <v>2.73</v>
      </c>
      <c r="E2450">
        <v>0</v>
      </c>
      <c r="F2450" t="s">
        <v>3182</v>
      </c>
      <c r="G2450" t="s">
        <v>3182</v>
      </c>
      <c r="H2450">
        <v>0</v>
      </c>
      <c r="I2450">
        <v>178.387531</v>
      </c>
      <c r="J2450">
        <v>9.879681609437306</v>
      </c>
      <c r="K2450">
        <v>0</v>
      </c>
      <c r="L2450">
        <v>1.762250142592515</v>
      </c>
      <c r="M2450">
        <v>9.84</v>
      </c>
      <c r="N2450">
        <v>2.66</v>
      </c>
    </row>
    <row r="2451" spans="1:14">
      <c r="A2451" s="1" t="s">
        <v>2463</v>
      </c>
      <c r="B2451">
        <f>HYPERLINK("https://www.suredividend.com/sure-analysis-research-database/","Ryerson Holding Corp.")</f>
        <v>0</v>
      </c>
      <c r="C2451" t="s">
        <v>3183</v>
      </c>
      <c r="D2451">
        <v>29.08</v>
      </c>
      <c r="E2451">
        <v>0.023625548503552</v>
      </c>
      <c r="F2451" t="s">
        <v>3182</v>
      </c>
      <c r="G2451" t="s">
        <v>3182</v>
      </c>
      <c r="H2451">
        <v>0.6870309504833191</v>
      </c>
      <c r="I2451">
        <v>993.702393</v>
      </c>
      <c r="J2451">
        <v>10.37267633319415</v>
      </c>
      <c r="K2451">
        <v>0.2602389963951966</v>
      </c>
      <c r="L2451">
        <v>1.210957689123166</v>
      </c>
      <c r="M2451">
        <v>44.43</v>
      </c>
      <c r="N2451">
        <v>24.46</v>
      </c>
    </row>
    <row r="2452" spans="1:14">
      <c r="A2452" s="1" t="s">
        <v>2464</v>
      </c>
      <c r="B2452">
        <f>HYPERLINK("https://www.suredividend.com/sure-analysis-RYN/","Rayonier Inc.")</f>
        <v>0</v>
      </c>
      <c r="C2452" t="s">
        <v>3187</v>
      </c>
      <c r="D2452">
        <v>28.57</v>
      </c>
      <c r="E2452">
        <v>0.03990199509975498</v>
      </c>
      <c r="F2452">
        <v>0</v>
      </c>
      <c r="G2452">
        <v>0.01087212085035083</v>
      </c>
      <c r="H2452">
        <v>1.124180803272659</v>
      </c>
      <c r="I2452">
        <v>4236.032702</v>
      </c>
      <c r="J2452">
        <v>52.31026194519567</v>
      </c>
      <c r="K2452">
        <v>2.09227769081083</v>
      </c>
      <c r="L2452">
        <v>1.099205490628395</v>
      </c>
      <c r="M2452">
        <v>36.76</v>
      </c>
      <c r="N2452">
        <v>24.84</v>
      </c>
    </row>
    <row r="2453" spans="1:14">
      <c r="A2453" s="1" t="s">
        <v>2465</v>
      </c>
      <c r="B2453">
        <f>HYPERLINK("https://www.suredividend.com/sure-analysis-research-database/","Rhythm Pharmaceuticals Inc.")</f>
        <v>0</v>
      </c>
      <c r="C2453" t="s">
        <v>3180</v>
      </c>
      <c r="D2453">
        <v>24.99</v>
      </c>
      <c r="E2453">
        <v>0</v>
      </c>
      <c r="F2453" t="s">
        <v>3182</v>
      </c>
      <c r="G2453" t="s">
        <v>3182</v>
      </c>
      <c r="H2453">
        <v>0</v>
      </c>
      <c r="I2453">
        <v>1421.969235</v>
      </c>
      <c r="J2453" t="s">
        <v>3182</v>
      </c>
      <c r="K2453">
        <v>-0</v>
      </c>
      <c r="L2453">
        <v>1.417185875674696</v>
      </c>
      <c r="M2453">
        <v>34.99</v>
      </c>
      <c r="N2453">
        <v>15.5</v>
      </c>
    </row>
    <row r="2454" spans="1:14">
      <c r="A2454" s="1" t="s">
        <v>2466</v>
      </c>
      <c r="B2454">
        <f>HYPERLINK("https://www.suredividend.com/sure-analysis-research-database/","SentinelOne Inc")</f>
        <v>0</v>
      </c>
      <c r="C2454" t="s">
        <v>3182</v>
      </c>
      <c r="D2454">
        <v>15.15</v>
      </c>
      <c r="E2454">
        <v>0</v>
      </c>
      <c r="F2454" t="s">
        <v>3182</v>
      </c>
      <c r="G2454" t="s">
        <v>3182</v>
      </c>
      <c r="H2454">
        <v>0</v>
      </c>
      <c r="I2454">
        <v>3669.023606</v>
      </c>
      <c r="J2454" t="s">
        <v>3182</v>
      </c>
      <c r="K2454">
        <v>-0</v>
      </c>
      <c r="L2454">
        <v>1.857719564732167</v>
      </c>
      <c r="M2454">
        <v>21.96</v>
      </c>
      <c r="N2454">
        <v>12.43</v>
      </c>
    </row>
    <row r="2455" spans="1:14">
      <c r="A2455" s="1" t="s">
        <v>2467</v>
      </c>
      <c r="B2455">
        <f>HYPERLINK("https://www.suredividend.com/sure-analysis-research-database/","Sabre Corp")</f>
        <v>0</v>
      </c>
      <c r="C2455" t="s">
        <v>3185</v>
      </c>
      <c r="D2455">
        <v>4.14</v>
      </c>
      <c r="E2455">
        <v>0</v>
      </c>
      <c r="F2455" t="s">
        <v>3182</v>
      </c>
      <c r="G2455" t="s">
        <v>3182</v>
      </c>
      <c r="H2455">
        <v>0</v>
      </c>
      <c r="I2455">
        <v>1375.853019</v>
      </c>
      <c r="J2455" t="s">
        <v>3182</v>
      </c>
      <c r="K2455">
        <v>-0</v>
      </c>
      <c r="L2455">
        <v>1.955691628946116</v>
      </c>
      <c r="M2455">
        <v>7.92</v>
      </c>
      <c r="N2455">
        <v>2.99</v>
      </c>
    </row>
    <row r="2456" spans="1:14">
      <c r="A2456" s="1" t="s">
        <v>2468</v>
      </c>
      <c r="B2456">
        <f>HYPERLINK("https://www.suredividend.com/sure-analysis-SACH/","Sachem Capital Corp")</f>
        <v>0</v>
      </c>
      <c r="C2456" t="s">
        <v>3187</v>
      </c>
      <c r="D2456">
        <v>3.32</v>
      </c>
      <c r="E2456">
        <v>0.1566265060240964</v>
      </c>
      <c r="F2456" t="s">
        <v>3182</v>
      </c>
      <c r="G2456" t="s">
        <v>3182</v>
      </c>
      <c r="H2456">
        <v>0.551898588420503</v>
      </c>
      <c r="I2456">
        <v>150.550144</v>
      </c>
      <c r="J2456">
        <v>0</v>
      </c>
      <c r="K2456" t="s">
        <v>3182</v>
      </c>
      <c r="L2456">
        <v>1.011326080990038</v>
      </c>
      <c r="M2456">
        <v>3.5</v>
      </c>
      <c r="N2456">
        <v>2.56</v>
      </c>
    </row>
    <row r="2457" spans="1:14">
      <c r="A2457" s="1" t="s">
        <v>2469</v>
      </c>
      <c r="B2457">
        <f>HYPERLINK("https://www.suredividend.com/sure-analysis-SAFE/","Safehold Inc.")</f>
        <v>0</v>
      </c>
      <c r="C2457" t="s">
        <v>3187</v>
      </c>
      <c r="D2457">
        <v>16.64</v>
      </c>
      <c r="E2457">
        <v>0.04266826923076922</v>
      </c>
      <c r="F2457">
        <v>0</v>
      </c>
      <c r="G2457">
        <v>0.03365688434519343</v>
      </c>
      <c r="H2457">
        <v>0.529217706203939</v>
      </c>
      <c r="I2457">
        <v>1182.544563</v>
      </c>
      <c r="J2457" t="s">
        <v>3182</v>
      </c>
      <c r="K2457" t="s">
        <v>3182</v>
      </c>
      <c r="L2457">
        <v>3.325776480285877</v>
      </c>
      <c r="M2457">
        <v>29.75</v>
      </c>
      <c r="N2457">
        <v>6.55</v>
      </c>
    </row>
    <row r="2458" spans="1:14">
      <c r="A2458" s="1" t="s">
        <v>2470</v>
      </c>
      <c r="B2458">
        <f>HYPERLINK("https://www.suredividend.com/sure-analysis-research-database/","Sanderson Farms, Inc.")</f>
        <v>0</v>
      </c>
      <c r="C2458" t="s">
        <v>3188</v>
      </c>
      <c r="D2458">
        <v>204</v>
      </c>
      <c r="E2458">
        <v>0</v>
      </c>
      <c r="F2458" t="s">
        <v>3182</v>
      </c>
      <c r="G2458" t="s">
        <v>3182</v>
      </c>
      <c r="H2458">
        <v>1.759999990463256</v>
      </c>
      <c r="I2458">
        <v>0</v>
      </c>
      <c r="J2458">
        <v>0</v>
      </c>
      <c r="K2458">
        <v>0.04553686909348657</v>
      </c>
    </row>
    <row r="2459" spans="1:14">
      <c r="A2459" s="1" t="s">
        <v>2471</v>
      </c>
      <c r="B2459">
        <f>HYPERLINK("https://www.suredividend.com/sure-analysis-research-database/","Safety Insurance Group, Inc.")</f>
        <v>0</v>
      </c>
      <c r="C2459" t="s">
        <v>3184</v>
      </c>
      <c r="D2459">
        <v>78.3</v>
      </c>
      <c r="E2459">
        <v>0.044427016921821</v>
      </c>
      <c r="F2459">
        <v>0</v>
      </c>
      <c r="G2459">
        <v>0.02383625553960966</v>
      </c>
      <c r="H2459">
        <v>3.478635424978584</v>
      </c>
      <c r="I2459">
        <v>1158.206318</v>
      </c>
      <c r="J2459">
        <v>32.8345613794863</v>
      </c>
      <c r="K2459">
        <v>1.44943142707441</v>
      </c>
      <c r="L2459">
        <v>0.43691507309543</v>
      </c>
      <c r="M2459">
        <v>86.52</v>
      </c>
      <c r="N2459">
        <v>64.31</v>
      </c>
    </row>
    <row r="2460" spans="1:14">
      <c r="A2460" s="1" t="s">
        <v>2472</v>
      </c>
      <c r="B2460">
        <f>HYPERLINK("https://www.suredividend.com/sure-analysis-research-database/","Sage Therapeutics Inc")</f>
        <v>0</v>
      </c>
      <c r="C2460" t="s">
        <v>3180</v>
      </c>
      <c r="D2460">
        <v>19.56</v>
      </c>
      <c r="E2460">
        <v>0</v>
      </c>
      <c r="F2460" t="s">
        <v>3182</v>
      </c>
      <c r="G2460" t="s">
        <v>3182</v>
      </c>
      <c r="H2460">
        <v>0</v>
      </c>
      <c r="I2460">
        <v>1171.329925</v>
      </c>
      <c r="J2460" t="s">
        <v>3182</v>
      </c>
      <c r="K2460">
        <v>-0</v>
      </c>
      <c r="L2460">
        <v>0.803786136314897</v>
      </c>
      <c r="M2460">
        <v>59.99</v>
      </c>
      <c r="N2460">
        <v>16.52</v>
      </c>
    </row>
    <row r="2461" spans="1:14">
      <c r="A2461" s="1" t="s">
        <v>2473</v>
      </c>
      <c r="B2461">
        <f>HYPERLINK("https://www.suredividend.com/sure-analysis-research-database/","Sonic Automotive, Inc.")</f>
        <v>0</v>
      </c>
      <c r="C2461" t="s">
        <v>3186</v>
      </c>
      <c r="D2461">
        <v>51.01</v>
      </c>
      <c r="E2461">
        <v>0.022158337484282</v>
      </c>
      <c r="F2461">
        <v>0.1599999999999999</v>
      </c>
      <c r="G2461">
        <v>0.370406309505932</v>
      </c>
      <c r="H2461">
        <v>1.130296795073255</v>
      </c>
      <c r="I2461">
        <v>1114.939802</v>
      </c>
      <c r="J2461" t="s">
        <v>3182</v>
      </c>
      <c r="K2461" t="s">
        <v>3182</v>
      </c>
      <c r="L2461">
        <v>0.9313236005369341</v>
      </c>
      <c r="M2461">
        <v>61.2</v>
      </c>
      <c r="N2461">
        <v>38.56</v>
      </c>
    </row>
    <row r="2462" spans="1:14">
      <c r="A2462" s="1" t="s">
        <v>2474</v>
      </c>
      <c r="B2462">
        <f>HYPERLINK("https://www.suredividend.com/sure-analysis-research-database/","Saia Inc.")</f>
        <v>0</v>
      </c>
      <c r="C2462" t="s">
        <v>3183</v>
      </c>
      <c r="D2462">
        <v>377.62</v>
      </c>
      <c r="E2462">
        <v>0</v>
      </c>
      <c r="F2462" t="s">
        <v>3182</v>
      </c>
      <c r="G2462" t="s">
        <v>3182</v>
      </c>
      <c r="H2462">
        <v>0</v>
      </c>
      <c r="I2462">
        <v>10025.03197</v>
      </c>
      <c r="J2462">
        <v>29.79286807058732</v>
      </c>
      <c r="K2462">
        <v>0</v>
      </c>
      <c r="L2462">
        <v>1.596890071275613</v>
      </c>
      <c r="M2462">
        <v>443.85</v>
      </c>
      <c r="N2462">
        <v>197.83</v>
      </c>
    </row>
    <row r="2463" spans="1:14">
      <c r="A2463" s="1" t="s">
        <v>2475</v>
      </c>
      <c r="B2463">
        <f>HYPERLINK("https://www.suredividend.com/sure-analysis-research-database/","Science Applications International Corp.")</f>
        <v>0</v>
      </c>
      <c r="C2463" t="s">
        <v>3185</v>
      </c>
      <c r="D2463">
        <v>110.11</v>
      </c>
      <c r="E2463">
        <v>0.013375254610387</v>
      </c>
      <c r="F2463">
        <v>0</v>
      </c>
      <c r="G2463">
        <v>0.03601968190208304</v>
      </c>
      <c r="H2463">
        <v>1.472749285149764</v>
      </c>
      <c r="I2463">
        <v>5828.711829</v>
      </c>
      <c r="J2463">
        <v>11.68078522833667</v>
      </c>
      <c r="K2463">
        <v>0.1618405807856884</v>
      </c>
      <c r="L2463">
        <v>0.5057988618207291</v>
      </c>
      <c r="M2463">
        <v>123.13</v>
      </c>
      <c r="N2463">
        <v>94.81</v>
      </c>
    </row>
    <row r="2464" spans="1:14">
      <c r="A2464" s="1" t="s">
        <v>2476</v>
      </c>
      <c r="B2464">
        <f>HYPERLINK("https://www.suredividend.com/sure-analysis-research-database/","SailPoint Technologies Holdings Inc")</f>
        <v>0</v>
      </c>
      <c r="C2464" t="s">
        <v>3185</v>
      </c>
      <c r="D2464">
        <v>65.23999999999999</v>
      </c>
      <c r="E2464">
        <v>0</v>
      </c>
      <c r="F2464" t="s">
        <v>3182</v>
      </c>
      <c r="G2464" t="s">
        <v>3182</v>
      </c>
      <c r="H2464">
        <v>0</v>
      </c>
      <c r="I2464">
        <v>6185.556996</v>
      </c>
      <c r="J2464" t="s">
        <v>3182</v>
      </c>
      <c r="K2464">
        <v>-0</v>
      </c>
      <c r="L2464">
        <v>0.5383165590719741</v>
      </c>
      <c r="M2464">
        <v>65.23999999999999</v>
      </c>
      <c r="N2464">
        <v>34.98</v>
      </c>
    </row>
    <row r="2465" spans="1:14">
      <c r="A2465" s="1" t="s">
        <v>2477</v>
      </c>
      <c r="B2465">
        <f>HYPERLINK("https://www.suredividend.com/sure-analysis-research-database/","Salisbury Bancorp, Inc.")</f>
        <v>0</v>
      </c>
      <c r="C2465" t="s">
        <v>3184</v>
      </c>
      <c r="D2465">
        <v>27.88</v>
      </c>
      <c r="E2465">
        <v>0</v>
      </c>
      <c r="F2465">
        <v>-1</v>
      </c>
      <c r="G2465">
        <v>-1</v>
      </c>
      <c r="H2465">
        <v>0.4799999892711641</v>
      </c>
      <c r="I2465">
        <v>0</v>
      </c>
      <c r="J2465">
        <v>0</v>
      </c>
      <c r="K2465" t="s">
        <v>3182</v>
      </c>
    </row>
    <row r="2466" spans="1:14">
      <c r="A2466" s="1" t="s">
        <v>2478</v>
      </c>
      <c r="B2466">
        <f>HYPERLINK("https://www.suredividend.com/sure-analysis-research-database/","Salem Media Group Inc")</f>
        <v>0</v>
      </c>
      <c r="C2466" t="s">
        <v>3191</v>
      </c>
      <c r="D2466">
        <v>0.67</v>
      </c>
      <c r="E2466">
        <v>0</v>
      </c>
      <c r="F2466" t="s">
        <v>3182</v>
      </c>
      <c r="G2466" t="s">
        <v>3182</v>
      </c>
      <c r="H2466">
        <v>0</v>
      </c>
      <c r="I2466">
        <v>14.514271</v>
      </c>
      <c r="J2466" t="s">
        <v>3182</v>
      </c>
      <c r="K2466">
        <v>-0</v>
      </c>
      <c r="L2466">
        <v>0.6889779333756391</v>
      </c>
      <c r="M2466">
        <v>1.7</v>
      </c>
      <c r="N2466">
        <v>0.5397000000000001</v>
      </c>
    </row>
    <row r="2467" spans="1:14">
      <c r="A2467" s="1" t="s">
        <v>2479</v>
      </c>
      <c r="B2467">
        <f>HYPERLINK("https://www.suredividend.com/sure-analysis-research-database/","Boston Beer Co., Inc.")</f>
        <v>0</v>
      </c>
      <c r="C2467" t="s">
        <v>3188</v>
      </c>
      <c r="D2467">
        <v>333.17</v>
      </c>
      <c r="E2467">
        <v>0</v>
      </c>
      <c r="F2467" t="s">
        <v>3182</v>
      </c>
      <c r="G2467" t="s">
        <v>3182</v>
      </c>
      <c r="H2467">
        <v>0</v>
      </c>
      <c r="I2467">
        <v>3372.697235</v>
      </c>
      <c r="J2467">
        <v>40.65596917487373</v>
      </c>
      <c r="K2467">
        <v>0</v>
      </c>
      <c r="L2467">
        <v>1.151362361527418</v>
      </c>
      <c r="M2467">
        <v>420.84</v>
      </c>
      <c r="N2467">
        <v>296.27</v>
      </c>
    </row>
    <row r="2468" spans="1:14">
      <c r="A2468" s="1" t="s">
        <v>2480</v>
      </c>
      <c r="B2468">
        <f>HYPERLINK("https://www.suredividend.com/sure-analysis-research-database/","Silvercrest Asset Management Group Inc")</f>
        <v>0</v>
      </c>
      <c r="C2468" t="s">
        <v>3184</v>
      </c>
      <c r="D2468">
        <v>17.8</v>
      </c>
      <c r="E2468">
        <v>0.03996896064579401</v>
      </c>
      <c r="F2468">
        <v>0.05555555555555558</v>
      </c>
      <c r="G2468">
        <v>0.06298004826234438</v>
      </c>
      <c r="H2468">
        <v>0.7114474994951501</v>
      </c>
      <c r="I2468">
        <v>166.847285</v>
      </c>
      <c r="J2468">
        <v>0</v>
      </c>
      <c r="K2468" t="s">
        <v>3182</v>
      </c>
      <c r="L2468">
        <v>0.936819538276585</v>
      </c>
      <c r="M2468">
        <v>22.74</v>
      </c>
      <c r="N2468">
        <v>14.39</v>
      </c>
    </row>
    <row r="2469" spans="1:14">
      <c r="A2469" s="1" t="s">
        <v>2481</v>
      </c>
      <c r="B2469">
        <f>HYPERLINK("https://www.suredividend.com/sure-analysis-research-database/","Sanmina Corp")</f>
        <v>0</v>
      </c>
      <c r="C2469" t="s">
        <v>3185</v>
      </c>
      <c r="D2469">
        <v>52.16</v>
      </c>
      <c r="E2469">
        <v>0</v>
      </c>
      <c r="F2469" t="s">
        <v>3182</v>
      </c>
      <c r="G2469" t="s">
        <v>3182</v>
      </c>
      <c r="H2469">
        <v>0</v>
      </c>
      <c r="I2469">
        <v>3035.712</v>
      </c>
      <c r="J2469">
        <v>10.21726194482963</v>
      </c>
      <c r="K2469">
        <v>0</v>
      </c>
      <c r="L2469">
        <v>1.083773241454492</v>
      </c>
      <c r="M2469">
        <v>69.28</v>
      </c>
      <c r="N2469">
        <v>49.07</v>
      </c>
    </row>
    <row r="2470" spans="1:14">
      <c r="A2470" s="1" t="s">
        <v>2482</v>
      </c>
      <c r="B2470">
        <f>HYPERLINK("https://www.suredividend.com/sure-analysis-research-database/","S&amp;W Seed Co")</f>
        <v>0</v>
      </c>
      <c r="C2470" t="s">
        <v>3188</v>
      </c>
      <c r="D2470">
        <v>0.66</v>
      </c>
      <c r="E2470">
        <v>0</v>
      </c>
      <c r="F2470" t="s">
        <v>3182</v>
      </c>
      <c r="G2470" t="s">
        <v>3182</v>
      </c>
      <c r="H2470">
        <v>0</v>
      </c>
      <c r="I2470">
        <v>28.405889</v>
      </c>
      <c r="J2470">
        <v>0</v>
      </c>
      <c r="K2470" t="s">
        <v>3182</v>
      </c>
      <c r="L2470">
        <v>0.608149400748491</v>
      </c>
      <c r="M2470">
        <v>2.14</v>
      </c>
      <c r="N2470">
        <v>0.65</v>
      </c>
    </row>
    <row r="2471" spans="1:14">
      <c r="A2471" s="1" t="s">
        <v>2483</v>
      </c>
      <c r="B2471">
        <f>HYPERLINK("https://www.suredividend.com/sure-analysis-research-database/","Sandy Spring Bancorp")</f>
        <v>0</v>
      </c>
      <c r="C2471" t="s">
        <v>3184</v>
      </c>
      <c r="D2471">
        <v>21.88</v>
      </c>
      <c r="E2471">
        <v>0.05978975458623301</v>
      </c>
      <c r="F2471">
        <v>0</v>
      </c>
      <c r="G2471">
        <v>0.03959498820755258</v>
      </c>
      <c r="H2471">
        <v>1.30819983034678</v>
      </c>
      <c r="I2471">
        <v>981.588634</v>
      </c>
      <c r="J2471">
        <v>6.857494594281163</v>
      </c>
      <c r="K2471">
        <v>0.4100939907043197</v>
      </c>
      <c r="L2471">
        <v>0.9922780648361741</v>
      </c>
      <c r="M2471">
        <v>33.75</v>
      </c>
      <c r="N2471">
        <v>18.63</v>
      </c>
    </row>
    <row r="2472" spans="1:14">
      <c r="A2472" s="1" t="s">
        <v>2484</v>
      </c>
      <c r="B2472">
        <f>HYPERLINK("https://www.suredividend.com/sure-analysis-research-database/","EchoStar Corp")</f>
        <v>0</v>
      </c>
      <c r="C2472" t="s">
        <v>3185</v>
      </c>
      <c r="D2472">
        <v>14.81</v>
      </c>
      <c r="E2472">
        <v>0</v>
      </c>
      <c r="F2472" t="s">
        <v>3182</v>
      </c>
      <c r="G2472" t="s">
        <v>3182</v>
      </c>
      <c r="H2472">
        <v>0</v>
      </c>
      <c r="I2472">
        <v>535.563396</v>
      </c>
      <c r="J2472">
        <v>4.784037199592668</v>
      </c>
      <c r="K2472">
        <v>0</v>
      </c>
      <c r="L2472">
        <v>1.048183161098554</v>
      </c>
      <c r="M2472">
        <v>24.8</v>
      </c>
      <c r="N2472">
        <v>13.21</v>
      </c>
    </row>
    <row r="2473" spans="1:14">
      <c r="A2473" s="1" t="s">
        <v>2485</v>
      </c>
      <c r="B2473">
        <f>HYPERLINK("https://www.suredividend.com/sure-analysis-research-database/","Cassava Sciences Inc")</f>
        <v>0</v>
      </c>
      <c r="C2473" t="s">
        <v>3180</v>
      </c>
      <c r="D2473">
        <v>24.24</v>
      </c>
      <c r="E2473">
        <v>0</v>
      </c>
      <c r="F2473" t="s">
        <v>3182</v>
      </c>
      <c r="G2473" t="s">
        <v>3182</v>
      </c>
      <c r="H2473">
        <v>0</v>
      </c>
      <c r="I2473">
        <v>1017.352655</v>
      </c>
      <c r="J2473">
        <v>0</v>
      </c>
      <c r="K2473" t="s">
        <v>3182</v>
      </c>
      <c r="L2473">
        <v>1.300501368068396</v>
      </c>
      <c r="M2473">
        <v>45.43</v>
      </c>
      <c r="N2473">
        <v>12.32</v>
      </c>
    </row>
    <row r="2474" spans="1:14">
      <c r="A2474" s="1" t="s">
        <v>2486</v>
      </c>
      <c r="B2474">
        <f>HYPERLINK("https://www.suredividend.com/sure-analysis-research-database/","Spirit Airlines Inc")</f>
        <v>0</v>
      </c>
      <c r="C2474" t="s">
        <v>3183</v>
      </c>
      <c r="D2474">
        <v>11.11</v>
      </c>
      <c r="E2474">
        <v>0</v>
      </c>
      <c r="F2474" t="s">
        <v>3182</v>
      </c>
      <c r="G2474" t="s">
        <v>3182</v>
      </c>
      <c r="H2474">
        <v>0</v>
      </c>
      <c r="I2474">
        <v>1212.851592</v>
      </c>
      <c r="J2474" t="s">
        <v>3182</v>
      </c>
      <c r="K2474">
        <v>-0</v>
      </c>
      <c r="L2474">
        <v>0.5509532700428971</v>
      </c>
      <c r="M2474">
        <v>20.93</v>
      </c>
      <c r="N2474">
        <v>10.73</v>
      </c>
    </row>
    <row r="2475" spans="1:14">
      <c r="A2475" s="1" t="s">
        <v>2487</v>
      </c>
      <c r="B2475">
        <f>HYPERLINK("https://www.suredividend.com/sure-analysis-SBAC/","SBA Communications Corp")</f>
        <v>0</v>
      </c>
      <c r="C2475" t="s">
        <v>3187</v>
      </c>
      <c r="D2475">
        <v>217.4</v>
      </c>
      <c r="E2475">
        <v>0.015639374425023</v>
      </c>
      <c r="F2475" t="s">
        <v>3182</v>
      </c>
      <c r="G2475" t="s">
        <v>3182</v>
      </c>
      <c r="H2475">
        <v>3.227166168783633</v>
      </c>
      <c r="I2475">
        <v>23562.404198</v>
      </c>
      <c r="J2475">
        <v>46.36853754779546</v>
      </c>
      <c r="K2475">
        <v>0.6940142298459425</v>
      </c>
      <c r="L2475">
        <v>1.073571416598531</v>
      </c>
      <c r="M2475">
        <v>306.52</v>
      </c>
      <c r="N2475">
        <v>185.23</v>
      </c>
    </row>
    <row r="2476" spans="1:14">
      <c r="A2476" s="1" t="s">
        <v>2488</v>
      </c>
      <c r="B2476">
        <f>HYPERLINK("https://www.suredividend.com/sure-analysis-research-database/","Seacoast Banking Corp. Of Florida")</f>
        <v>0</v>
      </c>
      <c r="C2476" t="s">
        <v>3184</v>
      </c>
      <c r="D2476">
        <v>21.62</v>
      </c>
      <c r="E2476">
        <v>0.031702789890989</v>
      </c>
      <c r="F2476" t="s">
        <v>3182</v>
      </c>
      <c r="G2476" t="s">
        <v>3182</v>
      </c>
      <c r="H2476">
        <v>0.685414317443197</v>
      </c>
      <c r="I2476">
        <v>1826.89</v>
      </c>
      <c r="J2476">
        <v>18.98264754779717</v>
      </c>
      <c r="K2476">
        <v>0.5354799355024976</v>
      </c>
      <c r="L2476">
        <v>1.444846657669474</v>
      </c>
      <c r="M2476">
        <v>33.44</v>
      </c>
      <c r="N2476">
        <v>17.38</v>
      </c>
    </row>
    <row r="2477" spans="1:14">
      <c r="A2477" s="1" t="s">
        <v>2489</v>
      </c>
      <c r="B2477">
        <f>HYPERLINK("https://www.suredividend.com/sure-analysis-research-database/","SB Financial Group Inc")</f>
        <v>0</v>
      </c>
      <c r="C2477" t="s">
        <v>3184</v>
      </c>
      <c r="D2477">
        <v>13.26</v>
      </c>
      <c r="E2477">
        <v>0.037635845507029</v>
      </c>
      <c r="F2477">
        <v>0.08333333333333348</v>
      </c>
      <c r="G2477">
        <v>0.08869163325077611</v>
      </c>
      <c r="H2477">
        <v>0.499051311423204</v>
      </c>
      <c r="I2477">
        <v>90.786075</v>
      </c>
      <c r="J2477">
        <v>0</v>
      </c>
      <c r="K2477" t="s">
        <v>3182</v>
      </c>
      <c r="M2477">
        <v>16.78</v>
      </c>
      <c r="N2477">
        <v>11.59</v>
      </c>
    </row>
    <row r="2478" spans="1:14">
      <c r="A2478" s="1" t="s">
        <v>2490</v>
      </c>
      <c r="B2478">
        <f>HYPERLINK("https://www.suredividend.com/sure-analysis-research-database/","Sinclair Inc")</f>
        <v>0</v>
      </c>
      <c r="C2478" t="s">
        <v>3191</v>
      </c>
      <c r="D2478">
        <v>14.25</v>
      </c>
      <c r="E2478">
        <v>0.017543859649122</v>
      </c>
      <c r="F2478">
        <v>0</v>
      </c>
      <c r="G2478">
        <v>0.04563955259127317</v>
      </c>
      <c r="H2478">
        <v>0.25</v>
      </c>
      <c r="I2478">
        <v>565.001941</v>
      </c>
      <c r="J2478">
        <v>0</v>
      </c>
      <c r="K2478" t="s">
        <v>3182</v>
      </c>
      <c r="L2478">
        <v>1.373162906069192</v>
      </c>
      <c r="M2478">
        <v>15.86</v>
      </c>
      <c r="N2478">
        <v>9.390000000000001</v>
      </c>
    </row>
    <row r="2479" spans="1:14">
      <c r="A2479" s="1" t="s">
        <v>2491</v>
      </c>
      <c r="B2479">
        <f>HYPERLINK("https://www.suredividend.com/sure-analysis-research-database/","Sally Beauty Holdings Inc")</f>
        <v>0</v>
      </c>
      <c r="C2479" t="s">
        <v>3186</v>
      </c>
      <c r="D2479">
        <v>9.01</v>
      </c>
      <c r="E2479">
        <v>0</v>
      </c>
      <c r="F2479" t="s">
        <v>3182</v>
      </c>
      <c r="G2479" t="s">
        <v>3182</v>
      </c>
      <c r="H2479">
        <v>0</v>
      </c>
      <c r="I2479">
        <v>971.003673</v>
      </c>
      <c r="J2479">
        <v>5.94398638905723</v>
      </c>
      <c r="K2479">
        <v>0</v>
      </c>
      <c r="L2479">
        <v>1.170855875779042</v>
      </c>
      <c r="M2479">
        <v>18.42</v>
      </c>
      <c r="N2479">
        <v>7.21</v>
      </c>
    </row>
    <row r="2480" spans="1:14">
      <c r="A2480" s="1" t="s">
        <v>2492</v>
      </c>
      <c r="B2480">
        <f>HYPERLINK("https://www.suredividend.com/sure-analysis-research-database/","Signature Bank")</f>
        <v>0</v>
      </c>
      <c r="C2480" t="s">
        <v>3184</v>
      </c>
      <c r="D2480">
        <v>0.016</v>
      </c>
      <c r="E2480">
        <v>43.74999925494194</v>
      </c>
      <c r="F2480" t="s">
        <v>3182</v>
      </c>
      <c r="G2480" t="s">
        <v>3182</v>
      </c>
      <c r="H2480">
        <v>0.699999988079071</v>
      </c>
      <c r="I2480">
        <v>0.970121</v>
      </c>
      <c r="J2480">
        <v>0.0007464493401290001</v>
      </c>
      <c r="K2480">
        <v>0.03371868921382808</v>
      </c>
      <c r="M2480">
        <v>0.6000000000000001</v>
      </c>
      <c r="N2480">
        <v>0.0003</v>
      </c>
    </row>
    <row r="2481" spans="1:14">
      <c r="A2481" s="1" t="s">
        <v>2493</v>
      </c>
      <c r="B2481">
        <f>HYPERLINK("https://www.suredividend.com/sure-analysis-research-database/","SilverBow Resources Inc")</f>
        <v>0</v>
      </c>
      <c r="C2481" t="s">
        <v>3189</v>
      </c>
      <c r="D2481">
        <v>36.36</v>
      </c>
      <c r="E2481">
        <v>0</v>
      </c>
      <c r="F2481" t="s">
        <v>3182</v>
      </c>
      <c r="G2481" t="s">
        <v>3182</v>
      </c>
      <c r="H2481">
        <v>0</v>
      </c>
      <c r="I2481">
        <v>822.403242</v>
      </c>
      <c r="J2481">
        <v>0</v>
      </c>
      <c r="K2481" t="s">
        <v>3182</v>
      </c>
      <c r="L2481">
        <v>1.689679183235501</v>
      </c>
      <c r="M2481">
        <v>43.95</v>
      </c>
      <c r="N2481">
        <v>19.13</v>
      </c>
    </row>
    <row r="2482" spans="1:14">
      <c r="A2482" s="1" t="s">
        <v>2494</v>
      </c>
      <c r="B2482">
        <f>HYPERLINK("https://www.suredividend.com/sure-analysis-SBRA/","Sabra Healthcare REIT Inc")</f>
        <v>0</v>
      </c>
      <c r="C2482" t="s">
        <v>3187</v>
      </c>
      <c r="D2482">
        <v>14.23</v>
      </c>
      <c r="E2482">
        <v>0.08432888264230498</v>
      </c>
      <c r="F2482">
        <v>0</v>
      </c>
      <c r="G2482">
        <v>-0.07789208851827223</v>
      </c>
      <c r="H2482">
        <v>1.156497776365832</v>
      </c>
      <c r="I2482">
        <v>3290.241503</v>
      </c>
      <c r="J2482" t="s">
        <v>3182</v>
      </c>
      <c r="K2482" t="s">
        <v>3182</v>
      </c>
      <c r="L2482">
        <v>0.839095953054881</v>
      </c>
      <c r="M2482">
        <v>14.72</v>
      </c>
      <c r="N2482">
        <v>9.58</v>
      </c>
    </row>
    <row r="2483" spans="1:14">
      <c r="A2483" s="1" t="s">
        <v>2495</v>
      </c>
      <c r="B2483">
        <f>HYPERLINK("https://www.suredividend.com/sure-analysis-SBSI/","Southside Bancshares Inc")</f>
        <v>0</v>
      </c>
      <c r="C2483" t="s">
        <v>3184</v>
      </c>
      <c r="D2483">
        <v>28.17</v>
      </c>
      <c r="E2483">
        <v>0.04969826056088036</v>
      </c>
      <c r="F2483">
        <v>7.75</v>
      </c>
      <c r="G2483">
        <v>0.02456913836308061</v>
      </c>
      <c r="H2483">
        <v>1.366821737231763</v>
      </c>
      <c r="I2483">
        <v>850.638616</v>
      </c>
      <c r="J2483">
        <v>8.765494171509831</v>
      </c>
      <c r="K2483">
        <v>0.4394925200102132</v>
      </c>
      <c r="L2483">
        <v>0.8602244480435191</v>
      </c>
      <c r="M2483">
        <v>39.07</v>
      </c>
      <c r="N2483">
        <v>25.1</v>
      </c>
    </row>
    <row r="2484" spans="1:14">
      <c r="A2484" s="1" t="s">
        <v>2496</v>
      </c>
      <c r="B2484">
        <f>HYPERLINK("https://www.suredividend.com/sure-analysis-research-database/","Sterling Bancorp Inc")</f>
        <v>0</v>
      </c>
      <c r="C2484" t="s">
        <v>3184</v>
      </c>
      <c r="D2484">
        <v>5.67</v>
      </c>
      <c r="E2484">
        <v>0</v>
      </c>
      <c r="F2484" t="s">
        <v>3182</v>
      </c>
      <c r="G2484" t="s">
        <v>3182</v>
      </c>
      <c r="H2484">
        <v>0</v>
      </c>
      <c r="I2484">
        <v>295.271385</v>
      </c>
      <c r="J2484">
        <v>0</v>
      </c>
      <c r="K2484" t="s">
        <v>3182</v>
      </c>
      <c r="L2484">
        <v>0.709071467513775</v>
      </c>
      <c r="M2484">
        <v>6.76</v>
      </c>
      <c r="N2484">
        <v>4.22</v>
      </c>
    </row>
    <row r="2485" spans="1:14">
      <c r="A2485" s="1" t="s">
        <v>2497</v>
      </c>
      <c r="B2485">
        <f>HYPERLINK("https://www.suredividend.com/sure-analysis-SBUX/","Starbucks Corp.")</f>
        <v>0</v>
      </c>
      <c r="C2485" t="s">
        <v>3186</v>
      </c>
      <c r="D2485">
        <v>100.01</v>
      </c>
      <c r="E2485">
        <v>0.0227977202279772</v>
      </c>
      <c r="F2485">
        <v>0</v>
      </c>
      <c r="G2485">
        <v>0.0804251218424088</v>
      </c>
      <c r="H2485">
        <v>2.092380152464874</v>
      </c>
      <c r="I2485">
        <v>114551.454</v>
      </c>
      <c r="J2485">
        <v>30.27658358662614</v>
      </c>
      <c r="K2485">
        <v>0.6379207781905103</v>
      </c>
      <c r="L2485">
        <v>0.8990135010874181</v>
      </c>
      <c r="M2485">
        <v>113.69</v>
      </c>
      <c r="N2485">
        <v>86.45999999999999</v>
      </c>
    </row>
    <row r="2486" spans="1:14">
      <c r="A2486" s="1" t="s">
        <v>2498</v>
      </c>
      <c r="B2486">
        <f>HYPERLINK("https://www.suredividend.com/sure-analysis-research-database/","Santander Consumer USA Holdings Inc")</f>
        <v>0</v>
      </c>
      <c r="C2486" t="s">
        <v>3184</v>
      </c>
      <c r="D2486">
        <v>41.6</v>
      </c>
      <c r="E2486">
        <v>0.021064617170041</v>
      </c>
      <c r="F2486" t="s">
        <v>3182</v>
      </c>
      <c r="G2486" t="s">
        <v>3182</v>
      </c>
      <c r="H2486">
        <v>0.876288074273708</v>
      </c>
      <c r="I2486">
        <v>12734.233366</v>
      </c>
      <c r="J2486">
        <v>4.128269460896921</v>
      </c>
      <c r="K2486">
        <v>0.08701966973919642</v>
      </c>
      <c r="L2486">
        <v>0.517602015906645</v>
      </c>
      <c r="M2486">
        <v>42.87</v>
      </c>
      <c r="N2486">
        <v>21.61</v>
      </c>
    </row>
    <row r="2487" spans="1:14">
      <c r="A2487" s="1" t="s">
        <v>2499</v>
      </c>
      <c r="B2487">
        <f>HYPERLINK("https://www.suredividend.com/sure-analysis-SCHL/","Scholastic Corp.")</f>
        <v>0</v>
      </c>
      <c r="C2487" t="s">
        <v>3191</v>
      </c>
      <c r="D2487">
        <v>39.43</v>
      </c>
      <c r="E2487">
        <v>0.02028911995942176</v>
      </c>
      <c r="F2487">
        <v>0</v>
      </c>
      <c r="G2487">
        <v>0.05922384104881218</v>
      </c>
      <c r="H2487">
        <v>0.7888807104559771</v>
      </c>
      <c r="I2487">
        <v>1157.663302</v>
      </c>
      <c r="J2487">
        <v>20.098321209375</v>
      </c>
      <c r="K2487">
        <v>0.4667933197964362</v>
      </c>
      <c r="L2487">
        <v>0.671980742087491</v>
      </c>
      <c r="M2487">
        <v>46.06</v>
      </c>
      <c r="N2487">
        <v>29.73</v>
      </c>
    </row>
    <row r="2488" spans="1:14">
      <c r="A2488" s="1" t="s">
        <v>2500</v>
      </c>
      <c r="B2488">
        <f>HYPERLINK("https://www.suredividend.com/sure-analysis-SCHW/","Charles Schwab Corp.")</f>
        <v>0</v>
      </c>
      <c r="C2488" t="s">
        <v>3184</v>
      </c>
      <c r="D2488">
        <v>54.93</v>
      </c>
      <c r="E2488">
        <v>0.01820498816675769</v>
      </c>
      <c r="F2488">
        <v>0.1363636363636365</v>
      </c>
      <c r="G2488">
        <v>0.0801851873035635</v>
      </c>
      <c r="H2488">
        <v>0.9634943532763741</v>
      </c>
      <c r="I2488">
        <v>97238.162024</v>
      </c>
      <c r="J2488">
        <v>15.16739385802059</v>
      </c>
      <c r="K2488">
        <v>0.2792737255873548</v>
      </c>
      <c r="L2488">
        <v>1.010838164494361</v>
      </c>
      <c r="M2488">
        <v>85.58</v>
      </c>
      <c r="N2488">
        <v>44.59</v>
      </c>
    </row>
    <row r="2489" spans="1:14">
      <c r="A2489" s="1" t="s">
        <v>2501</v>
      </c>
      <c r="B2489">
        <f>HYPERLINK("https://www.suredividend.com/sure-analysis-SCI/","Service Corp. International")</f>
        <v>0</v>
      </c>
      <c r="C2489" t="s">
        <v>3186</v>
      </c>
      <c r="D2489">
        <v>60.79</v>
      </c>
      <c r="E2489">
        <v>0.01809508142786643</v>
      </c>
      <c r="F2489">
        <v>0.1599999999999999</v>
      </c>
      <c r="G2489">
        <v>0.1127300466488179</v>
      </c>
      <c r="H2489">
        <v>1.092833835452198</v>
      </c>
      <c r="I2489">
        <v>9170.620738</v>
      </c>
      <c r="J2489">
        <v>18.71150473183352</v>
      </c>
      <c r="K2489">
        <v>0.3480362533287255</v>
      </c>
      <c r="L2489">
        <v>0.69580609490971</v>
      </c>
      <c r="M2489">
        <v>73.69</v>
      </c>
      <c r="N2489">
        <v>52.89</v>
      </c>
    </row>
    <row r="2490" spans="1:14">
      <c r="A2490" s="1" t="s">
        <v>2502</v>
      </c>
      <c r="B2490">
        <f>HYPERLINK("https://www.suredividend.com/sure-analysis-SCL/","Stepan Co.")</f>
        <v>0</v>
      </c>
      <c r="C2490" t="s">
        <v>3181</v>
      </c>
      <c r="D2490">
        <v>75.14</v>
      </c>
      <c r="E2490">
        <v>0.019962736225712</v>
      </c>
      <c r="F2490">
        <v>0</v>
      </c>
      <c r="G2490">
        <v>0.07862522143926998</v>
      </c>
      <c r="H2490">
        <v>1.451326269807046</v>
      </c>
      <c r="I2490">
        <v>1679.466764</v>
      </c>
      <c r="J2490">
        <v>21.24723905065533</v>
      </c>
      <c r="K2490">
        <v>0.4218971714555366</v>
      </c>
      <c r="L2490">
        <v>0.8672346594588801</v>
      </c>
      <c r="M2490">
        <v>113.64</v>
      </c>
      <c r="N2490">
        <v>63.6</v>
      </c>
    </row>
    <row r="2491" spans="1:14">
      <c r="A2491" s="1" t="s">
        <v>2503</v>
      </c>
      <c r="B2491">
        <f>HYPERLINK("https://www.suredividend.com/sure-analysis-research-database/","Superconductor Technologies Inc.")</f>
        <v>0</v>
      </c>
      <c r="C2491" t="s">
        <v>3185</v>
      </c>
      <c r="D2491">
        <v>2.65</v>
      </c>
      <c r="E2491">
        <v>0</v>
      </c>
      <c r="F2491" t="s">
        <v>3182</v>
      </c>
      <c r="G2491" t="s">
        <v>3182</v>
      </c>
      <c r="H2491">
        <v>0</v>
      </c>
      <c r="I2491">
        <v>8.352217</v>
      </c>
      <c r="J2491">
        <v>0</v>
      </c>
      <c r="K2491" t="s">
        <v>3182</v>
      </c>
      <c r="M2491">
        <v>4</v>
      </c>
      <c r="N2491">
        <v>0.77</v>
      </c>
    </row>
    <row r="2492" spans="1:14">
      <c r="A2492" s="1" t="s">
        <v>2504</v>
      </c>
      <c r="B2492">
        <f>HYPERLINK("https://www.suredividend.com/sure-analysis-research-database/","Comscore Inc.")</f>
        <v>0</v>
      </c>
      <c r="C2492" t="s">
        <v>3191</v>
      </c>
      <c r="D2492">
        <v>0.6292</v>
      </c>
      <c r="E2492">
        <v>0</v>
      </c>
      <c r="F2492" t="s">
        <v>3182</v>
      </c>
      <c r="G2492" t="s">
        <v>3182</v>
      </c>
      <c r="H2492">
        <v>0</v>
      </c>
      <c r="I2492">
        <v>59.828321</v>
      </c>
      <c r="J2492" t="s">
        <v>3182</v>
      </c>
      <c r="K2492">
        <v>-0</v>
      </c>
      <c r="L2492">
        <v>0.966412991790304</v>
      </c>
      <c r="M2492">
        <v>1.71</v>
      </c>
      <c r="N2492">
        <v>0.48</v>
      </c>
    </row>
    <row r="2493" spans="1:14">
      <c r="A2493" s="1" t="s">
        <v>2505</v>
      </c>
      <c r="B2493">
        <f>HYPERLINK("https://www.suredividend.com/sure-analysis-research-database/","Sciplay Corp")</f>
        <v>0</v>
      </c>
      <c r="C2493" t="s">
        <v>3191</v>
      </c>
      <c r="D2493">
        <v>22.94</v>
      </c>
      <c r="E2493">
        <v>0</v>
      </c>
      <c r="F2493" t="s">
        <v>3182</v>
      </c>
      <c r="G2493" t="s">
        <v>3182</v>
      </c>
      <c r="H2493">
        <v>0</v>
      </c>
      <c r="I2493">
        <v>0</v>
      </c>
      <c r="J2493">
        <v>0</v>
      </c>
      <c r="K2493">
        <v>0</v>
      </c>
    </row>
    <row r="2494" spans="1:14">
      <c r="A2494" s="1" t="s">
        <v>2506</v>
      </c>
      <c r="B2494">
        <f>HYPERLINK("https://www.suredividend.com/sure-analysis-research-database/","Steelcase, Inc.")</f>
        <v>0</v>
      </c>
      <c r="C2494" t="s">
        <v>3183</v>
      </c>
      <c r="D2494">
        <v>11.17</v>
      </c>
      <c r="E2494">
        <v>0.03524258757883601</v>
      </c>
      <c r="F2494">
        <v>0</v>
      </c>
      <c r="G2494">
        <v>-0.05825516650174434</v>
      </c>
      <c r="H2494">
        <v>0.393659703255598</v>
      </c>
      <c r="I2494">
        <v>1046.040553</v>
      </c>
      <c r="J2494">
        <v>19.4070603567718</v>
      </c>
      <c r="K2494">
        <v>0.8324375201006513</v>
      </c>
      <c r="L2494">
        <v>1.003581384172105</v>
      </c>
      <c r="M2494">
        <v>11.97</v>
      </c>
      <c r="N2494">
        <v>5.91</v>
      </c>
    </row>
    <row r="2495" spans="1:14">
      <c r="A2495" s="1" t="s">
        <v>2507</v>
      </c>
      <c r="B2495">
        <f>HYPERLINK("https://www.suredividend.com/sure-analysis-research-database/","Scansource, Inc.")</f>
        <v>0</v>
      </c>
      <c r="C2495" t="s">
        <v>3185</v>
      </c>
      <c r="D2495">
        <v>31.77</v>
      </c>
      <c r="E2495">
        <v>0</v>
      </c>
      <c r="F2495" t="s">
        <v>3182</v>
      </c>
      <c r="G2495" t="s">
        <v>3182</v>
      </c>
      <c r="H2495">
        <v>0</v>
      </c>
      <c r="I2495">
        <v>793.199398</v>
      </c>
      <c r="J2495">
        <v>8.832070258771392</v>
      </c>
      <c r="K2495">
        <v>0</v>
      </c>
      <c r="L2495">
        <v>0.836361464238618</v>
      </c>
      <c r="M2495">
        <v>35.5</v>
      </c>
      <c r="N2495">
        <v>26.14</v>
      </c>
    </row>
    <row r="2496" spans="1:14">
      <c r="A2496" s="1" t="s">
        <v>2508</v>
      </c>
      <c r="B2496">
        <f>HYPERLINK("https://www.suredividend.com/sure-analysis-research-database/","Shoe Carnival, Inc.")</f>
        <v>0</v>
      </c>
      <c r="C2496" t="s">
        <v>3186</v>
      </c>
      <c r="D2496">
        <v>23.54</v>
      </c>
      <c r="E2496">
        <v>0.020950255807518</v>
      </c>
      <c r="F2496">
        <v>0.3333333333333333</v>
      </c>
      <c r="G2496">
        <v>0.08447177119769855</v>
      </c>
      <c r="H2496">
        <v>0.493169021708985</v>
      </c>
      <c r="I2496">
        <v>644.047267</v>
      </c>
      <c r="J2496">
        <v>7.137918711057421</v>
      </c>
      <c r="K2496">
        <v>0.1503564090576174</v>
      </c>
      <c r="L2496">
        <v>1.267103177807162</v>
      </c>
      <c r="M2496">
        <v>28.82</v>
      </c>
      <c r="N2496">
        <v>18.89</v>
      </c>
    </row>
    <row r="2497" spans="1:14">
      <c r="A2497" s="1" t="s">
        <v>2509</v>
      </c>
      <c r="B2497">
        <f>HYPERLINK("https://www.suredividend.com/sure-analysis-research-database/","SecureWorks Corp")</f>
        <v>0</v>
      </c>
      <c r="C2497" t="s">
        <v>3185</v>
      </c>
      <c r="D2497">
        <v>5.85</v>
      </c>
      <c r="E2497">
        <v>0</v>
      </c>
      <c r="F2497" t="s">
        <v>3182</v>
      </c>
      <c r="G2497" t="s">
        <v>3182</v>
      </c>
      <c r="H2497">
        <v>0</v>
      </c>
      <c r="I2497">
        <v>94.976564</v>
      </c>
      <c r="J2497" t="s">
        <v>3182</v>
      </c>
      <c r="K2497">
        <v>-0</v>
      </c>
      <c r="L2497">
        <v>1.299541976158712</v>
      </c>
      <c r="M2497">
        <v>10.06</v>
      </c>
      <c r="N2497">
        <v>5.28</v>
      </c>
    </row>
    <row r="2498" spans="1:14">
      <c r="A2498" s="1" t="s">
        <v>2510</v>
      </c>
      <c r="B2498">
        <f>HYPERLINK("https://www.suredividend.com/sure-analysis-research-database/","L.S. Starrett Co.")</f>
        <v>0</v>
      </c>
      <c r="C2498" t="s">
        <v>3183</v>
      </c>
      <c r="D2498">
        <v>10.71</v>
      </c>
      <c r="E2498">
        <v>0</v>
      </c>
      <c r="F2498" t="s">
        <v>3182</v>
      </c>
      <c r="G2498" t="s">
        <v>3182</v>
      </c>
      <c r="H2498">
        <v>0</v>
      </c>
      <c r="I2498">
        <v>73.60048</v>
      </c>
      <c r="J2498">
        <v>0</v>
      </c>
      <c r="K2498" t="s">
        <v>3182</v>
      </c>
      <c r="L2498">
        <v>0.7621245952461091</v>
      </c>
      <c r="M2498">
        <v>13.1</v>
      </c>
      <c r="N2498">
        <v>6.88</v>
      </c>
    </row>
    <row r="2499" spans="1:14">
      <c r="A2499" s="1" t="s">
        <v>2511</v>
      </c>
      <c r="B2499">
        <f>HYPERLINK("https://www.suredividend.com/sure-analysis-research-database/","Scynexis Inc")</f>
        <v>0</v>
      </c>
      <c r="C2499" t="s">
        <v>3180</v>
      </c>
      <c r="D2499">
        <v>1.8</v>
      </c>
      <c r="E2499">
        <v>0</v>
      </c>
      <c r="F2499" t="s">
        <v>3182</v>
      </c>
      <c r="G2499" t="s">
        <v>3182</v>
      </c>
      <c r="H2499">
        <v>0</v>
      </c>
      <c r="I2499">
        <v>66.916197</v>
      </c>
      <c r="J2499">
        <v>1.508106578621171</v>
      </c>
      <c r="K2499">
        <v>0</v>
      </c>
      <c r="L2499">
        <v>1.476880324848189</v>
      </c>
      <c r="M2499">
        <v>3.87</v>
      </c>
      <c r="N2499">
        <v>1.15</v>
      </c>
    </row>
    <row r="2500" spans="1:14">
      <c r="A2500" s="1" t="s">
        <v>2512</v>
      </c>
      <c r="B2500">
        <f>HYPERLINK("https://www.suredividend.com/sure-analysis-research-database/","Sandridge Energy Inc")</f>
        <v>0</v>
      </c>
      <c r="C2500" t="s">
        <v>3189</v>
      </c>
      <c r="D2500">
        <v>16.01</v>
      </c>
      <c r="E2500">
        <v>0.006246096282955</v>
      </c>
      <c r="F2500" t="s">
        <v>3182</v>
      </c>
      <c r="G2500" t="s">
        <v>3182</v>
      </c>
      <c r="H2500">
        <v>0.100000001490116</v>
      </c>
      <c r="I2500">
        <v>591.820665</v>
      </c>
      <c r="J2500">
        <v>0</v>
      </c>
      <c r="K2500" t="s">
        <v>3182</v>
      </c>
      <c r="L2500">
        <v>1.150769940087944</v>
      </c>
      <c r="M2500">
        <v>19.42</v>
      </c>
      <c r="N2500">
        <v>11.11</v>
      </c>
    </row>
    <row r="2501" spans="1:14">
      <c r="A2501" s="1" t="s">
        <v>2513</v>
      </c>
      <c r="B2501">
        <f>HYPERLINK("https://www.suredividend.com/sure-analysis-research-database/","Superior Drilling Products Inc")</f>
        <v>0</v>
      </c>
      <c r="C2501" t="s">
        <v>3189</v>
      </c>
      <c r="D2501">
        <v>0.782</v>
      </c>
      <c r="E2501">
        <v>0</v>
      </c>
      <c r="F2501" t="s">
        <v>3182</v>
      </c>
      <c r="G2501" t="s">
        <v>3182</v>
      </c>
      <c r="H2501">
        <v>0</v>
      </c>
      <c r="I2501">
        <v>23.771177</v>
      </c>
      <c r="J2501">
        <v>0</v>
      </c>
      <c r="K2501" t="s">
        <v>3182</v>
      </c>
      <c r="L2501">
        <v>0.5612978181779561</v>
      </c>
      <c r="M2501">
        <v>2.21</v>
      </c>
      <c r="N2501">
        <v>0.721</v>
      </c>
    </row>
    <row r="2502" spans="1:14">
      <c r="A2502" s="1" t="s">
        <v>2514</v>
      </c>
      <c r="B2502">
        <f>HYPERLINK("https://www.suredividend.com/sure-analysis-research-database/","Seachange International Inc.")</f>
        <v>0</v>
      </c>
      <c r="C2502" t="s">
        <v>3185</v>
      </c>
      <c r="D2502">
        <v>4.88</v>
      </c>
      <c r="E2502">
        <v>0</v>
      </c>
      <c r="F2502" t="s">
        <v>3182</v>
      </c>
      <c r="G2502" t="s">
        <v>3182</v>
      </c>
      <c r="H2502">
        <v>0</v>
      </c>
      <c r="I2502">
        <v>0</v>
      </c>
      <c r="J2502">
        <v>0</v>
      </c>
      <c r="K2502">
        <v>-0</v>
      </c>
    </row>
    <row r="2503" spans="1:14">
      <c r="A2503" s="1" t="s">
        <v>2515</v>
      </c>
      <c r="B2503">
        <f>HYPERLINK("https://www.suredividend.com/sure-analysis-research-database/","SeaWorld Entertainment Inc")</f>
        <v>0</v>
      </c>
      <c r="C2503" t="s">
        <v>3186</v>
      </c>
      <c r="D2503">
        <v>44.69</v>
      </c>
      <c r="E2503">
        <v>0</v>
      </c>
      <c r="F2503" t="s">
        <v>3182</v>
      </c>
      <c r="G2503" t="s">
        <v>3182</v>
      </c>
      <c r="H2503">
        <v>0</v>
      </c>
      <c r="I2503">
        <v>2858.880972</v>
      </c>
      <c r="J2503">
        <v>11.24857261198874</v>
      </c>
      <c r="K2503">
        <v>0</v>
      </c>
      <c r="L2503">
        <v>1.433965342374381</v>
      </c>
      <c r="M2503">
        <v>68.19</v>
      </c>
      <c r="N2503">
        <v>40.87</v>
      </c>
    </row>
    <row r="2504" spans="1:14">
      <c r="A2504" s="1" t="s">
        <v>2516</v>
      </c>
      <c r="B2504">
        <f>HYPERLINK("https://www.suredividend.com/sure-analysis-research-database/","Seaboard Corp.")</f>
        <v>0</v>
      </c>
      <c r="C2504" t="s">
        <v>3183</v>
      </c>
      <c r="D2504">
        <v>3530.63</v>
      </c>
      <c r="E2504">
        <v>0.002545262917928</v>
      </c>
      <c r="F2504">
        <v>0</v>
      </c>
      <c r="G2504">
        <v>0</v>
      </c>
      <c r="H2504">
        <v>8.986381615926319</v>
      </c>
      <c r="I2504">
        <v>3428.435915</v>
      </c>
      <c r="J2504">
        <v>8.90502834974026</v>
      </c>
      <c r="K2504">
        <v>0.02709434563248506</v>
      </c>
      <c r="L2504">
        <v>0.07026273975736301</v>
      </c>
      <c r="M2504">
        <v>4080.82</v>
      </c>
      <c r="N2504">
        <v>3402.38</v>
      </c>
    </row>
    <row r="2505" spans="1:14">
      <c r="A2505" s="1" t="s">
        <v>2517</v>
      </c>
      <c r="B2505">
        <f>HYPERLINK("https://www.suredividend.com/sure-analysis-research-database/","Solaredge Technologies Inc")</f>
        <v>0</v>
      </c>
      <c r="C2505" t="s">
        <v>3185</v>
      </c>
      <c r="D2505">
        <v>72.79000000000001</v>
      </c>
      <c r="E2505">
        <v>0</v>
      </c>
      <c r="F2505" t="s">
        <v>3182</v>
      </c>
      <c r="G2505" t="s">
        <v>3182</v>
      </c>
      <c r="H2505">
        <v>0</v>
      </c>
      <c r="I2505">
        <v>4116.843427</v>
      </c>
      <c r="J2505">
        <v>13.56634622895934</v>
      </c>
      <c r="K2505">
        <v>0</v>
      </c>
      <c r="L2505">
        <v>2.018315313962343</v>
      </c>
      <c r="M2505">
        <v>345.8</v>
      </c>
      <c r="N2505">
        <v>63.25</v>
      </c>
    </row>
    <row r="2506" spans="1:14">
      <c r="A2506" s="1" t="s">
        <v>2518</v>
      </c>
      <c r="B2506">
        <f>HYPERLINK("https://www.suredividend.com/sure-analysis-research-database/","Sealed Air Corp.")</f>
        <v>0</v>
      </c>
      <c r="C2506" t="s">
        <v>3186</v>
      </c>
      <c r="D2506">
        <v>33.08</v>
      </c>
      <c r="E2506">
        <v>0.023996745076643</v>
      </c>
      <c r="F2506">
        <v>0</v>
      </c>
      <c r="G2506">
        <v>0.04563955259127317</v>
      </c>
      <c r="H2506">
        <v>0.7938123271353751</v>
      </c>
      <c r="I2506">
        <v>4777.087729</v>
      </c>
      <c r="J2506">
        <v>12.26466682649551</v>
      </c>
      <c r="K2506">
        <v>0.296198629528125</v>
      </c>
      <c r="L2506">
        <v>1.240162484437671</v>
      </c>
      <c r="M2506">
        <v>55.6</v>
      </c>
      <c r="N2506">
        <v>28.5</v>
      </c>
    </row>
    <row r="2507" spans="1:14">
      <c r="A2507" s="1" t="s">
        <v>2519</v>
      </c>
      <c r="B2507">
        <f>HYPERLINK("https://www.suredividend.com/sure-analysis-research-database/","Seelos Therapeutics Inc")</f>
        <v>0</v>
      </c>
      <c r="C2507" t="s">
        <v>3180</v>
      </c>
      <c r="D2507">
        <v>0.1784</v>
      </c>
      <c r="E2507">
        <v>0</v>
      </c>
      <c r="F2507" t="s">
        <v>3182</v>
      </c>
      <c r="G2507" t="s">
        <v>3182</v>
      </c>
      <c r="H2507">
        <v>0</v>
      </c>
      <c r="I2507">
        <v>22.815737</v>
      </c>
      <c r="J2507">
        <v>0</v>
      </c>
      <c r="K2507" t="s">
        <v>3182</v>
      </c>
      <c r="L2507">
        <v>1.855192084174013</v>
      </c>
      <c r="M2507">
        <v>1.66</v>
      </c>
      <c r="N2507">
        <v>0.15</v>
      </c>
    </row>
    <row r="2508" spans="1:14">
      <c r="A2508" s="1" t="s">
        <v>2520</v>
      </c>
      <c r="B2508">
        <f>HYPERLINK("https://www.suredividend.com/sure-analysis-SEIC/","SEI Investments Co.")</f>
        <v>0</v>
      </c>
      <c r="C2508" t="s">
        <v>3184</v>
      </c>
      <c r="D2508">
        <v>55.31</v>
      </c>
      <c r="E2508">
        <v>0.01554872536611824</v>
      </c>
      <c r="F2508" t="s">
        <v>3182</v>
      </c>
      <c r="G2508" t="s">
        <v>3182</v>
      </c>
      <c r="H2508">
        <v>0.8537847206898871</v>
      </c>
      <c r="I2508">
        <v>7278.1153</v>
      </c>
      <c r="J2508">
        <v>16.03988817618033</v>
      </c>
      <c r="K2508">
        <v>0.2533485818070881</v>
      </c>
      <c r="L2508">
        <v>0.9589819084730261</v>
      </c>
      <c r="M2508">
        <v>64.43000000000001</v>
      </c>
      <c r="N2508">
        <v>52.2</v>
      </c>
    </row>
    <row r="2509" spans="1:14">
      <c r="A2509" s="1" t="s">
        <v>2521</v>
      </c>
      <c r="B2509">
        <f>HYPERLINK("https://www.suredividend.com/sure-analysis-research-database/","Selecta Biosciences Inc")</f>
        <v>0</v>
      </c>
      <c r="C2509" t="s">
        <v>3180</v>
      </c>
      <c r="D2509">
        <v>1.18</v>
      </c>
      <c r="E2509">
        <v>0</v>
      </c>
      <c r="F2509" t="s">
        <v>3182</v>
      </c>
      <c r="G2509" t="s">
        <v>3182</v>
      </c>
      <c r="H2509">
        <v>0</v>
      </c>
      <c r="I2509">
        <v>183.140463</v>
      </c>
      <c r="J2509">
        <v>0</v>
      </c>
      <c r="K2509" t="s">
        <v>3182</v>
      </c>
      <c r="L2509">
        <v>1.328189539633143</v>
      </c>
      <c r="M2509">
        <v>1.99</v>
      </c>
      <c r="N2509">
        <v>0.9</v>
      </c>
    </row>
    <row r="2510" spans="1:14">
      <c r="A2510" s="1" t="s">
        <v>2522</v>
      </c>
      <c r="B2510">
        <f>HYPERLINK("https://www.suredividend.com/sure-analysis-research-database/","Global Self Storage Inc")</f>
        <v>0</v>
      </c>
      <c r="C2510" t="s">
        <v>3187</v>
      </c>
      <c r="D2510">
        <v>4.63</v>
      </c>
      <c r="E2510">
        <v>0.060236933318387</v>
      </c>
      <c r="F2510">
        <v>0</v>
      </c>
      <c r="G2510">
        <v>0.0220800938152379</v>
      </c>
      <c r="H2510">
        <v>0.278897001264132</v>
      </c>
      <c r="I2510">
        <v>51.596294</v>
      </c>
      <c r="J2510">
        <v>0</v>
      </c>
      <c r="K2510" t="s">
        <v>3182</v>
      </c>
      <c r="L2510">
        <v>0.5192680602874901</v>
      </c>
      <c r="M2510">
        <v>5.35</v>
      </c>
      <c r="N2510">
        <v>4.33</v>
      </c>
    </row>
    <row r="2511" spans="1:14">
      <c r="A2511" s="1" t="s">
        <v>2523</v>
      </c>
      <c r="B2511">
        <f>HYPERLINK("https://www.suredividend.com/sure-analysis-research-database/","Select Medical Holdings Corporation")</f>
        <v>0</v>
      </c>
      <c r="C2511" t="s">
        <v>3180</v>
      </c>
      <c r="D2511">
        <v>23</v>
      </c>
      <c r="E2511">
        <v>0.021595069239209</v>
      </c>
      <c r="F2511" t="s">
        <v>3182</v>
      </c>
      <c r="G2511" t="s">
        <v>3182</v>
      </c>
      <c r="H2511">
        <v>0.49668659250181</v>
      </c>
      <c r="I2511">
        <v>2924.298591</v>
      </c>
      <c r="J2511">
        <v>14.90346654197415</v>
      </c>
      <c r="K2511">
        <v>0.316360886943828</v>
      </c>
      <c r="L2511">
        <v>1.200154203098325</v>
      </c>
      <c r="M2511">
        <v>33.37</v>
      </c>
      <c r="N2511">
        <v>18.51</v>
      </c>
    </row>
    <row r="2512" spans="1:14">
      <c r="A2512" s="1" t="s">
        <v>2524</v>
      </c>
      <c r="B2512">
        <f>HYPERLINK("https://www.suredividend.com/sure-analysis-research-database/","Seneca Foods Corp.")</f>
        <v>0</v>
      </c>
      <c r="C2512" t="s">
        <v>3188</v>
      </c>
      <c r="D2512">
        <v>55.23</v>
      </c>
      <c r="E2512">
        <v>0</v>
      </c>
      <c r="F2512" t="s">
        <v>3182</v>
      </c>
      <c r="G2512" t="s">
        <v>3182</v>
      </c>
      <c r="H2512">
        <v>0</v>
      </c>
      <c r="I2512">
        <v>419.003497</v>
      </c>
      <c r="J2512">
        <v>15.41530836429859</v>
      </c>
      <c r="K2512">
        <v>0</v>
      </c>
      <c r="L2512">
        <v>0.56352638461182</v>
      </c>
      <c r="M2512">
        <v>68.73999999999999</v>
      </c>
      <c r="N2512">
        <v>32.5</v>
      </c>
    </row>
    <row r="2513" spans="1:14">
      <c r="A2513" s="1" t="s">
        <v>2525</v>
      </c>
      <c r="B2513">
        <f>HYPERLINK("https://www.suredividend.com/sure-analysis-research-database/","Seneca Foods Corp.")</f>
        <v>0</v>
      </c>
      <c r="C2513" t="s">
        <v>3188</v>
      </c>
      <c r="D2513">
        <v>55</v>
      </c>
      <c r="E2513">
        <v>0</v>
      </c>
      <c r="F2513" t="s">
        <v>3182</v>
      </c>
      <c r="G2513" t="s">
        <v>3182</v>
      </c>
      <c r="H2513">
        <v>0</v>
      </c>
      <c r="I2513">
        <v>419.003497</v>
      </c>
      <c r="J2513">
        <v>15.41530836429859</v>
      </c>
      <c r="K2513">
        <v>0</v>
      </c>
      <c r="M2513">
        <v>69.83</v>
      </c>
      <c r="N2513">
        <v>31.51</v>
      </c>
    </row>
    <row r="2514" spans="1:14">
      <c r="A2514" s="1" t="s">
        <v>2526</v>
      </c>
      <c r="B2514">
        <f>HYPERLINK("https://www.suredividend.com/sure-analysis-research-database/","Senseonics Holdings Inc")</f>
        <v>0</v>
      </c>
      <c r="C2514" t="s">
        <v>3180</v>
      </c>
      <c r="D2514">
        <v>0.5103</v>
      </c>
      <c r="E2514">
        <v>0</v>
      </c>
      <c r="F2514" t="s">
        <v>3182</v>
      </c>
      <c r="G2514" t="s">
        <v>3182</v>
      </c>
      <c r="H2514">
        <v>0</v>
      </c>
      <c r="I2514">
        <v>269.528352</v>
      </c>
      <c r="J2514">
        <v>0</v>
      </c>
      <c r="K2514" t="s">
        <v>3182</v>
      </c>
      <c r="L2514">
        <v>2.276403433721685</v>
      </c>
      <c r="M2514">
        <v>1.29</v>
      </c>
      <c r="N2514">
        <v>0.4606</v>
      </c>
    </row>
    <row r="2515" spans="1:14">
      <c r="A2515" s="1" t="s">
        <v>2527</v>
      </c>
      <c r="B2515">
        <f>HYPERLINK("https://www.suredividend.com/sure-analysis-research-database/","SES AI Corporation")</f>
        <v>0</v>
      </c>
      <c r="C2515" t="s">
        <v>3189</v>
      </c>
      <c r="D2515">
        <v>2</v>
      </c>
      <c r="E2515">
        <v>0</v>
      </c>
      <c r="F2515" t="s">
        <v>3182</v>
      </c>
      <c r="G2515" t="s">
        <v>3182</v>
      </c>
      <c r="H2515">
        <v>0</v>
      </c>
      <c r="I2515">
        <v>614.85844</v>
      </c>
      <c r="J2515">
        <v>0</v>
      </c>
      <c r="K2515" t="s">
        <v>3182</v>
      </c>
      <c r="L2515">
        <v>2.176669697017285</v>
      </c>
      <c r="M2515">
        <v>5.7</v>
      </c>
      <c r="N2515">
        <v>1.33</v>
      </c>
    </row>
    <row r="2516" spans="1:14">
      <c r="A2516" s="1" t="s">
        <v>2528</v>
      </c>
      <c r="B2516">
        <f>HYPERLINK("https://www.suredividend.com/sure-analysis-research-database/","Stifel Financial Corp.")</f>
        <v>0</v>
      </c>
      <c r="C2516" t="s">
        <v>3184</v>
      </c>
      <c r="D2516">
        <v>58.93</v>
      </c>
      <c r="E2516">
        <v>0.023225260273586</v>
      </c>
      <c r="F2516">
        <v>0.1999999999999997</v>
      </c>
      <c r="G2516">
        <v>0.2457309396155174</v>
      </c>
      <c r="H2516">
        <v>1.368664587922471</v>
      </c>
      <c r="I2516">
        <v>6155.155998</v>
      </c>
      <c r="J2516">
        <v>10.56858761918334</v>
      </c>
      <c r="K2516">
        <v>0.2726423481917273</v>
      </c>
      <c r="L2516">
        <v>1.277467124047089</v>
      </c>
      <c r="M2516">
        <v>67.59999999999999</v>
      </c>
      <c r="N2516">
        <v>52.85</v>
      </c>
    </row>
    <row r="2517" spans="1:14">
      <c r="A2517" s="1" t="s">
        <v>2529</v>
      </c>
      <c r="B2517">
        <f>HYPERLINK("https://www.suredividend.com/sure-analysis-research-database/","Sound Financial Bancorp Inc")</f>
        <v>0</v>
      </c>
      <c r="C2517" t="s">
        <v>3184</v>
      </c>
      <c r="D2517">
        <v>36.6</v>
      </c>
      <c r="E2517">
        <v>0.01487779724867</v>
      </c>
      <c r="F2517">
        <v>0.1176470588235294</v>
      </c>
      <c r="G2517">
        <v>0.06298004826234438</v>
      </c>
      <c r="H2517">
        <v>0.5445273793013491</v>
      </c>
      <c r="I2517">
        <v>94.091683</v>
      </c>
      <c r="J2517">
        <v>0</v>
      </c>
      <c r="K2517" t="s">
        <v>3182</v>
      </c>
      <c r="M2517">
        <v>40.11</v>
      </c>
      <c r="N2517">
        <v>32.92</v>
      </c>
    </row>
    <row r="2518" spans="1:14">
      <c r="A2518" s="1" t="s">
        <v>2530</v>
      </c>
      <c r="B2518">
        <f>HYPERLINK("https://www.suredividend.com/sure-analysis-research-database/","ServisFirst Bancshares Inc")</f>
        <v>0</v>
      </c>
      <c r="C2518" t="s">
        <v>3184</v>
      </c>
      <c r="D2518">
        <v>49.01</v>
      </c>
      <c r="E2518">
        <v>0.022655989675684</v>
      </c>
      <c r="F2518">
        <v>0.2173913043478262</v>
      </c>
      <c r="G2518">
        <v>0.1329568106011707</v>
      </c>
      <c r="H2518">
        <v>1.110370054005275</v>
      </c>
      <c r="I2518">
        <v>2667.287942</v>
      </c>
      <c r="J2518">
        <v>10.97053428758863</v>
      </c>
      <c r="K2518">
        <v>0.2489618955168778</v>
      </c>
      <c r="L2518">
        <v>1.172947275514808</v>
      </c>
      <c r="M2518">
        <v>77.72</v>
      </c>
      <c r="N2518">
        <v>39.06</v>
      </c>
    </row>
    <row r="2519" spans="1:14">
      <c r="A2519" s="1" t="s">
        <v>2531</v>
      </c>
      <c r="B2519">
        <f>HYPERLINK("https://www.suredividend.com/sure-analysis-research-database/","Safeguard Scientifics, Inc.")</f>
        <v>0</v>
      </c>
      <c r="C2519" t="s">
        <v>3184</v>
      </c>
      <c r="D2519">
        <v>0.98</v>
      </c>
      <c r="E2519">
        <v>0</v>
      </c>
      <c r="F2519" t="s">
        <v>3182</v>
      </c>
      <c r="G2519" t="s">
        <v>3182</v>
      </c>
      <c r="H2519">
        <v>0</v>
      </c>
      <c r="I2519">
        <v>16.190649</v>
      </c>
      <c r="J2519">
        <v>0</v>
      </c>
      <c r="K2519" t="s">
        <v>3182</v>
      </c>
      <c r="M2519">
        <v>3.8</v>
      </c>
      <c r="N2519">
        <v>0.9500000000000001</v>
      </c>
    </row>
    <row r="2520" spans="1:14">
      <c r="A2520" s="1" t="s">
        <v>2532</v>
      </c>
      <c r="B2520">
        <f>HYPERLINK("https://www.suredividend.com/sure-analysis-research-database/","Stitch Fix Inc")</f>
        <v>0</v>
      </c>
      <c r="C2520" t="s">
        <v>3186</v>
      </c>
      <c r="D2520">
        <v>3.38</v>
      </c>
      <c r="E2520">
        <v>0</v>
      </c>
      <c r="F2520" t="s">
        <v>3182</v>
      </c>
      <c r="G2520" t="s">
        <v>3182</v>
      </c>
      <c r="H2520">
        <v>0</v>
      </c>
      <c r="I2520">
        <v>312.602359</v>
      </c>
      <c r="J2520" t="s">
        <v>3182</v>
      </c>
      <c r="K2520">
        <v>-0</v>
      </c>
      <c r="L2520">
        <v>3.207539279231627</v>
      </c>
      <c r="M2520">
        <v>6.03</v>
      </c>
      <c r="N2520">
        <v>2.63</v>
      </c>
    </row>
    <row r="2521" spans="1:14">
      <c r="A2521" s="1" t="s">
        <v>2533</v>
      </c>
      <c r="B2521">
        <f>HYPERLINK("https://www.suredividend.com/sure-analysis-research-database/","Sprouts Farmers Market Inc")</f>
        <v>0</v>
      </c>
      <c r="C2521" t="s">
        <v>3188</v>
      </c>
      <c r="D2521">
        <v>41.18</v>
      </c>
      <c r="E2521">
        <v>0</v>
      </c>
      <c r="F2521" t="s">
        <v>3182</v>
      </c>
      <c r="G2521" t="s">
        <v>3182</v>
      </c>
      <c r="H2521">
        <v>0</v>
      </c>
      <c r="I2521">
        <v>4182.273826</v>
      </c>
      <c r="J2521">
        <v>16.47037859841608</v>
      </c>
      <c r="K2521">
        <v>0</v>
      </c>
      <c r="L2521">
        <v>0.501250866926379</v>
      </c>
      <c r="M2521">
        <v>44.43</v>
      </c>
      <c r="N2521">
        <v>28.25</v>
      </c>
    </row>
    <row r="2522" spans="1:14">
      <c r="A2522" s="1" t="s">
        <v>2534</v>
      </c>
      <c r="B2522">
        <f>HYPERLINK("https://www.suredividend.com/sure-analysis-research-database/","Simmons First National Corp.")</f>
        <v>0</v>
      </c>
      <c r="C2522" t="s">
        <v>3184</v>
      </c>
      <c r="D2522">
        <v>15.14</v>
      </c>
      <c r="E2522">
        <v>0.050886058063575</v>
      </c>
      <c r="F2522">
        <v>0.05263157894736836</v>
      </c>
      <c r="G2522">
        <v>0.05922384104881218</v>
      </c>
      <c r="H2522">
        <v>0.770414919082529</v>
      </c>
      <c r="I2522">
        <v>1911.600427</v>
      </c>
      <c r="J2522">
        <v>7.139070782623634</v>
      </c>
      <c r="K2522">
        <v>0.3668642471821567</v>
      </c>
      <c r="L2522">
        <v>1.227995408976083</v>
      </c>
      <c r="M2522">
        <v>23.55</v>
      </c>
      <c r="N2522">
        <v>13.36</v>
      </c>
    </row>
    <row r="2523" spans="1:14">
      <c r="A2523" s="1" t="s">
        <v>2535</v>
      </c>
      <c r="B2523">
        <f>HYPERLINK("https://www.suredividend.com/sure-analysis-research-database/","Southern First Bancshares Inc")</f>
        <v>0</v>
      </c>
      <c r="C2523" t="s">
        <v>3184</v>
      </c>
      <c r="D2523">
        <v>27.82</v>
      </c>
      <c r="E2523">
        <v>0</v>
      </c>
      <c r="F2523" t="s">
        <v>3182</v>
      </c>
      <c r="G2523" t="s">
        <v>3182</v>
      </c>
      <c r="H2523">
        <v>0</v>
      </c>
      <c r="I2523">
        <v>225.025909</v>
      </c>
      <c r="J2523">
        <v>0</v>
      </c>
      <c r="K2523" t="s">
        <v>3182</v>
      </c>
      <c r="L2523">
        <v>0.8853051518871951</v>
      </c>
      <c r="M2523">
        <v>49.96</v>
      </c>
      <c r="N2523">
        <v>20.75</v>
      </c>
    </row>
    <row r="2524" spans="1:14">
      <c r="A2524" s="1" t="s">
        <v>2536</v>
      </c>
      <c r="B2524">
        <f>HYPERLINK("https://www.suredividend.com/sure-analysis-research-database/","Saga Communications, Inc.")</f>
        <v>0</v>
      </c>
      <c r="C2524" t="s">
        <v>3191</v>
      </c>
      <c r="D2524">
        <v>19.34</v>
      </c>
      <c r="E2524">
        <v>0.05005073362482401</v>
      </c>
      <c r="F2524">
        <v>-0.875</v>
      </c>
      <c r="G2524">
        <v>0</v>
      </c>
      <c r="H2524">
        <v>0.9679811883041111</v>
      </c>
      <c r="I2524">
        <v>118.429051</v>
      </c>
      <c r="J2524">
        <v>14.22571181501502</v>
      </c>
      <c r="K2524">
        <v>0.7014356436986312</v>
      </c>
      <c r="M2524">
        <v>27.26</v>
      </c>
      <c r="N2524">
        <v>18.62</v>
      </c>
    </row>
    <row r="2525" spans="1:14">
      <c r="A2525" s="1" t="s">
        <v>2537</v>
      </c>
      <c r="B2525">
        <f>HYPERLINK("https://www.suredividend.com/sure-analysis-research-database/","Superior Group of Companies Inc..")</f>
        <v>0</v>
      </c>
      <c r="C2525" t="s">
        <v>3186</v>
      </c>
      <c r="D2525">
        <v>8.050000000000001</v>
      </c>
      <c r="E2525">
        <v>0.066844617788667</v>
      </c>
      <c r="F2525">
        <v>0</v>
      </c>
      <c r="G2525">
        <v>0.06961037572506878</v>
      </c>
      <c r="H2525">
        <v>0.5380991731987751</v>
      </c>
      <c r="I2525">
        <v>132.859712</v>
      </c>
      <c r="J2525">
        <v>0</v>
      </c>
      <c r="K2525" t="s">
        <v>3182</v>
      </c>
      <c r="L2525">
        <v>0.6587307942088511</v>
      </c>
      <c r="M2525">
        <v>11.96</v>
      </c>
      <c r="N2525">
        <v>6.79</v>
      </c>
    </row>
    <row r="2526" spans="1:14">
      <c r="A2526" s="1" t="s">
        <v>2538</v>
      </c>
      <c r="B2526">
        <f>HYPERLINK("https://www.suredividend.com/sure-analysis-research-database/","Seagen Inc")</f>
        <v>0</v>
      </c>
      <c r="C2526" t="s">
        <v>3180</v>
      </c>
      <c r="D2526">
        <v>214.79</v>
      </c>
      <c r="E2526">
        <v>0</v>
      </c>
      <c r="F2526" t="s">
        <v>3182</v>
      </c>
      <c r="G2526" t="s">
        <v>3182</v>
      </c>
      <c r="H2526">
        <v>0</v>
      </c>
      <c r="I2526">
        <v>40522.855319</v>
      </c>
      <c r="J2526" t="s">
        <v>3182</v>
      </c>
      <c r="K2526">
        <v>-0</v>
      </c>
      <c r="L2526">
        <v>0.209029823243284</v>
      </c>
      <c r="M2526">
        <v>217.51</v>
      </c>
      <c r="N2526">
        <v>116.08</v>
      </c>
    </row>
    <row r="2527" spans="1:14">
      <c r="A2527" s="1" t="s">
        <v>2539</v>
      </c>
      <c r="B2527">
        <f>HYPERLINK("https://www.suredividend.com/sure-analysis-research-database/","SMART Global Holdings Inc")</f>
        <v>0</v>
      </c>
      <c r="C2527" t="s">
        <v>3185</v>
      </c>
      <c r="D2527">
        <v>13.62</v>
      </c>
      <c r="E2527">
        <v>0</v>
      </c>
      <c r="F2527" t="s">
        <v>3182</v>
      </c>
      <c r="G2527" t="s">
        <v>3182</v>
      </c>
      <c r="H2527">
        <v>0</v>
      </c>
      <c r="I2527">
        <v>707.13392</v>
      </c>
      <c r="J2527" t="s">
        <v>3182</v>
      </c>
      <c r="K2527">
        <v>-0</v>
      </c>
      <c r="L2527">
        <v>1.849523471075281</v>
      </c>
      <c r="M2527">
        <v>29.99</v>
      </c>
      <c r="N2527">
        <v>12.66</v>
      </c>
    </row>
    <row r="2528" spans="1:14">
      <c r="A2528" s="1" t="s">
        <v>2540</v>
      </c>
      <c r="B2528">
        <f>HYPERLINK("https://www.suredividend.com/sure-analysis-research-database/","Sigmatron International Inc.")</f>
        <v>0</v>
      </c>
      <c r="C2528" t="s">
        <v>3185</v>
      </c>
      <c r="D2528">
        <v>3.02</v>
      </c>
      <c r="E2528">
        <v>0</v>
      </c>
      <c r="F2528" t="s">
        <v>3182</v>
      </c>
      <c r="G2528" t="s">
        <v>3182</v>
      </c>
      <c r="H2528">
        <v>0</v>
      </c>
      <c r="I2528">
        <v>18.40475</v>
      </c>
      <c r="J2528">
        <v>0</v>
      </c>
      <c r="K2528" t="s">
        <v>3182</v>
      </c>
      <c r="L2528">
        <v>0.473147240228977</v>
      </c>
      <c r="M2528">
        <v>7.89</v>
      </c>
      <c r="N2528">
        <v>2.07</v>
      </c>
    </row>
    <row r="2529" spans="1:14">
      <c r="A2529" s="1" t="s">
        <v>2541</v>
      </c>
      <c r="B2529">
        <f>HYPERLINK("https://www.suredividend.com/sure-analysis-research-database/","Sangamo Therapeutics Inc")</f>
        <v>0</v>
      </c>
      <c r="C2529" t="s">
        <v>3180</v>
      </c>
      <c r="D2529">
        <v>0.46</v>
      </c>
      <c r="E2529">
        <v>0</v>
      </c>
      <c r="F2529" t="s">
        <v>3182</v>
      </c>
      <c r="G2529" t="s">
        <v>3182</v>
      </c>
      <c r="H2529">
        <v>0</v>
      </c>
      <c r="I2529">
        <v>81.47139</v>
      </c>
      <c r="J2529" t="s">
        <v>3182</v>
      </c>
      <c r="K2529">
        <v>-0</v>
      </c>
      <c r="L2529">
        <v>1.646540719883049</v>
      </c>
      <c r="M2529">
        <v>4.22</v>
      </c>
      <c r="N2529">
        <v>0.4446</v>
      </c>
    </row>
    <row r="2530" spans="1:14">
      <c r="A2530" s="1" t="s">
        <v>2542</v>
      </c>
      <c r="B2530">
        <f>HYPERLINK("https://www.suredividend.com/sure-analysis-research-database/","Spar Group, Inc.")</f>
        <v>0</v>
      </c>
      <c r="C2530" t="s">
        <v>3183</v>
      </c>
      <c r="D2530">
        <v>0.995</v>
      </c>
      <c r="E2530">
        <v>0</v>
      </c>
      <c r="F2530" t="s">
        <v>3182</v>
      </c>
      <c r="G2530" t="s">
        <v>3182</v>
      </c>
      <c r="H2530">
        <v>0</v>
      </c>
      <c r="I2530">
        <v>23.124754</v>
      </c>
      <c r="J2530">
        <v>0</v>
      </c>
      <c r="K2530" t="s">
        <v>3182</v>
      </c>
      <c r="M2530">
        <v>1.5</v>
      </c>
      <c r="N2530">
        <v>0.8502000000000001</v>
      </c>
    </row>
    <row r="2531" spans="1:14">
      <c r="A2531" s="1" t="s">
        <v>2543</v>
      </c>
      <c r="B2531">
        <f>HYPERLINK("https://www.suredividend.com/sure-analysis-research-database/","Surgery Partners Inc")</f>
        <v>0</v>
      </c>
      <c r="C2531" t="s">
        <v>3180</v>
      </c>
      <c r="D2531">
        <v>23.89</v>
      </c>
      <c r="E2531">
        <v>0</v>
      </c>
      <c r="F2531" t="s">
        <v>3182</v>
      </c>
      <c r="G2531" t="s">
        <v>3182</v>
      </c>
      <c r="H2531">
        <v>0</v>
      </c>
      <c r="I2531">
        <v>3022.059199</v>
      </c>
      <c r="J2531" t="s">
        <v>3182</v>
      </c>
      <c r="K2531">
        <v>-0</v>
      </c>
      <c r="L2531">
        <v>2.342335188190098</v>
      </c>
      <c r="M2531">
        <v>45.79</v>
      </c>
      <c r="N2531">
        <v>22.03</v>
      </c>
    </row>
    <row r="2532" spans="1:14">
      <c r="A2532" s="1" t="s">
        <v>2544</v>
      </c>
      <c r="B2532">
        <f>HYPERLINK("https://www.suredividend.com/sure-analysis-research-database/","Shake Shack Inc")</f>
        <v>0</v>
      </c>
      <c r="C2532" t="s">
        <v>3186</v>
      </c>
      <c r="D2532">
        <v>56.47</v>
      </c>
      <c r="E2532">
        <v>0</v>
      </c>
      <c r="F2532" t="s">
        <v>3182</v>
      </c>
      <c r="G2532" t="s">
        <v>3182</v>
      </c>
      <c r="H2532">
        <v>0</v>
      </c>
      <c r="I2532">
        <v>2228.446415</v>
      </c>
      <c r="J2532" t="s">
        <v>3182</v>
      </c>
      <c r="K2532">
        <v>-0</v>
      </c>
      <c r="L2532">
        <v>1.126007997819299</v>
      </c>
      <c r="M2532">
        <v>80.58</v>
      </c>
      <c r="N2532">
        <v>40.83</v>
      </c>
    </row>
    <row r="2533" spans="1:14">
      <c r="A2533" s="1" t="s">
        <v>2545</v>
      </c>
      <c r="B2533">
        <f>HYPERLINK("https://www.suredividend.com/sure-analysis-research-database/","Shore Bancshares Inc.")</f>
        <v>0</v>
      </c>
      <c r="C2533" t="s">
        <v>3184</v>
      </c>
      <c r="D2533">
        <v>10.86</v>
      </c>
      <c r="E2533">
        <v>0.04320961915971201</v>
      </c>
      <c r="F2533">
        <v>0</v>
      </c>
      <c r="G2533">
        <v>0.03713728933664817</v>
      </c>
      <c r="H2533">
        <v>0.469256464074475</v>
      </c>
      <c r="I2533">
        <v>359.715997</v>
      </c>
      <c r="J2533">
        <v>12.6039242186405</v>
      </c>
      <c r="K2533">
        <v>0.3258725444961632</v>
      </c>
      <c r="L2533">
        <v>0.9137462346714951</v>
      </c>
      <c r="M2533">
        <v>20.06</v>
      </c>
      <c r="N2533">
        <v>9.66</v>
      </c>
    </row>
    <row r="2534" spans="1:14">
      <c r="A2534" s="1" t="s">
        <v>2546</v>
      </c>
      <c r="B2534">
        <f>HYPERLINK("https://www.suredividend.com/sure-analysis-research-database/","Shenandoah Telecommunications Co.")</f>
        <v>0</v>
      </c>
      <c r="C2534" t="s">
        <v>3191</v>
      </c>
      <c r="D2534">
        <v>24.13</v>
      </c>
      <c r="E2534">
        <v>0.003315374977698</v>
      </c>
      <c r="F2534" t="s">
        <v>3182</v>
      </c>
      <c r="G2534" t="s">
        <v>3182</v>
      </c>
      <c r="H2534">
        <v>0.07999999821186</v>
      </c>
      <c r="I2534">
        <v>1212.869186</v>
      </c>
      <c r="J2534" t="s">
        <v>3182</v>
      </c>
      <c r="K2534" t="s">
        <v>3182</v>
      </c>
      <c r="L2534">
        <v>0.9434356256753261</v>
      </c>
      <c r="M2534">
        <v>25.02</v>
      </c>
      <c r="N2534">
        <v>15.62</v>
      </c>
    </row>
    <row r="2535" spans="1:14">
      <c r="A2535" s="1" t="s">
        <v>2547</v>
      </c>
      <c r="B2535">
        <f>HYPERLINK("https://www.suredividend.com/sure-analysis-research-database/","Sunstone Hotel Investors Inc")</f>
        <v>0</v>
      </c>
      <c r="C2535" t="s">
        <v>3187</v>
      </c>
      <c r="D2535">
        <v>9.6</v>
      </c>
      <c r="E2535">
        <v>0.022719080100422</v>
      </c>
      <c r="F2535" t="s">
        <v>3182</v>
      </c>
      <c r="G2535" t="s">
        <v>3182</v>
      </c>
      <c r="H2535">
        <v>0.218103168964057</v>
      </c>
      <c r="I2535">
        <v>1988.973034</v>
      </c>
      <c r="J2535">
        <v>22.73813672333177</v>
      </c>
      <c r="K2535">
        <v>0.5200361682500168</v>
      </c>
      <c r="L2535">
        <v>1.130528530455194</v>
      </c>
      <c r="M2535">
        <v>11.17</v>
      </c>
      <c r="N2535">
        <v>8.449999999999999</v>
      </c>
    </row>
    <row r="2536" spans="1:14">
      <c r="A2536" s="1" t="s">
        <v>2548</v>
      </c>
      <c r="B2536">
        <f>HYPERLINK("https://www.suredividend.com/sure-analysis-research-database/","Steven Madden Ltd.")</f>
        <v>0</v>
      </c>
      <c r="C2536" t="s">
        <v>3186</v>
      </c>
      <c r="D2536">
        <v>33.78</v>
      </c>
      <c r="E2536">
        <v>0.024429851610606</v>
      </c>
      <c r="F2536" t="s">
        <v>3182</v>
      </c>
      <c r="G2536" t="s">
        <v>3182</v>
      </c>
      <c r="H2536">
        <v>0.825240387406287</v>
      </c>
      <c r="I2536">
        <v>2544.125465</v>
      </c>
      <c r="J2536">
        <v>15.48020630264015</v>
      </c>
      <c r="K2536">
        <v>0.382055734910318</v>
      </c>
      <c r="L2536">
        <v>1.234109314961805</v>
      </c>
      <c r="M2536">
        <v>36.67</v>
      </c>
      <c r="N2536">
        <v>28.36</v>
      </c>
    </row>
    <row r="2537" spans="1:14">
      <c r="A2537" s="1" t="s">
        <v>2549</v>
      </c>
      <c r="B2537">
        <f>HYPERLINK("https://www.suredividend.com/sure-analysis-research-database/","SharpSpring Inc")</f>
        <v>0</v>
      </c>
      <c r="C2537" t="s">
        <v>3185</v>
      </c>
      <c r="D2537">
        <v>17.1</v>
      </c>
      <c r="E2537">
        <v>0</v>
      </c>
      <c r="F2537" t="s">
        <v>3182</v>
      </c>
      <c r="G2537" t="s">
        <v>3182</v>
      </c>
      <c r="H2537">
        <v>0</v>
      </c>
      <c r="I2537">
        <v>0</v>
      </c>
      <c r="J2537">
        <v>0</v>
      </c>
      <c r="K2537" t="s">
        <v>3182</v>
      </c>
    </row>
    <row r="2538" spans="1:14">
      <c r="A2538" s="1" t="s">
        <v>2550</v>
      </c>
      <c r="B2538">
        <f>HYPERLINK("https://www.suredividend.com/sure-analysis-SHW/","Sherwin-Williams Co.")</f>
        <v>0</v>
      </c>
      <c r="C2538" t="s">
        <v>3181</v>
      </c>
      <c r="D2538">
        <v>245.32</v>
      </c>
      <c r="E2538">
        <v>0.009864666557965108</v>
      </c>
      <c r="F2538">
        <v>0.008333333333333082</v>
      </c>
      <c r="G2538">
        <v>-0.06792387294550184</v>
      </c>
      <c r="H2538">
        <v>2.406175027462099</v>
      </c>
      <c r="I2538">
        <v>62793.601199</v>
      </c>
      <c r="J2538">
        <v>25.95956889445616</v>
      </c>
      <c r="K2538">
        <v>0.2581732862083797</v>
      </c>
      <c r="L2538">
        <v>1.10937506919857</v>
      </c>
      <c r="M2538">
        <v>283.17</v>
      </c>
      <c r="N2538">
        <v>204.43</v>
      </c>
    </row>
    <row r="2539" spans="1:14">
      <c r="A2539" s="1" t="s">
        <v>2551</v>
      </c>
      <c r="B2539">
        <f>HYPERLINK("https://www.suredividend.com/sure-analysis-research-database/","SI-BONE Inc")</f>
        <v>0</v>
      </c>
      <c r="C2539" t="s">
        <v>3180</v>
      </c>
      <c r="D2539">
        <v>17.5</v>
      </c>
      <c r="E2539">
        <v>0</v>
      </c>
      <c r="F2539" t="s">
        <v>3182</v>
      </c>
      <c r="G2539" t="s">
        <v>3182</v>
      </c>
      <c r="H2539">
        <v>0</v>
      </c>
      <c r="I2539">
        <v>677.01018</v>
      </c>
      <c r="J2539" t="s">
        <v>3182</v>
      </c>
      <c r="K2539">
        <v>-0</v>
      </c>
      <c r="L2539">
        <v>1.172269648160325</v>
      </c>
      <c r="M2539">
        <v>29.51</v>
      </c>
      <c r="N2539">
        <v>11.14</v>
      </c>
    </row>
    <row r="2540" spans="1:14">
      <c r="A2540" s="1" t="s">
        <v>2552</v>
      </c>
      <c r="B2540">
        <f>HYPERLINK("https://www.suredividend.com/sure-analysis-research-database/","Siebert Financial Corp.")</f>
        <v>0</v>
      </c>
      <c r="C2540" t="s">
        <v>3184</v>
      </c>
      <c r="D2540">
        <v>1.53</v>
      </c>
      <c r="E2540">
        <v>0</v>
      </c>
      <c r="F2540" t="s">
        <v>3182</v>
      </c>
      <c r="G2540" t="s">
        <v>3182</v>
      </c>
      <c r="H2540">
        <v>0</v>
      </c>
      <c r="I2540">
        <v>60.558832</v>
      </c>
      <c r="J2540">
        <v>0</v>
      </c>
      <c r="K2540" t="s">
        <v>3182</v>
      </c>
      <c r="M2540">
        <v>3.05</v>
      </c>
      <c r="N2540">
        <v>1.2</v>
      </c>
    </row>
    <row r="2541" spans="1:14">
      <c r="A2541" s="1" t="s">
        <v>2553</v>
      </c>
      <c r="B2541">
        <f>HYPERLINK("https://www.suredividend.com/sure-analysis-research-database/","Sientra Inc")</f>
        <v>0</v>
      </c>
      <c r="C2541" t="s">
        <v>3180</v>
      </c>
      <c r="D2541">
        <v>0.8665</v>
      </c>
      <c r="E2541">
        <v>0</v>
      </c>
      <c r="F2541" t="s">
        <v>3182</v>
      </c>
      <c r="G2541" t="s">
        <v>3182</v>
      </c>
      <c r="H2541">
        <v>0</v>
      </c>
      <c r="I2541">
        <v>9.760992999999999</v>
      </c>
      <c r="J2541" t="s">
        <v>3182</v>
      </c>
      <c r="K2541">
        <v>-0</v>
      </c>
      <c r="L2541">
        <v>1.025214921000112</v>
      </c>
      <c r="M2541">
        <v>4.94</v>
      </c>
      <c r="N2541">
        <v>0.5881000000000001</v>
      </c>
    </row>
    <row r="2542" spans="1:14">
      <c r="A2542" s="1" t="s">
        <v>2554</v>
      </c>
      <c r="B2542">
        <f>HYPERLINK("https://www.suredividend.com/sure-analysis-research-database/","SIFCO Industries Inc.")</f>
        <v>0</v>
      </c>
      <c r="C2542" t="s">
        <v>3183</v>
      </c>
      <c r="D2542">
        <v>4.49</v>
      </c>
      <c r="E2542">
        <v>0</v>
      </c>
      <c r="F2542" t="s">
        <v>3182</v>
      </c>
      <c r="G2542" t="s">
        <v>3182</v>
      </c>
      <c r="H2542">
        <v>0</v>
      </c>
      <c r="I2542">
        <v>27.421095</v>
      </c>
      <c r="J2542">
        <v>0</v>
      </c>
      <c r="K2542" t="s">
        <v>3182</v>
      </c>
      <c r="M2542">
        <v>4.95</v>
      </c>
      <c r="N2542">
        <v>1.95</v>
      </c>
    </row>
    <row r="2543" spans="1:14">
      <c r="A2543" s="1" t="s">
        <v>2555</v>
      </c>
      <c r="B2543">
        <f>HYPERLINK("https://www.suredividend.com/sure-analysis-research-database/","Signet Jewelers Ltd")</f>
        <v>0</v>
      </c>
      <c r="C2543" t="s">
        <v>3186</v>
      </c>
      <c r="D2543">
        <v>70.31</v>
      </c>
      <c r="E2543">
        <v>0.012600274447161</v>
      </c>
      <c r="F2543" t="s">
        <v>3182</v>
      </c>
      <c r="G2543" t="s">
        <v>3182</v>
      </c>
      <c r="H2543">
        <v>0.8859252963799501</v>
      </c>
      <c r="I2543">
        <v>3155.947035</v>
      </c>
      <c r="J2543">
        <v>6.969847691166078</v>
      </c>
      <c r="K2543">
        <v>0.1127131420330725</v>
      </c>
      <c r="L2543">
        <v>1.299479296102611</v>
      </c>
      <c r="M2543">
        <v>83.09</v>
      </c>
      <c r="N2543">
        <v>56.74</v>
      </c>
    </row>
    <row r="2544" spans="1:14">
      <c r="A2544" s="1" t="s">
        <v>2556</v>
      </c>
      <c r="B2544">
        <f>HYPERLINK("https://www.suredividend.com/sure-analysis-research-database/","SIGA Technologies Inc")</f>
        <v>0</v>
      </c>
      <c r="C2544" t="s">
        <v>3180</v>
      </c>
      <c r="D2544">
        <v>4.89</v>
      </c>
      <c r="E2544">
        <v>0</v>
      </c>
      <c r="F2544" t="s">
        <v>3182</v>
      </c>
      <c r="G2544" t="s">
        <v>3182</v>
      </c>
      <c r="H2544">
        <v>0</v>
      </c>
      <c r="I2544">
        <v>347.595596</v>
      </c>
      <c r="J2544">
        <v>12.22418984562087</v>
      </c>
      <c r="K2544">
        <v>0</v>
      </c>
      <c r="L2544">
        <v>1.050048104671559</v>
      </c>
      <c r="M2544">
        <v>8.710000000000001</v>
      </c>
      <c r="N2544">
        <v>4.22</v>
      </c>
    </row>
    <row r="2545" spans="1:14">
      <c r="A2545" s="1" t="s">
        <v>2557</v>
      </c>
      <c r="B2545">
        <f>HYPERLINK("https://www.suredividend.com/sure-analysis-research-database/","Selective Insurance Group Inc.")</f>
        <v>0</v>
      </c>
      <c r="C2545" t="s">
        <v>3184</v>
      </c>
      <c r="D2545">
        <v>105.35</v>
      </c>
      <c r="E2545">
        <v>0.01131460361001</v>
      </c>
      <c r="F2545">
        <v>0.0714285714285714</v>
      </c>
      <c r="G2545">
        <v>0.08447177119769855</v>
      </c>
      <c r="H2545">
        <v>1.191993490314556</v>
      </c>
      <c r="I2545">
        <v>6380.71828</v>
      </c>
      <c r="J2545">
        <v>23.54352212620564</v>
      </c>
      <c r="K2545">
        <v>0.2678637056886642</v>
      </c>
      <c r="L2545">
        <v>0.486382395597894</v>
      </c>
      <c r="M2545">
        <v>108.18</v>
      </c>
      <c r="N2545">
        <v>83.47</v>
      </c>
    </row>
    <row r="2546" spans="1:14">
      <c r="A2546" s="1" t="s">
        <v>2558</v>
      </c>
      <c r="B2546">
        <f>HYPERLINK("https://www.suredividend.com/sure-analysis-research-database/","Silk Road Medical Inc")</f>
        <v>0</v>
      </c>
      <c r="C2546" t="s">
        <v>3180</v>
      </c>
      <c r="D2546">
        <v>8.279999999999999</v>
      </c>
      <c r="E2546">
        <v>0</v>
      </c>
      <c r="F2546" t="s">
        <v>3182</v>
      </c>
      <c r="G2546" t="s">
        <v>3182</v>
      </c>
      <c r="H2546">
        <v>0</v>
      </c>
      <c r="I2546">
        <v>321.537174</v>
      </c>
      <c r="J2546" t="s">
        <v>3182</v>
      </c>
      <c r="K2546">
        <v>-0</v>
      </c>
      <c r="L2546">
        <v>0.7222362738790761</v>
      </c>
      <c r="M2546">
        <v>58.04</v>
      </c>
      <c r="N2546">
        <v>6.08</v>
      </c>
    </row>
    <row r="2547" spans="1:14">
      <c r="A2547" s="1" t="s">
        <v>2559</v>
      </c>
      <c r="B2547">
        <f>HYPERLINK("https://www.suredividend.com/sure-analysis-research-database/","SINTX Technologies Inc")</f>
        <v>0</v>
      </c>
      <c r="C2547" t="s">
        <v>3180</v>
      </c>
      <c r="D2547">
        <v>0.4191</v>
      </c>
      <c r="E2547">
        <v>0</v>
      </c>
      <c r="F2547" t="s">
        <v>3182</v>
      </c>
      <c r="G2547" t="s">
        <v>3182</v>
      </c>
      <c r="H2547">
        <v>0</v>
      </c>
      <c r="I2547">
        <v>1.773091</v>
      </c>
      <c r="J2547">
        <v>0</v>
      </c>
      <c r="K2547" t="s">
        <v>3182</v>
      </c>
      <c r="L2547">
        <v>2.003793559964292</v>
      </c>
      <c r="M2547">
        <v>15.1</v>
      </c>
      <c r="N2547">
        <v>0.4002</v>
      </c>
    </row>
    <row r="2548" spans="1:14">
      <c r="A2548" s="1" t="s">
        <v>2560</v>
      </c>
      <c r="B2548">
        <f>HYPERLINK("https://www.suredividend.com/sure-analysis-research-database/","Sirius XM Holdings Inc")</f>
        <v>0</v>
      </c>
      <c r="C2548" t="s">
        <v>3191</v>
      </c>
      <c r="D2548">
        <v>4.65</v>
      </c>
      <c r="E2548">
        <v>0.020482790991453</v>
      </c>
      <c r="F2548">
        <v>0</v>
      </c>
      <c r="G2548">
        <v>0.1486983549970351</v>
      </c>
      <c r="H2548">
        <v>0.09524497811025801</v>
      </c>
      <c r="I2548">
        <v>17851.070168</v>
      </c>
      <c r="J2548">
        <v>14.04490178414634</v>
      </c>
      <c r="K2548">
        <v>0.2929713260850754</v>
      </c>
      <c r="L2548">
        <v>0.830938447043123</v>
      </c>
      <c r="M2548">
        <v>7.87</v>
      </c>
      <c r="N2548">
        <v>3.24</v>
      </c>
    </row>
    <row r="2549" spans="1:14">
      <c r="A2549" s="1" t="s">
        <v>2561</v>
      </c>
      <c r="B2549">
        <f>HYPERLINK("https://www.suredividend.com/sure-analysis-research-database/","SITE Centers Corp")</f>
        <v>0</v>
      </c>
      <c r="C2549" t="s">
        <v>3187</v>
      </c>
      <c r="D2549">
        <v>12.43</v>
      </c>
      <c r="E2549">
        <v>0.04119860381274201</v>
      </c>
      <c r="F2549" t="s">
        <v>3182</v>
      </c>
      <c r="G2549" t="s">
        <v>3182</v>
      </c>
      <c r="H2549">
        <v>0.512098645392383</v>
      </c>
      <c r="I2549">
        <v>2601.273657</v>
      </c>
      <c r="J2549">
        <v>25.14644165672579</v>
      </c>
      <c r="K2549">
        <v>1.048523024963929</v>
      </c>
      <c r="L2549">
        <v>1.113439906733076</v>
      </c>
      <c r="M2549">
        <v>14.47</v>
      </c>
      <c r="N2549">
        <v>10.88</v>
      </c>
    </row>
    <row r="2550" spans="1:14">
      <c r="A2550" s="1" t="s">
        <v>2562</v>
      </c>
      <c r="B2550">
        <f>HYPERLINK("https://www.suredividend.com/sure-analysis-research-database/","SiteOne Landscape Supply Inc")</f>
        <v>0</v>
      </c>
      <c r="C2550" t="s">
        <v>3183</v>
      </c>
      <c r="D2550">
        <v>127.7</v>
      </c>
      <c r="E2550">
        <v>0</v>
      </c>
      <c r="F2550" t="s">
        <v>3182</v>
      </c>
      <c r="G2550" t="s">
        <v>3182</v>
      </c>
      <c r="H2550">
        <v>0</v>
      </c>
      <c r="I2550">
        <v>5762.515368</v>
      </c>
      <c r="J2550">
        <v>30.02874084314747</v>
      </c>
      <c r="K2550">
        <v>0</v>
      </c>
      <c r="L2550">
        <v>1.641655844602872</v>
      </c>
      <c r="M2550">
        <v>176.16</v>
      </c>
      <c r="N2550">
        <v>106.79</v>
      </c>
    </row>
    <row r="2551" spans="1:14">
      <c r="A2551" s="1" t="s">
        <v>2563</v>
      </c>
      <c r="B2551">
        <f>HYPERLINK("https://www.suredividend.com/sure-analysis-research-database/","SVB Financial Group")</f>
        <v>0</v>
      </c>
      <c r="C2551" t="s">
        <v>3184</v>
      </c>
      <c r="D2551">
        <v>106.04</v>
      </c>
      <c r="E2551">
        <v>0</v>
      </c>
      <c r="F2551" t="s">
        <v>3182</v>
      </c>
      <c r="G2551" t="s">
        <v>3182</v>
      </c>
      <c r="H2551">
        <v>0</v>
      </c>
      <c r="I2551">
        <v>0</v>
      </c>
      <c r="J2551">
        <v>0</v>
      </c>
      <c r="K2551" t="s">
        <v>3182</v>
      </c>
    </row>
    <row r="2552" spans="1:14">
      <c r="A2552" s="1" t="s">
        <v>2564</v>
      </c>
      <c r="B2552">
        <f>HYPERLINK("https://www.suredividend.com/sure-analysis-research-database/","Six Flags Entertainment Corp")</f>
        <v>0</v>
      </c>
      <c r="C2552" t="s">
        <v>3186</v>
      </c>
      <c r="D2552">
        <v>22.36</v>
      </c>
      <c r="E2552">
        <v>0</v>
      </c>
      <c r="F2552" t="s">
        <v>3182</v>
      </c>
      <c r="G2552" t="s">
        <v>3182</v>
      </c>
      <c r="H2552">
        <v>0</v>
      </c>
      <c r="I2552">
        <v>1867.500313</v>
      </c>
      <c r="J2552">
        <v>23.37501800057577</v>
      </c>
      <c r="K2552">
        <v>0</v>
      </c>
      <c r="L2552">
        <v>1.842628432633804</v>
      </c>
      <c r="M2552">
        <v>31.29</v>
      </c>
      <c r="N2552">
        <v>18.29</v>
      </c>
    </row>
    <row r="2553" spans="1:14">
      <c r="A2553" s="1" t="s">
        <v>2565</v>
      </c>
      <c r="B2553">
        <f>HYPERLINK("https://www.suredividend.com/sure-analysis-research-database/","South Jersey Industries Inc.")</f>
        <v>0</v>
      </c>
      <c r="C2553" t="s">
        <v>3190</v>
      </c>
      <c r="D2553">
        <v>36.09</v>
      </c>
      <c r="E2553">
        <v>0.033904996328676</v>
      </c>
      <c r="F2553" t="s">
        <v>3182</v>
      </c>
      <c r="G2553" t="s">
        <v>3182</v>
      </c>
      <c r="H2553">
        <v>1.22363131750192</v>
      </c>
      <c r="I2553">
        <v>4417.68404</v>
      </c>
      <c r="J2553">
        <v>28.54778470942894</v>
      </c>
      <c r="K2553">
        <v>0.948551408916217</v>
      </c>
      <c r="L2553">
        <v>0.245539126377827</v>
      </c>
      <c r="M2553">
        <v>36.13</v>
      </c>
      <c r="N2553">
        <v>22.33</v>
      </c>
    </row>
    <row r="2554" spans="1:14">
      <c r="A2554" s="1" t="s">
        <v>2566</v>
      </c>
      <c r="B2554">
        <f>HYPERLINK("https://www.suredividend.com/sure-analysis-SJM/","J.M. Smucker Co.")</f>
        <v>0</v>
      </c>
      <c r="C2554" t="s">
        <v>3188</v>
      </c>
      <c r="D2554">
        <v>114.07</v>
      </c>
      <c r="E2554">
        <v>0.03717015867449812</v>
      </c>
      <c r="F2554">
        <v>0.03921568627450989</v>
      </c>
      <c r="G2554">
        <v>0.04514702314393704</v>
      </c>
      <c r="H2554">
        <v>4.070584667703227</v>
      </c>
      <c r="I2554">
        <v>11650.13165</v>
      </c>
      <c r="J2554" t="s">
        <v>3182</v>
      </c>
      <c r="K2554" t="s">
        <v>3182</v>
      </c>
      <c r="L2554">
        <v>0.103149696909354</v>
      </c>
      <c r="M2554">
        <v>159.72</v>
      </c>
      <c r="N2554">
        <v>110.49</v>
      </c>
    </row>
    <row r="2555" spans="1:14">
      <c r="A2555" s="1" t="s">
        <v>2567</v>
      </c>
      <c r="B2555">
        <f>HYPERLINK("https://www.suredividend.com/sure-analysis-SJW/","SJW Group")</f>
        <v>0</v>
      </c>
      <c r="C2555" t="s">
        <v>3190</v>
      </c>
      <c r="D2555">
        <v>63.66</v>
      </c>
      <c r="E2555">
        <v>0.02387684574300974</v>
      </c>
      <c r="F2555">
        <v>0.05555555555555558</v>
      </c>
      <c r="G2555">
        <v>0.04841317128472133</v>
      </c>
      <c r="H2555">
        <v>1.488475819976457</v>
      </c>
      <c r="I2555">
        <v>2032.854971</v>
      </c>
      <c r="J2555">
        <v>20.42310870309533</v>
      </c>
      <c r="K2555">
        <v>0.468074157225301</v>
      </c>
      <c r="L2555">
        <v>0.452209903595666</v>
      </c>
      <c r="M2555">
        <v>82.61</v>
      </c>
      <c r="N2555">
        <v>56.96</v>
      </c>
    </row>
    <row r="2556" spans="1:14">
      <c r="A2556" s="1" t="s">
        <v>2568</v>
      </c>
      <c r="B2556">
        <f>HYPERLINK("https://www.suredividend.com/sure-analysis-SKT/","Tanger Factory Outlet Centers, Inc.")</f>
        <v>0</v>
      </c>
      <c r="C2556" t="s">
        <v>3187</v>
      </c>
      <c r="D2556">
        <v>23.43</v>
      </c>
      <c r="E2556">
        <v>0.04438753734528383</v>
      </c>
      <c r="F2556" t="s">
        <v>3182</v>
      </c>
      <c r="G2556" t="s">
        <v>3182</v>
      </c>
      <c r="H2556">
        <v>0.9537533928845811</v>
      </c>
      <c r="I2556">
        <v>2464.373867</v>
      </c>
      <c r="J2556">
        <v>27.84760570292107</v>
      </c>
      <c r="K2556">
        <v>1.142767065521904</v>
      </c>
      <c r="L2556">
        <v>1.105266430343482</v>
      </c>
      <c r="M2556">
        <v>24.93</v>
      </c>
      <c r="N2556">
        <v>16.61</v>
      </c>
    </row>
    <row r="2557" spans="1:14">
      <c r="A2557" s="1" t="s">
        <v>2569</v>
      </c>
      <c r="B2557">
        <f>HYPERLINK("https://www.suredividend.com/sure-analysis-research-database/","Skechers U S A, Inc.")</f>
        <v>0</v>
      </c>
      <c r="C2557" t="s">
        <v>3186</v>
      </c>
      <c r="D2557">
        <v>47.15</v>
      </c>
      <c r="E2557">
        <v>0</v>
      </c>
      <c r="F2557" t="s">
        <v>3182</v>
      </c>
      <c r="G2557" t="s">
        <v>3182</v>
      </c>
      <c r="H2557">
        <v>0</v>
      </c>
      <c r="I2557">
        <v>6335.472983</v>
      </c>
      <c r="J2557">
        <v>13.34899480892451</v>
      </c>
      <c r="K2557">
        <v>0</v>
      </c>
      <c r="L2557">
        <v>1.042412090222419</v>
      </c>
      <c r="M2557">
        <v>56.53</v>
      </c>
      <c r="N2557">
        <v>35.1</v>
      </c>
    </row>
    <row r="2558" spans="1:14">
      <c r="A2558" s="1" t="s">
        <v>2570</v>
      </c>
      <c r="B2558">
        <f>HYPERLINK("https://www.suredividend.com/sure-analysis-research-database/","Skyline Champion Corp")</f>
        <v>0</v>
      </c>
      <c r="C2558" t="s">
        <v>3186</v>
      </c>
      <c r="D2558">
        <v>55.71</v>
      </c>
      <c r="E2558">
        <v>0</v>
      </c>
      <c r="F2558" t="s">
        <v>3182</v>
      </c>
      <c r="G2558" t="s">
        <v>3182</v>
      </c>
      <c r="H2558">
        <v>0</v>
      </c>
      <c r="I2558">
        <v>3209.880897</v>
      </c>
      <c r="J2558">
        <v>9.555492072785189</v>
      </c>
      <c r="K2558">
        <v>0</v>
      </c>
      <c r="L2558">
        <v>1.548646532490839</v>
      </c>
      <c r="M2558">
        <v>76.81999999999999</v>
      </c>
      <c r="N2558">
        <v>45.32</v>
      </c>
    </row>
    <row r="2559" spans="1:14">
      <c r="A2559" s="1" t="s">
        <v>2571</v>
      </c>
      <c r="B2559">
        <f>HYPERLINK("https://www.suredividend.com/sure-analysis-research-database/","Skywest Inc.")</f>
        <v>0</v>
      </c>
      <c r="C2559" t="s">
        <v>3183</v>
      </c>
      <c r="D2559">
        <v>43.76</v>
      </c>
      <c r="E2559">
        <v>0</v>
      </c>
      <c r="F2559" t="s">
        <v>3182</v>
      </c>
      <c r="G2559" t="s">
        <v>3182</v>
      </c>
      <c r="H2559">
        <v>0</v>
      </c>
      <c r="I2559">
        <v>1791.695524</v>
      </c>
      <c r="J2559" t="s">
        <v>3182</v>
      </c>
      <c r="K2559">
        <v>-0</v>
      </c>
      <c r="L2559">
        <v>1.42824501588545</v>
      </c>
      <c r="M2559">
        <v>46.07</v>
      </c>
      <c r="N2559">
        <v>14.76</v>
      </c>
    </row>
    <row r="2560" spans="1:14">
      <c r="A2560" s="1" t="s">
        <v>2572</v>
      </c>
      <c r="B2560">
        <f>HYPERLINK("https://www.suredividend.com/sure-analysis-research-database/","Silicon Laboratories Inc")</f>
        <v>0</v>
      </c>
      <c r="C2560" t="s">
        <v>3185</v>
      </c>
      <c r="D2560">
        <v>88.27</v>
      </c>
      <c r="E2560">
        <v>0</v>
      </c>
      <c r="F2560" t="s">
        <v>3182</v>
      </c>
      <c r="G2560" t="s">
        <v>3182</v>
      </c>
      <c r="H2560">
        <v>0</v>
      </c>
      <c r="I2560">
        <v>2812.66741</v>
      </c>
      <c r="J2560">
        <v>39.45775865606105</v>
      </c>
      <c r="K2560">
        <v>0</v>
      </c>
      <c r="L2560">
        <v>1.690968608108936</v>
      </c>
      <c r="M2560">
        <v>194.68</v>
      </c>
      <c r="N2560">
        <v>74.56</v>
      </c>
    </row>
    <row r="2561" spans="1:14">
      <c r="A2561" s="1" t="s">
        <v>2573</v>
      </c>
      <c r="B2561">
        <f>HYPERLINK("https://www.suredividend.com/sure-analysis-SLB/","SLB")</f>
        <v>0</v>
      </c>
      <c r="C2561" t="s">
        <v>3189</v>
      </c>
      <c r="D2561">
        <v>57.36</v>
      </c>
      <c r="E2561">
        <v>0.01743375174337517</v>
      </c>
      <c r="F2561">
        <v>0.4285714285714284</v>
      </c>
      <c r="G2561">
        <v>-0.1294494367038759</v>
      </c>
      <c r="H2561">
        <v>0.919087861347574</v>
      </c>
      <c r="I2561">
        <v>81647.407968</v>
      </c>
      <c r="J2561">
        <v>19.65039902954512</v>
      </c>
      <c r="K2561">
        <v>0.3191277296345743</v>
      </c>
      <c r="L2561">
        <v>0.802756018024244</v>
      </c>
      <c r="M2561">
        <v>62.12</v>
      </c>
      <c r="N2561">
        <v>42.32</v>
      </c>
    </row>
    <row r="2562" spans="1:14">
      <c r="A2562" s="1" t="s">
        <v>2574</v>
      </c>
      <c r="B2562">
        <f>HYPERLINK("https://www.suredividend.com/sure-analysis-research-database/","U.S. Silica Holdings Inc")</f>
        <v>0</v>
      </c>
      <c r="C2562" t="s">
        <v>3189</v>
      </c>
      <c r="D2562">
        <v>12.14</v>
      </c>
      <c r="E2562">
        <v>0</v>
      </c>
      <c r="F2562" t="s">
        <v>3182</v>
      </c>
      <c r="G2562" t="s">
        <v>3182</v>
      </c>
      <c r="H2562">
        <v>0</v>
      </c>
      <c r="I2562">
        <v>936.1972960000001</v>
      </c>
      <c r="J2562">
        <v>6.056863622742093</v>
      </c>
      <c r="K2562">
        <v>0</v>
      </c>
      <c r="L2562">
        <v>1.2784875088838</v>
      </c>
      <c r="M2562">
        <v>14.9</v>
      </c>
      <c r="N2562">
        <v>10.38</v>
      </c>
    </row>
    <row r="2563" spans="1:14">
      <c r="A2563" s="1" t="s">
        <v>2575</v>
      </c>
      <c r="B2563">
        <f>HYPERLINK("https://www.suredividend.com/sure-analysis-research-database/","Select Bancorp Inc")</f>
        <v>0</v>
      </c>
      <c r="C2563" t="s">
        <v>3184</v>
      </c>
      <c r="D2563">
        <v>18.88</v>
      </c>
      <c r="E2563">
        <v>0</v>
      </c>
      <c r="F2563" t="s">
        <v>3182</v>
      </c>
      <c r="G2563" t="s">
        <v>3182</v>
      </c>
      <c r="H2563">
        <v>0</v>
      </c>
      <c r="I2563">
        <v>0</v>
      </c>
      <c r="J2563">
        <v>0</v>
      </c>
      <c r="K2563" t="s">
        <v>3182</v>
      </c>
    </row>
    <row r="2564" spans="1:14">
      <c r="A2564" s="1" t="s">
        <v>2576</v>
      </c>
      <c r="B2564">
        <f>HYPERLINK("https://www.suredividend.com/sure-analysis-research-database/","Solid Biosciences Inc")</f>
        <v>0</v>
      </c>
      <c r="C2564" t="s">
        <v>3180</v>
      </c>
      <c r="D2564">
        <v>2.94</v>
      </c>
      <c r="E2564">
        <v>0</v>
      </c>
      <c r="F2564" t="s">
        <v>3182</v>
      </c>
      <c r="G2564" t="s">
        <v>3182</v>
      </c>
      <c r="H2564">
        <v>0</v>
      </c>
      <c r="I2564">
        <v>58.976515</v>
      </c>
      <c r="J2564">
        <v>0</v>
      </c>
      <c r="K2564" t="s">
        <v>3182</v>
      </c>
      <c r="L2564">
        <v>1.02324205656782</v>
      </c>
      <c r="M2564">
        <v>8.199999999999999</v>
      </c>
      <c r="N2564">
        <v>1.81</v>
      </c>
    </row>
    <row r="2565" spans="1:14">
      <c r="A2565" s="1" t="s">
        <v>2577</v>
      </c>
      <c r="B2565">
        <f>HYPERLINK("https://www.suredividend.com/sure-analysis-SLG/","SL Green Realty Corp.")</f>
        <v>0</v>
      </c>
      <c r="C2565" t="s">
        <v>3187</v>
      </c>
      <c r="D2565">
        <v>32.96</v>
      </c>
      <c r="E2565">
        <v>0.09860436893203883</v>
      </c>
      <c r="F2565">
        <v>0</v>
      </c>
      <c r="G2565">
        <v>-0.02717767176659214</v>
      </c>
      <c r="H2565">
        <v>3.129902888754819</v>
      </c>
      <c r="I2565">
        <v>2122.227557</v>
      </c>
      <c r="J2565" t="s">
        <v>3182</v>
      </c>
      <c r="K2565" t="s">
        <v>3182</v>
      </c>
      <c r="L2565">
        <v>1.972573203382816</v>
      </c>
      <c r="M2565">
        <v>42.44</v>
      </c>
      <c r="N2565">
        <v>17.64</v>
      </c>
    </row>
    <row r="2566" spans="1:14">
      <c r="A2566" s="1" t="s">
        <v>2578</v>
      </c>
      <c r="B2566">
        <f>HYPERLINK("https://www.suredividend.com/sure-analysis-SLGN/","Silgan Holdings Inc.")</f>
        <v>0</v>
      </c>
      <c r="C2566" t="s">
        <v>3186</v>
      </c>
      <c r="D2566">
        <v>41.37</v>
      </c>
      <c r="E2566">
        <v>0.01740391588107324</v>
      </c>
      <c r="F2566">
        <v>0.125</v>
      </c>
      <c r="G2566">
        <v>0.1247461131420948</v>
      </c>
      <c r="H2566">
        <v>0.6960623907458261</v>
      </c>
      <c r="I2566">
        <v>4548.483809</v>
      </c>
      <c r="J2566">
        <v>14.47561337897058</v>
      </c>
      <c r="K2566">
        <v>0.2450923911076853</v>
      </c>
      <c r="L2566">
        <v>0.6490473420570051</v>
      </c>
      <c r="M2566">
        <v>54.78</v>
      </c>
      <c r="N2566">
        <v>38.11</v>
      </c>
    </row>
    <row r="2567" spans="1:14">
      <c r="A2567" s="1" t="s">
        <v>2579</v>
      </c>
      <c r="B2567">
        <f>HYPERLINK("https://www.suredividend.com/sure-analysis-research-database/","SLM Corp.")</f>
        <v>0</v>
      </c>
      <c r="C2567" t="s">
        <v>3184</v>
      </c>
      <c r="D2567">
        <v>14.29</v>
      </c>
      <c r="E2567">
        <v>0.030160756860343</v>
      </c>
      <c r="F2567" t="s">
        <v>3182</v>
      </c>
      <c r="G2567" t="s">
        <v>3182</v>
      </c>
      <c r="H2567">
        <v>0.430997215534308</v>
      </c>
      <c r="I2567">
        <v>3233.413405</v>
      </c>
      <c r="J2567">
        <v>10.12149691520065</v>
      </c>
      <c r="K2567">
        <v>0.3240580567927128</v>
      </c>
      <c r="L2567">
        <v>1.117925518093231</v>
      </c>
      <c r="M2567">
        <v>17.25</v>
      </c>
      <c r="N2567">
        <v>10.49</v>
      </c>
    </row>
    <row r="2568" spans="1:14">
      <c r="A2568" s="1" t="s">
        <v>2580</v>
      </c>
      <c r="B2568">
        <f>HYPERLINK("https://www.suredividend.com/sure-analysis-research-database/","Stabilis Solutions Inc")</f>
        <v>0</v>
      </c>
      <c r="C2568" t="s">
        <v>3189</v>
      </c>
      <c r="D2568">
        <v>4.94</v>
      </c>
      <c r="E2568">
        <v>0</v>
      </c>
      <c r="F2568" t="s">
        <v>3182</v>
      </c>
      <c r="G2568" t="s">
        <v>3182</v>
      </c>
      <c r="H2568">
        <v>0</v>
      </c>
      <c r="I2568">
        <v>91.285415</v>
      </c>
      <c r="J2568">
        <v>0</v>
      </c>
      <c r="K2568" t="s">
        <v>3182</v>
      </c>
      <c r="L2568">
        <v>0.6180369396124911</v>
      </c>
      <c r="M2568">
        <v>8</v>
      </c>
      <c r="N2568">
        <v>3</v>
      </c>
    </row>
    <row r="2569" spans="1:14">
      <c r="A2569" s="1" t="s">
        <v>2581</v>
      </c>
      <c r="B2569">
        <f>HYPERLINK("https://www.suredividend.com/sure-analysis-research-database/","Soleno Therapeutics Inc")</f>
        <v>0</v>
      </c>
      <c r="C2569" t="s">
        <v>3180</v>
      </c>
      <c r="D2569">
        <v>23.77</v>
      </c>
      <c r="E2569">
        <v>0</v>
      </c>
      <c r="F2569" t="s">
        <v>3182</v>
      </c>
      <c r="G2569" t="s">
        <v>3182</v>
      </c>
      <c r="H2569">
        <v>0</v>
      </c>
      <c r="I2569">
        <v>237.514071</v>
      </c>
      <c r="J2569">
        <v>0</v>
      </c>
      <c r="K2569" t="s">
        <v>3182</v>
      </c>
      <c r="L2569">
        <v>-2.643772221480799</v>
      </c>
      <c r="M2569">
        <v>30.3</v>
      </c>
      <c r="N2569">
        <v>0.85</v>
      </c>
    </row>
    <row r="2570" spans="1:14">
      <c r="A2570" s="1" t="s">
        <v>2582</v>
      </c>
      <c r="B2570">
        <f>HYPERLINK("https://www.suredividend.com/sure-analysis-research-database/","Simulations Plus Inc.")</f>
        <v>0</v>
      </c>
      <c r="C2570" t="s">
        <v>3180</v>
      </c>
      <c r="D2570">
        <v>34.87</v>
      </c>
      <c r="E2570">
        <v>0.00685108766373</v>
      </c>
      <c r="F2570">
        <v>0</v>
      </c>
      <c r="G2570">
        <v>0</v>
      </c>
      <c r="H2570">
        <v>0.238897426834273</v>
      </c>
      <c r="I2570">
        <v>695.25138</v>
      </c>
      <c r="J2570">
        <v>69.79734768999096</v>
      </c>
      <c r="K2570">
        <v>0.4908515036660633</v>
      </c>
      <c r="L2570">
        <v>1.189505491223704</v>
      </c>
      <c r="M2570">
        <v>52.5</v>
      </c>
      <c r="N2570">
        <v>32.24</v>
      </c>
    </row>
    <row r="2571" spans="1:14">
      <c r="A2571" s="1" t="s">
        <v>2583</v>
      </c>
      <c r="B2571">
        <f>HYPERLINK("https://www.suredividend.com/sure-analysis-research-database/","Salarius Pharmaceuticals Inc")</f>
        <v>0</v>
      </c>
      <c r="C2571" t="s">
        <v>3180</v>
      </c>
      <c r="D2571">
        <v>0.77</v>
      </c>
      <c r="E2571">
        <v>0</v>
      </c>
      <c r="F2571" t="s">
        <v>3182</v>
      </c>
      <c r="G2571" t="s">
        <v>3182</v>
      </c>
      <c r="H2571">
        <v>0</v>
      </c>
      <c r="I2571">
        <v>2.803903</v>
      </c>
      <c r="J2571">
        <v>0</v>
      </c>
      <c r="K2571" t="s">
        <v>3182</v>
      </c>
      <c r="L2571">
        <v>0.577190764613847</v>
      </c>
      <c r="M2571">
        <v>4.44</v>
      </c>
      <c r="N2571">
        <v>0.605</v>
      </c>
    </row>
    <row r="2572" spans="1:14">
      <c r="A2572" s="1" t="s">
        <v>2584</v>
      </c>
      <c r="B2572">
        <f>HYPERLINK("https://www.suredividend.com/sure-analysis-research-database/","SELLAS Life Sciences Group Inc")</f>
        <v>0</v>
      </c>
      <c r="C2572" t="s">
        <v>3180</v>
      </c>
      <c r="D2572">
        <v>0.9481000000000001</v>
      </c>
      <c r="E2572">
        <v>0</v>
      </c>
      <c r="F2572" t="s">
        <v>3182</v>
      </c>
      <c r="G2572" t="s">
        <v>3182</v>
      </c>
      <c r="H2572">
        <v>0</v>
      </c>
      <c r="I2572">
        <v>26.876663</v>
      </c>
      <c r="J2572" t="s">
        <v>3182</v>
      </c>
      <c r="K2572">
        <v>-0</v>
      </c>
      <c r="L2572">
        <v>1.30818897366264</v>
      </c>
      <c r="M2572">
        <v>5.58</v>
      </c>
      <c r="N2572">
        <v>0.88</v>
      </c>
    </row>
    <row r="2573" spans="1:14">
      <c r="A2573" s="1" t="s">
        <v>2585</v>
      </c>
      <c r="B2573">
        <f>HYPERLINK("https://www.suredividend.com/sure-analysis-research-database/","SM Energy Co")</f>
        <v>0</v>
      </c>
      <c r="C2573" t="s">
        <v>3189</v>
      </c>
      <c r="D2573">
        <v>41.13</v>
      </c>
      <c r="E2573">
        <v>0.014499537919434</v>
      </c>
      <c r="F2573" t="s">
        <v>3182</v>
      </c>
      <c r="G2573" t="s">
        <v>3182</v>
      </c>
      <c r="H2573">
        <v>0.596365994626325</v>
      </c>
      <c r="I2573">
        <v>4882.131</v>
      </c>
      <c r="J2573">
        <v>4.486720784024689</v>
      </c>
      <c r="K2573">
        <v>0.06715833272818975</v>
      </c>
      <c r="L2573">
        <v>1.317589001042464</v>
      </c>
      <c r="M2573">
        <v>47.71</v>
      </c>
      <c r="N2573">
        <v>24.34</v>
      </c>
    </row>
    <row r="2574" spans="1:14">
      <c r="A2574" s="1" t="s">
        <v>2586</v>
      </c>
      <c r="B2574">
        <f>HYPERLINK("https://www.suredividend.com/sure-analysis-research-database/","Smartsheet Inc")</f>
        <v>0</v>
      </c>
      <c r="C2574" t="s">
        <v>3185</v>
      </c>
      <c r="D2574">
        <v>38.85</v>
      </c>
      <c r="E2574">
        <v>0</v>
      </c>
      <c r="F2574" t="s">
        <v>3182</v>
      </c>
      <c r="G2574" t="s">
        <v>3182</v>
      </c>
      <c r="H2574">
        <v>0</v>
      </c>
      <c r="I2574">
        <v>5249.907881</v>
      </c>
      <c r="J2574" t="s">
        <v>3182</v>
      </c>
      <c r="K2574">
        <v>-0</v>
      </c>
      <c r="L2574">
        <v>1.760551825173929</v>
      </c>
      <c r="M2574">
        <v>52.81</v>
      </c>
      <c r="N2574">
        <v>25.09</v>
      </c>
    </row>
    <row r="2575" spans="1:14">
      <c r="A2575" s="1" t="s">
        <v>2587</v>
      </c>
      <c r="B2575">
        <f>HYPERLINK("https://www.suredividend.com/sure-analysis-research-database/","Southern Missouri Bancorp, Inc.")</f>
        <v>0</v>
      </c>
      <c r="C2575" t="s">
        <v>3184</v>
      </c>
      <c r="D2575">
        <v>43.05</v>
      </c>
      <c r="E2575">
        <v>0.019293503567205</v>
      </c>
      <c r="F2575">
        <v>0</v>
      </c>
      <c r="G2575">
        <v>0.1006650808520966</v>
      </c>
      <c r="H2575">
        <v>0.8305853285681941</v>
      </c>
      <c r="I2575">
        <v>488.034689</v>
      </c>
      <c r="J2575">
        <v>0</v>
      </c>
      <c r="K2575" t="s">
        <v>3182</v>
      </c>
      <c r="L2575">
        <v>1.100500338706473</v>
      </c>
      <c r="M2575">
        <v>53.03</v>
      </c>
      <c r="N2575">
        <v>29.8</v>
      </c>
    </row>
    <row r="2576" spans="1:14">
      <c r="A2576" s="1" t="s">
        <v>2588</v>
      </c>
      <c r="B2576">
        <f>HYPERLINK("https://www.suredividend.com/sure-analysis-research-database/","SmartFinancial Inc")</f>
        <v>0</v>
      </c>
      <c r="C2576" t="s">
        <v>3184</v>
      </c>
      <c r="D2576">
        <v>21.23</v>
      </c>
      <c r="E2576">
        <v>0.014487307581656</v>
      </c>
      <c r="F2576" t="s">
        <v>3182</v>
      </c>
      <c r="G2576" t="s">
        <v>3182</v>
      </c>
      <c r="H2576">
        <v>0.307565539958567</v>
      </c>
      <c r="I2576">
        <v>360.996873</v>
      </c>
      <c r="J2576">
        <v>0</v>
      </c>
      <c r="K2576" t="s">
        <v>3182</v>
      </c>
      <c r="L2576">
        <v>0.8706275181664551</v>
      </c>
      <c r="M2576">
        <v>30.1</v>
      </c>
      <c r="N2576">
        <v>18.67</v>
      </c>
    </row>
    <row r="2577" spans="1:14">
      <c r="A2577" s="1" t="s">
        <v>2589</v>
      </c>
      <c r="B2577">
        <f>HYPERLINK("https://www.suredividend.com/sure-analysis-research-database/","Sharps Compliance Corp.")</f>
        <v>0</v>
      </c>
      <c r="C2577" t="s">
        <v>3183</v>
      </c>
      <c r="D2577">
        <v>8.75</v>
      </c>
      <c r="E2577">
        <v>0</v>
      </c>
      <c r="F2577" t="s">
        <v>3182</v>
      </c>
      <c r="G2577" t="s">
        <v>3182</v>
      </c>
      <c r="H2577">
        <v>0</v>
      </c>
      <c r="I2577">
        <v>0</v>
      </c>
      <c r="J2577">
        <v>0</v>
      </c>
      <c r="K2577" t="s">
        <v>3182</v>
      </c>
    </row>
    <row r="2578" spans="1:14">
      <c r="A2578" s="1" t="s">
        <v>2590</v>
      </c>
      <c r="B2578">
        <f>HYPERLINK("https://www.suredividend.com/sure-analysis-SMG/","Scotts Miracle-Gro Company")</f>
        <v>0</v>
      </c>
      <c r="C2578" t="s">
        <v>3181</v>
      </c>
      <c r="D2578">
        <v>52.51</v>
      </c>
      <c r="E2578">
        <v>0.05027613787849933</v>
      </c>
      <c r="F2578">
        <v>0</v>
      </c>
      <c r="G2578">
        <v>0.03713728933664817</v>
      </c>
      <c r="H2578">
        <v>2.596497875267464</v>
      </c>
      <c r="I2578">
        <v>2948.759489</v>
      </c>
      <c r="J2578" t="s">
        <v>3182</v>
      </c>
      <c r="K2578" t="s">
        <v>3182</v>
      </c>
      <c r="L2578">
        <v>1.852174820216384</v>
      </c>
      <c r="M2578">
        <v>85.91</v>
      </c>
      <c r="N2578">
        <v>43.67</v>
      </c>
    </row>
    <row r="2579" spans="1:14">
      <c r="A2579" s="1" t="s">
        <v>2591</v>
      </c>
      <c r="B2579">
        <f>HYPERLINK("https://www.suredividend.com/sure-analysis-research-database/","SEACOR Marine Holdings Inc")</f>
        <v>0</v>
      </c>
      <c r="C2579" t="s">
        <v>3183</v>
      </c>
      <c r="D2579">
        <v>13.63</v>
      </c>
      <c r="E2579">
        <v>0</v>
      </c>
      <c r="F2579" t="s">
        <v>3182</v>
      </c>
      <c r="G2579" t="s">
        <v>3182</v>
      </c>
      <c r="H2579">
        <v>0</v>
      </c>
      <c r="I2579">
        <v>370.1908</v>
      </c>
      <c r="J2579" t="s">
        <v>3182</v>
      </c>
      <c r="K2579">
        <v>-0</v>
      </c>
      <c r="L2579">
        <v>0.6243128172765581</v>
      </c>
      <c r="M2579">
        <v>15.24</v>
      </c>
      <c r="N2579">
        <v>6.94</v>
      </c>
    </row>
    <row r="2580" spans="1:14">
      <c r="A2580" s="1" t="s">
        <v>2592</v>
      </c>
      <c r="B2580">
        <f>HYPERLINK("https://www.suredividend.com/sure-analysis-research-database/","Schmitt Industries Inc")</f>
        <v>0</v>
      </c>
      <c r="C2580" t="s">
        <v>3185</v>
      </c>
      <c r="D2580">
        <v>0.045</v>
      </c>
      <c r="E2580">
        <v>0</v>
      </c>
      <c r="F2580" t="s">
        <v>3182</v>
      </c>
      <c r="G2580" t="s">
        <v>3182</v>
      </c>
      <c r="H2580">
        <v>0</v>
      </c>
      <c r="I2580">
        <v>0.174246</v>
      </c>
      <c r="J2580">
        <v>0</v>
      </c>
      <c r="K2580" t="s">
        <v>3182</v>
      </c>
      <c r="M2580">
        <v>0.35</v>
      </c>
      <c r="N2580">
        <v>0.01</v>
      </c>
    </row>
    <row r="2581" spans="1:14">
      <c r="A2581" s="1" t="s">
        <v>2593</v>
      </c>
      <c r="B2581">
        <f>HYPERLINK("https://www.suredividend.com/sure-analysis-research-database/","Summit Financial Group Inc")</f>
        <v>0</v>
      </c>
      <c r="C2581" t="s">
        <v>3184</v>
      </c>
      <c r="D2581">
        <v>21.59</v>
      </c>
      <c r="E2581">
        <v>0.03705130831195801</v>
      </c>
      <c r="F2581">
        <v>0.09999999999999987</v>
      </c>
      <c r="G2581">
        <v>0.09460878422315755</v>
      </c>
      <c r="H2581">
        <v>0.799937746455183</v>
      </c>
      <c r="I2581">
        <v>316.771654</v>
      </c>
      <c r="J2581">
        <v>0</v>
      </c>
      <c r="K2581" t="s">
        <v>3182</v>
      </c>
      <c r="L2581">
        <v>0.759823433327606</v>
      </c>
      <c r="M2581">
        <v>27.7</v>
      </c>
      <c r="N2581">
        <v>16.44</v>
      </c>
    </row>
    <row r="2582" spans="1:14">
      <c r="A2582" s="1" t="s">
        <v>2594</v>
      </c>
      <c r="B2582">
        <f>HYPERLINK("https://www.suredividend.com/sure-analysis-research-database/","Standard Motor Products, Inc.")</f>
        <v>0</v>
      </c>
      <c r="C2582" t="s">
        <v>3186</v>
      </c>
      <c r="D2582">
        <v>35.72</v>
      </c>
      <c r="E2582">
        <v>0.03155169522172</v>
      </c>
      <c r="F2582" t="s">
        <v>3182</v>
      </c>
      <c r="G2582" t="s">
        <v>3182</v>
      </c>
      <c r="H2582">
        <v>1.127026553319839</v>
      </c>
      <c r="I2582">
        <v>776.17031</v>
      </c>
      <c r="J2582">
        <v>21.77379050803714</v>
      </c>
      <c r="K2582">
        <v>0.7000164927452416</v>
      </c>
      <c r="L2582">
        <v>0.88687638138122</v>
      </c>
      <c r="M2582">
        <v>41.46</v>
      </c>
      <c r="N2582">
        <v>30.15</v>
      </c>
    </row>
    <row r="2583" spans="1:14">
      <c r="A2583" s="1" t="s">
        <v>2595</v>
      </c>
      <c r="B2583">
        <f>HYPERLINK("https://www.suredividend.com/sure-analysis-research-database/","Simply Good Foods Co")</f>
        <v>0</v>
      </c>
      <c r="C2583" t="s">
        <v>3188</v>
      </c>
      <c r="D2583">
        <v>36.81</v>
      </c>
      <c r="E2583">
        <v>0</v>
      </c>
      <c r="F2583" t="s">
        <v>3182</v>
      </c>
      <c r="G2583" t="s">
        <v>3182</v>
      </c>
      <c r="H2583">
        <v>0</v>
      </c>
      <c r="I2583">
        <v>3666.418823</v>
      </c>
      <c r="J2583">
        <v>27.44839096238069</v>
      </c>
      <c r="K2583">
        <v>0</v>
      </c>
      <c r="L2583">
        <v>0.6899703796790161</v>
      </c>
      <c r="M2583">
        <v>40.16</v>
      </c>
      <c r="N2583">
        <v>31.06</v>
      </c>
    </row>
    <row r="2584" spans="1:14">
      <c r="A2584" s="1" t="s">
        <v>2596</v>
      </c>
      <c r="B2584">
        <f>HYPERLINK("https://www.suredividend.com/sure-analysis-research-database/","SmartRent Inc")</f>
        <v>0</v>
      </c>
      <c r="C2584" t="s">
        <v>3186</v>
      </c>
      <c r="D2584">
        <v>2.5</v>
      </c>
      <c r="E2584">
        <v>0</v>
      </c>
      <c r="F2584" t="s">
        <v>3182</v>
      </c>
      <c r="G2584" t="s">
        <v>3182</v>
      </c>
      <c r="H2584">
        <v>0</v>
      </c>
      <c r="I2584">
        <v>500.586755</v>
      </c>
      <c r="J2584" t="s">
        <v>3182</v>
      </c>
      <c r="K2584">
        <v>-0</v>
      </c>
      <c r="L2584">
        <v>1.530729633680242</v>
      </c>
      <c r="M2584">
        <v>4.12</v>
      </c>
      <c r="N2584">
        <v>2.03</v>
      </c>
    </row>
    <row r="2585" spans="1:14">
      <c r="A2585" s="1" t="s">
        <v>2597</v>
      </c>
      <c r="B2585">
        <f>HYPERLINK("https://www.suredividend.com/sure-analysis-research-database/","Smith Micro Software, Inc.")</f>
        <v>0</v>
      </c>
      <c r="C2585" t="s">
        <v>3185</v>
      </c>
      <c r="D2585">
        <v>1.08</v>
      </c>
      <c r="E2585">
        <v>0</v>
      </c>
      <c r="F2585" t="s">
        <v>3182</v>
      </c>
      <c r="G2585" t="s">
        <v>3182</v>
      </c>
      <c r="H2585">
        <v>0</v>
      </c>
      <c r="I2585">
        <v>72.092686</v>
      </c>
      <c r="J2585" t="s">
        <v>3182</v>
      </c>
      <c r="K2585">
        <v>-0</v>
      </c>
      <c r="L2585">
        <v>1.699272748958206</v>
      </c>
      <c r="M2585">
        <v>3.47</v>
      </c>
      <c r="N2585">
        <v>0.9526</v>
      </c>
    </row>
    <row r="2586" spans="1:14">
      <c r="A2586" s="1" t="s">
        <v>2598</v>
      </c>
      <c r="B2586">
        <f>HYPERLINK("https://www.suredividend.com/sure-analysis-research-database/","Semtech Corp.")</f>
        <v>0</v>
      </c>
      <c r="C2586" t="s">
        <v>3185</v>
      </c>
      <c r="D2586">
        <v>14.27</v>
      </c>
      <c r="E2586">
        <v>0</v>
      </c>
      <c r="F2586" t="s">
        <v>3182</v>
      </c>
      <c r="G2586" t="s">
        <v>3182</v>
      </c>
      <c r="H2586">
        <v>0</v>
      </c>
      <c r="I2586">
        <v>915.7059</v>
      </c>
      <c r="J2586" t="s">
        <v>3182</v>
      </c>
      <c r="K2586">
        <v>-0</v>
      </c>
      <c r="L2586">
        <v>1.5142751023138</v>
      </c>
      <c r="M2586">
        <v>35.18</v>
      </c>
      <c r="N2586">
        <v>13.13</v>
      </c>
    </row>
    <row r="2587" spans="1:14">
      <c r="A2587" s="1" t="s">
        <v>2599</v>
      </c>
      <c r="B2587">
        <f>HYPERLINK("https://www.suredividend.com/sure-analysis-SNA/","Snap-on, Inc.")</f>
        <v>0</v>
      </c>
      <c r="C2587" t="s">
        <v>3183</v>
      </c>
      <c r="D2587">
        <v>263.37</v>
      </c>
      <c r="E2587">
        <v>0.02460416903975396</v>
      </c>
      <c r="F2587">
        <v>0.1408450704225352</v>
      </c>
      <c r="G2587">
        <v>0.1126492559671668</v>
      </c>
      <c r="H2587">
        <v>6.419794477667631</v>
      </c>
      <c r="I2587">
        <v>13900.657802</v>
      </c>
      <c r="J2587">
        <v>13.97472383817232</v>
      </c>
      <c r="K2587">
        <v>0.3489018737862843</v>
      </c>
      <c r="L2587">
        <v>0.7802809725699831</v>
      </c>
      <c r="M2587">
        <v>295.46</v>
      </c>
      <c r="N2587">
        <v>216.07</v>
      </c>
    </row>
    <row r="2588" spans="1:14">
      <c r="A2588" s="1" t="s">
        <v>2600</v>
      </c>
      <c r="B2588">
        <f>HYPERLINK("https://www.suredividend.com/sure-analysis-research-database/","Snap Inc")</f>
        <v>0</v>
      </c>
      <c r="C2588" t="s">
        <v>3191</v>
      </c>
      <c r="D2588">
        <v>10.43</v>
      </c>
      <c r="E2588">
        <v>0</v>
      </c>
      <c r="F2588" t="s">
        <v>3182</v>
      </c>
      <c r="G2588" t="s">
        <v>3182</v>
      </c>
      <c r="H2588">
        <v>0</v>
      </c>
      <c r="I2588">
        <v>14520.942765</v>
      </c>
      <c r="J2588" t="s">
        <v>3182</v>
      </c>
      <c r="K2588">
        <v>-0</v>
      </c>
      <c r="L2588">
        <v>2.048590130739966</v>
      </c>
      <c r="M2588">
        <v>13.89</v>
      </c>
      <c r="N2588">
        <v>7.86</v>
      </c>
    </row>
    <row r="2589" spans="1:14">
      <c r="A2589" s="1" t="s">
        <v>2601</v>
      </c>
      <c r="B2589">
        <f>HYPERLINK("https://www.suredividend.com/sure-analysis-research-database/","Sleep Number Corp")</f>
        <v>0</v>
      </c>
      <c r="C2589" t="s">
        <v>3186</v>
      </c>
      <c r="D2589">
        <v>15.49</v>
      </c>
      <c r="E2589">
        <v>0</v>
      </c>
      <c r="F2589" t="s">
        <v>3182</v>
      </c>
      <c r="G2589" t="s">
        <v>3182</v>
      </c>
      <c r="H2589">
        <v>0</v>
      </c>
      <c r="I2589">
        <v>344.09486</v>
      </c>
      <c r="J2589">
        <v>29.10631534427339</v>
      </c>
      <c r="K2589">
        <v>0</v>
      </c>
      <c r="L2589">
        <v>1.602618476890796</v>
      </c>
      <c r="M2589">
        <v>41.61</v>
      </c>
      <c r="N2589">
        <v>15.05</v>
      </c>
    </row>
    <row r="2590" spans="1:14">
      <c r="A2590" s="1" t="s">
        <v>2602</v>
      </c>
      <c r="B2590">
        <f>HYPERLINK("https://www.suredividend.com/sure-analysis-research-database/","Synchronoss Technologies Inc")</f>
        <v>0</v>
      </c>
      <c r="C2590" t="s">
        <v>3185</v>
      </c>
      <c r="D2590">
        <v>0.43</v>
      </c>
      <c r="E2590">
        <v>0</v>
      </c>
      <c r="F2590" t="s">
        <v>3182</v>
      </c>
      <c r="G2590" t="s">
        <v>3182</v>
      </c>
      <c r="H2590">
        <v>0</v>
      </c>
      <c r="I2590">
        <v>40.160305</v>
      </c>
      <c r="J2590" t="s">
        <v>3182</v>
      </c>
      <c r="K2590">
        <v>-0</v>
      </c>
      <c r="L2590">
        <v>0.227319554885992</v>
      </c>
      <c r="M2590">
        <v>1.17</v>
      </c>
      <c r="N2590">
        <v>0.3902</v>
      </c>
    </row>
    <row r="2591" spans="1:14">
      <c r="A2591" s="1" t="s">
        <v>2603</v>
      </c>
      <c r="B2591">
        <f>HYPERLINK("https://www.suredividend.com/sure-analysis-research-database/","Smart Sand Inc")</f>
        <v>0</v>
      </c>
      <c r="C2591" t="s">
        <v>3189</v>
      </c>
      <c r="D2591">
        <v>2.16</v>
      </c>
      <c r="E2591">
        <v>0</v>
      </c>
      <c r="F2591" t="s">
        <v>3182</v>
      </c>
      <c r="G2591" t="s">
        <v>3182</v>
      </c>
      <c r="H2591">
        <v>0</v>
      </c>
      <c r="I2591">
        <v>89.05522499999999</v>
      </c>
      <c r="J2591">
        <v>0</v>
      </c>
      <c r="K2591" t="s">
        <v>3182</v>
      </c>
      <c r="L2591">
        <v>1.269442186298329</v>
      </c>
      <c r="M2591">
        <v>2.65</v>
      </c>
      <c r="N2591">
        <v>1.44</v>
      </c>
    </row>
    <row r="2592" spans="1:14">
      <c r="A2592" s="1" t="s">
        <v>2604</v>
      </c>
      <c r="B2592">
        <f>HYPERLINK("https://www.suredividend.com/sure-analysis-research-database/","Schneider National Inc")</f>
        <v>0</v>
      </c>
      <c r="C2592" t="s">
        <v>3183</v>
      </c>
      <c r="D2592">
        <v>22.16</v>
      </c>
      <c r="E2592">
        <v>0.015719915762324</v>
      </c>
      <c r="F2592">
        <v>0.125</v>
      </c>
      <c r="G2592">
        <v>0.08447177119769855</v>
      </c>
      <c r="H2592">
        <v>0.34835333329311</v>
      </c>
      <c r="I2592">
        <v>2081.014244</v>
      </c>
      <c r="J2592">
        <v>5.058372006806028</v>
      </c>
      <c r="K2592">
        <v>0.1514579709970044</v>
      </c>
      <c r="L2592">
        <v>0.9394179400918591</v>
      </c>
      <c r="M2592">
        <v>31.64</v>
      </c>
      <c r="N2592">
        <v>21.37</v>
      </c>
    </row>
    <row r="2593" spans="1:14">
      <c r="A2593" s="1" t="s">
        <v>2605</v>
      </c>
      <c r="B2593">
        <f>HYPERLINK("https://www.suredividend.com/sure-analysis-research-database/","Syndax Pharmaceuticals Inc")</f>
        <v>0</v>
      </c>
      <c r="C2593" t="s">
        <v>3180</v>
      </c>
      <c r="D2593">
        <v>14.78</v>
      </c>
      <c r="E2593">
        <v>0</v>
      </c>
      <c r="F2593" t="s">
        <v>3182</v>
      </c>
      <c r="G2593" t="s">
        <v>3182</v>
      </c>
      <c r="H2593">
        <v>0</v>
      </c>
      <c r="I2593">
        <v>1026.974303</v>
      </c>
      <c r="J2593" t="s">
        <v>3182</v>
      </c>
      <c r="K2593">
        <v>-0</v>
      </c>
      <c r="L2593">
        <v>0.8567079360392431</v>
      </c>
      <c r="M2593">
        <v>29.86</v>
      </c>
      <c r="N2593">
        <v>11.22</v>
      </c>
    </row>
    <row r="2594" spans="1:14">
      <c r="A2594" s="1" t="s">
        <v>2606</v>
      </c>
      <c r="B2594">
        <f>HYPERLINK("https://www.suredividend.com/sure-analysis-research-database/","Security National Financial Corp.")</f>
        <v>0</v>
      </c>
      <c r="C2594" t="s">
        <v>3184</v>
      </c>
      <c r="D2594">
        <v>7.21</v>
      </c>
      <c r="E2594">
        <v>0</v>
      </c>
      <c r="F2594" t="s">
        <v>3182</v>
      </c>
      <c r="G2594" t="s">
        <v>3182</v>
      </c>
      <c r="H2594">
        <v>0</v>
      </c>
      <c r="I2594">
        <v>143.821699</v>
      </c>
      <c r="J2594">
        <v>0</v>
      </c>
      <c r="K2594" t="s">
        <v>3182</v>
      </c>
      <c r="L2594">
        <v>0.4217319682958061</v>
      </c>
      <c r="M2594">
        <v>8.859999999999999</v>
      </c>
      <c r="N2594">
        <v>5.62</v>
      </c>
    </row>
    <row r="2595" spans="1:14">
      <c r="A2595" s="1" t="s">
        <v>2607</v>
      </c>
      <c r="B2595">
        <f>HYPERLINK("https://www.suredividend.com/sure-analysis-research-database/","Sonoma Pharmaceuticals Inc.")</f>
        <v>0</v>
      </c>
      <c r="C2595" t="s">
        <v>3180</v>
      </c>
      <c r="D2595">
        <v>0.1715</v>
      </c>
      <c r="E2595">
        <v>0</v>
      </c>
      <c r="F2595" t="s">
        <v>3182</v>
      </c>
      <c r="G2595" t="s">
        <v>3182</v>
      </c>
      <c r="H2595">
        <v>0</v>
      </c>
      <c r="I2595">
        <v>0.881985</v>
      </c>
      <c r="J2595">
        <v>0</v>
      </c>
      <c r="K2595" t="s">
        <v>3182</v>
      </c>
      <c r="L2595">
        <v>1.540253878977747</v>
      </c>
      <c r="M2595">
        <v>2.68</v>
      </c>
      <c r="N2595">
        <v>0.159</v>
      </c>
    </row>
    <row r="2596" spans="1:14">
      <c r="A2596" s="1" t="s">
        <v>2608</v>
      </c>
      <c r="B2596">
        <f>HYPERLINK("https://www.suredividend.com/sure-analysis-research-database/","Synopsys, Inc.")</f>
        <v>0</v>
      </c>
      <c r="C2596" t="s">
        <v>3185</v>
      </c>
      <c r="D2596">
        <v>478.64</v>
      </c>
      <c r="E2596">
        <v>0</v>
      </c>
      <c r="F2596" t="s">
        <v>3182</v>
      </c>
      <c r="G2596" t="s">
        <v>3182</v>
      </c>
      <c r="H2596">
        <v>0</v>
      </c>
      <c r="I2596">
        <v>72801.144</v>
      </c>
      <c r="J2596">
        <v>70.39381627115891</v>
      </c>
      <c r="K2596">
        <v>0</v>
      </c>
      <c r="L2596">
        <v>1.319442178315684</v>
      </c>
      <c r="M2596">
        <v>502.66</v>
      </c>
      <c r="N2596">
        <v>269.88</v>
      </c>
    </row>
    <row r="2597" spans="1:14">
      <c r="A2597" s="1" t="s">
        <v>2609</v>
      </c>
      <c r="B2597">
        <f>HYPERLINK("https://www.suredividend.com/sure-analysis-research-database/","New Senior Investment Group Inc")</f>
        <v>0</v>
      </c>
      <c r="C2597" t="s">
        <v>3187</v>
      </c>
      <c r="D2597">
        <v>8.82</v>
      </c>
      <c r="E2597">
        <v>0.021896297765001</v>
      </c>
      <c r="F2597" t="s">
        <v>3182</v>
      </c>
      <c r="G2597" t="s">
        <v>3182</v>
      </c>
      <c r="H2597">
        <v>0.193125346287316</v>
      </c>
      <c r="I2597">
        <v>741.437265</v>
      </c>
      <c r="J2597" t="s">
        <v>3182</v>
      </c>
      <c r="K2597" t="s">
        <v>3182</v>
      </c>
      <c r="L2597">
        <v>1.252124396730207</v>
      </c>
      <c r="M2597">
        <v>9.44</v>
      </c>
      <c r="N2597">
        <v>3.45</v>
      </c>
    </row>
    <row r="2598" spans="1:14">
      <c r="A2598" s="1" t="s">
        <v>2610</v>
      </c>
      <c r="B2598">
        <f>HYPERLINK("https://www.suredividend.com/sure-analysis-SNV/","Synovus Financial Corp.")</f>
        <v>0</v>
      </c>
      <c r="C2598" t="s">
        <v>3184</v>
      </c>
      <c r="D2598">
        <v>27.54</v>
      </c>
      <c r="E2598">
        <v>0.05519244734931009</v>
      </c>
      <c r="F2598">
        <v>0.1176470588235294</v>
      </c>
      <c r="G2598">
        <v>0.08734839457107491</v>
      </c>
      <c r="H2598">
        <v>1.453121064914561</v>
      </c>
      <c r="I2598">
        <v>4025.441631</v>
      </c>
      <c r="J2598">
        <v>5.353557538857244</v>
      </c>
      <c r="K2598">
        <v>0.2832594668449437</v>
      </c>
      <c r="L2598">
        <v>1.623903521254515</v>
      </c>
      <c r="M2598">
        <v>42.88</v>
      </c>
      <c r="N2598">
        <v>24.4</v>
      </c>
    </row>
    <row r="2599" spans="1:14">
      <c r="A2599" s="1" t="s">
        <v>2611</v>
      </c>
      <c r="B2599">
        <f>HYPERLINK("https://www.suredividend.com/sure-analysis-research-database/","TD Synnex Corp")</f>
        <v>0</v>
      </c>
      <c r="C2599" t="s">
        <v>3185</v>
      </c>
      <c r="D2599">
        <v>94.59</v>
      </c>
      <c r="E2599">
        <v>0.014719995084808</v>
      </c>
      <c r="F2599" t="s">
        <v>3182</v>
      </c>
      <c r="G2599" t="s">
        <v>3182</v>
      </c>
      <c r="H2599">
        <v>1.392364335072033</v>
      </c>
      <c r="I2599">
        <v>8735.473427999999</v>
      </c>
      <c r="J2599">
        <v>13.22356441382745</v>
      </c>
      <c r="K2599">
        <v>0.198060360607686</v>
      </c>
      <c r="L2599">
        <v>1.026344820728244</v>
      </c>
      <c r="M2599">
        <v>109.99</v>
      </c>
      <c r="N2599">
        <v>85.68000000000001</v>
      </c>
    </row>
    <row r="2600" spans="1:14">
      <c r="A2600" s="1" t="s">
        <v>2612</v>
      </c>
      <c r="B2600">
        <f>HYPERLINK("https://www.suredividend.com/sure-analysis-SO/","Southern Company")</f>
        <v>0</v>
      </c>
      <c r="C2600" t="s">
        <v>3190</v>
      </c>
      <c r="D2600">
        <v>70.12</v>
      </c>
      <c r="E2600">
        <v>0.0399315459212778</v>
      </c>
      <c r="F2600">
        <v>0.02941176470588247</v>
      </c>
      <c r="G2600">
        <v>0.03131030647754507</v>
      </c>
      <c r="H2600">
        <v>2.719366173644817</v>
      </c>
      <c r="I2600">
        <v>76469.12611899999</v>
      </c>
      <c r="J2600">
        <v>24.78739906628201</v>
      </c>
      <c r="K2600">
        <v>0.9643142459733394</v>
      </c>
      <c r="L2600">
        <v>0.531741849017317</v>
      </c>
      <c r="M2600">
        <v>74.31999999999999</v>
      </c>
      <c r="N2600">
        <v>57.1</v>
      </c>
    </row>
    <row r="2601" spans="1:14">
      <c r="A2601" s="1" t="s">
        <v>2613</v>
      </c>
      <c r="B2601">
        <f>HYPERLINK("https://www.suredividend.com/sure-analysis-research-database/","Sotherly Hotels Inc")</f>
        <v>0</v>
      </c>
      <c r="C2601" t="s">
        <v>3187</v>
      </c>
      <c r="D2601">
        <v>1.61</v>
      </c>
      <c r="E2601">
        <v>0</v>
      </c>
      <c r="F2601" t="s">
        <v>3182</v>
      </c>
      <c r="G2601" t="s">
        <v>3182</v>
      </c>
      <c r="H2601">
        <v>0</v>
      </c>
      <c r="I2601">
        <v>31.711856</v>
      </c>
      <c r="J2601">
        <v>0</v>
      </c>
      <c r="K2601" t="s">
        <v>3182</v>
      </c>
      <c r="L2601">
        <v>0.625446400976305</v>
      </c>
      <c r="M2601">
        <v>2.5</v>
      </c>
      <c r="N2601">
        <v>1.43</v>
      </c>
    </row>
    <row r="2602" spans="1:14">
      <c r="A2602" s="1" t="s">
        <v>2614</v>
      </c>
      <c r="B2602">
        <f>HYPERLINK("https://www.suredividend.com/sure-analysis-research-database/","Solaris Oilfield Infrastructure Inc")</f>
        <v>0</v>
      </c>
      <c r="C2602" t="s">
        <v>3189</v>
      </c>
      <c r="D2602">
        <v>9.31</v>
      </c>
      <c r="E2602">
        <v>0.046228823440043</v>
      </c>
      <c r="F2602" t="s">
        <v>3182</v>
      </c>
      <c r="G2602" t="s">
        <v>3182</v>
      </c>
      <c r="H2602">
        <v>0.4303903462268001</v>
      </c>
      <c r="I2602">
        <v>284.711577</v>
      </c>
      <c r="J2602">
        <v>11.87040138211382</v>
      </c>
      <c r="K2602">
        <v>0.5447289535841033</v>
      </c>
      <c r="L2602">
        <v>1.206529510646211</v>
      </c>
      <c r="M2602">
        <v>12.31</v>
      </c>
      <c r="N2602">
        <v>7.08</v>
      </c>
    </row>
    <row r="2603" spans="1:14">
      <c r="A2603" s="1" t="s">
        <v>2615</v>
      </c>
      <c r="B2603">
        <f>HYPERLINK("https://www.suredividend.com/sure-analysis-research-database/","Soliton Inc")</f>
        <v>0</v>
      </c>
      <c r="C2603" t="s">
        <v>3180</v>
      </c>
      <c r="D2603">
        <v>22.58</v>
      </c>
      <c r="E2603">
        <v>0</v>
      </c>
      <c r="F2603" t="s">
        <v>3182</v>
      </c>
      <c r="G2603" t="s">
        <v>3182</v>
      </c>
      <c r="H2603">
        <v>0</v>
      </c>
      <c r="I2603">
        <v>0</v>
      </c>
      <c r="J2603">
        <v>0</v>
      </c>
      <c r="K2603" t="s">
        <v>3182</v>
      </c>
    </row>
    <row r="2604" spans="1:14">
      <c r="A2604" s="1" t="s">
        <v>2616</v>
      </c>
      <c r="B2604">
        <f>HYPERLINK("https://www.suredividend.com/sure-analysis-SON/","Sonoco Products Co.")</f>
        <v>0</v>
      </c>
      <c r="C2604" t="s">
        <v>3186</v>
      </c>
      <c r="D2604">
        <v>54.45</v>
      </c>
      <c r="E2604">
        <v>0.03746556473829201</v>
      </c>
      <c r="F2604">
        <v>0.04081632653061229</v>
      </c>
      <c r="G2604">
        <v>0.04461742008699598</v>
      </c>
      <c r="H2604">
        <v>1.974507952944195</v>
      </c>
      <c r="I2604">
        <v>5333.716179</v>
      </c>
      <c r="J2604">
        <v>11.05662557835821</v>
      </c>
      <c r="K2604">
        <v>0.4046122854393843</v>
      </c>
      <c r="L2604">
        <v>0.7841728074151001</v>
      </c>
      <c r="M2604">
        <v>63.17</v>
      </c>
      <c r="N2604">
        <v>49.98</v>
      </c>
    </row>
    <row r="2605" spans="1:14">
      <c r="A2605" s="1" t="s">
        <v>2617</v>
      </c>
      <c r="B2605">
        <f>HYPERLINK("https://www.suredividend.com/sure-analysis-research-database/","Sonos Inc")</f>
        <v>0</v>
      </c>
      <c r="C2605" t="s">
        <v>3185</v>
      </c>
      <c r="D2605">
        <v>11.11</v>
      </c>
      <c r="E2605">
        <v>0</v>
      </c>
      <c r="F2605" t="s">
        <v>3182</v>
      </c>
      <c r="G2605" t="s">
        <v>3182</v>
      </c>
      <c r="H2605">
        <v>0</v>
      </c>
      <c r="I2605">
        <v>1424.948124</v>
      </c>
      <c r="J2605" t="s">
        <v>3182</v>
      </c>
      <c r="K2605">
        <v>-0</v>
      </c>
      <c r="L2605">
        <v>1.190913972636773</v>
      </c>
      <c r="M2605">
        <v>21.98</v>
      </c>
      <c r="N2605">
        <v>9.779999999999999</v>
      </c>
    </row>
    <row r="2606" spans="1:14">
      <c r="A2606" s="1" t="s">
        <v>2618</v>
      </c>
      <c r="B2606">
        <f>HYPERLINK("https://www.suredividend.com/sure-analysis-research-database/","SP Plus Corp")</f>
        <v>0</v>
      </c>
      <c r="C2606" t="s">
        <v>3183</v>
      </c>
      <c r="D2606">
        <v>51</v>
      </c>
      <c r="E2606">
        <v>0</v>
      </c>
      <c r="F2606" t="s">
        <v>3182</v>
      </c>
      <c r="G2606" t="s">
        <v>3182</v>
      </c>
      <c r="H2606">
        <v>0</v>
      </c>
      <c r="I2606">
        <v>1002.130161</v>
      </c>
      <c r="J2606">
        <v>25.17914977386935</v>
      </c>
      <c r="K2606">
        <v>0</v>
      </c>
      <c r="L2606">
        <v>0.581602335921786</v>
      </c>
      <c r="M2606">
        <v>52.4</v>
      </c>
      <c r="N2606">
        <v>31.52</v>
      </c>
    </row>
    <row r="2607" spans="1:14">
      <c r="A2607" s="1" t="s">
        <v>2619</v>
      </c>
      <c r="B2607">
        <f>HYPERLINK("https://www.suredividend.com/sure-analysis-research-database/","Spectrum Brands Holdings Inc.")</f>
        <v>0</v>
      </c>
      <c r="C2607" t="s">
        <v>3188</v>
      </c>
      <c r="D2607">
        <v>75.34999999999999</v>
      </c>
      <c r="E2607">
        <v>0.022109843682884</v>
      </c>
      <c r="F2607">
        <v>0</v>
      </c>
      <c r="G2607">
        <v>0</v>
      </c>
      <c r="H2607">
        <v>1.665976721505352</v>
      </c>
      <c r="I2607">
        <v>2688.017515</v>
      </c>
      <c r="J2607">
        <v>1.49400706680747</v>
      </c>
      <c r="K2607">
        <v>0.0376832554061378</v>
      </c>
      <c r="L2607">
        <v>1.130097494369633</v>
      </c>
      <c r="M2607">
        <v>85.25</v>
      </c>
      <c r="N2607">
        <v>43.39</v>
      </c>
    </row>
    <row r="2608" spans="1:14">
      <c r="A2608" s="1" t="s">
        <v>2620</v>
      </c>
      <c r="B2608">
        <f>HYPERLINK("https://www.suredividend.com/sure-analysis-SPG/","Simon Property Group, Inc.")</f>
        <v>0</v>
      </c>
      <c r="C2608" t="s">
        <v>3187</v>
      </c>
      <c r="D2608">
        <v>115.84</v>
      </c>
      <c r="E2608">
        <v>0.06560773480662983</v>
      </c>
      <c r="F2608">
        <v>0.08571428571428563</v>
      </c>
      <c r="G2608">
        <v>-0.01020621831301149</v>
      </c>
      <c r="H2608">
        <v>7.176759455092212</v>
      </c>
      <c r="I2608">
        <v>37901.810074</v>
      </c>
      <c r="J2608">
        <v>17.62059422434734</v>
      </c>
      <c r="K2608">
        <v>1.090692926305807</v>
      </c>
      <c r="L2608">
        <v>1.073888316085421</v>
      </c>
      <c r="M2608">
        <v>126.85</v>
      </c>
      <c r="N2608">
        <v>96.91</v>
      </c>
    </row>
    <row r="2609" spans="1:14">
      <c r="A2609" s="1" t="s">
        <v>2621</v>
      </c>
      <c r="B2609">
        <f>HYPERLINK("https://www.suredividend.com/sure-analysis-SPGI/","S&amp;P Global Inc")</f>
        <v>0</v>
      </c>
      <c r="C2609" t="s">
        <v>3184</v>
      </c>
      <c r="D2609">
        <v>375.92</v>
      </c>
      <c r="E2609">
        <v>0.009576505639497765</v>
      </c>
      <c r="F2609">
        <v>0.05882352941176472</v>
      </c>
      <c r="G2609">
        <v>0.1247461131420948</v>
      </c>
      <c r="H2609">
        <v>3.537226956520734</v>
      </c>
      <c r="I2609">
        <v>125181.36</v>
      </c>
      <c r="J2609">
        <v>50.9662309331061</v>
      </c>
      <c r="K2609">
        <v>0.4899206310970546</v>
      </c>
      <c r="L2609">
        <v>1.278006286666218</v>
      </c>
      <c r="M2609">
        <v>427.65</v>
      </c>
      <c r="N2609">
        <v>306.82</v>
      </c>
    </row>
    <row r="2610" spans="1:14">
      <c r="A2610" s="1" t="s">
        <v>2622</v>
      </c>
      <c r="B2610">
        <f>HYPERLINK("https://www.suredividend.com/sure-analysis-research-database/","Splunk Inc")</f>
        <v>0</v>
      </c>
      <c r="C2610" t="s">
        <v>3185</v>
      </c>
      <c r="D2610">
        <v>146.79</v>
      </c>
      <c r="E2610">
        <v>0</v>
      </c>
      <c r="F2610" t="s">
        <v>3182</v>
      </c>
      <c r="G2610" t="s">
        <v>3182</v>
      </c>
      <c r="H2610">
        <v>0</v>
      </c>
      <c r="I2610">
        <v>24739.50689</v>
      </c>
      <c r="J2610" t="s">
        <v>3182</v>
      </c>
      <c r="K2610">
        <v>-0</v>
      </c>
      <c r="L2610">
        <v>1.276471489154295</v>
      </c>
      <c r="M2610">
        <v>148.5</v>
      </c>
      <c r="N2610">
        <v>69.15000000000001</v>
      </c>
    </row>
    <row r="2611" spans="1:14">
      <c r="A2611" s="1" t="s">
        <v>2623</v>
      </c>
      <c r="B2611">
        <f>HYPERLINK("https://www.suredividend.com/sure-analysis-research-database/","SeaSpine Holdings Corp")</f>
        <v>0</v>
      </c>
      <c r="C2611" t="s">
        <v>3180</v>
      </c>
      <c r="D2611">
        <v>9.539999999999999</v>
      </c>
      <c r="E2611">
        <v>0</v>
      </c>
      <c r="F2611" t="s">
        <v>3182</v>
      </c>
      <c r="G2611" t="s">
        <v>3182</v>
      </c>
      <c r="H2611">
        <v>0</v>
      </c>
      <c r="I2611">
        <v>0</v>
      </c>
      <c r="J2611">
        <v>0</v>
      </c>
      <c r="K2611" t="s">
        <v>3182</v>
      </c>
    </row>
    <row r="2612" spans="1:14">
      <c r="A2612" s="1" t="s">
        <v>2624</v>
      </c>
      <c r="B2612">
        <f>HYPERLINK("https://www.suredividend.com/sure-analysis-research-database/","Spok Holdings Inc")</f>
        <v>0</v>
      </c>
      <c r="C2612" t="s">
        <v>3191</v>
      </c>
      <c r="D2612">
        <v>15.63</v>
      </c>
      <c r="E2612">
        <v>0.076275442774259</v>
      </c>
      <c r="F2612">
        <v>0</v>
      </c>
      <c r="G2612">
        <v>0.2011244339814313</v>
      </c>
      <c r="H2612">
        <v>1.192185170561682</v>
      </c>
      <c r="I2612">
        <v>312.30675</v>
      </c>
      <c r="J2612">
        <v>8.55002463766529</v>
      </c>
      <c r="K2612">
        <v>0.6660252349506602</v>
      </c>
      <c r="L2612">
        <v>0.530601185182871</v>
      </c>
      <c r="M2612">
        <v>16.22</v>
      </c>
      <c r="N2612">
        <v>6.82</v>
      </c>
    </row>
    <row r="2613" spans="1:14">
      <c r="A2613" s="1" t="s">
        <v>2625</v>
      </c>
      <c r="B2613">
        <f>HYPERLINK("https://www.suredividend.com/sure-analysis-research-database/","Spectrum Pharmaceuticals, Inc.")</f>
        <v>0</v>
      </c>
      <c r="C2613" t="s">
        <v>3180</v>
      </c>
      <c r="D2613">
        <v>1.03</v>
      </c>
      <c r="E2613">
        <v>0</v>
      </c>
      <c r="F2613" t="s">
        <v>3182</v>
      </c>
      <c r="G2613" t="s">
        <v>3182</v>
      </c>
      <c r="H2613">
        <v>0</v>
      </c>
      <c r="I2613">
        <v>0</v>
      </c>
      <c r="J2613">
        <v>0</v>
      </c>
      <c r="K2613">
        <v>-0</v>
      </c>
    </row>
    <row r="2614" spans="1:14">
      <c r="A2614" s="1" t="s">
        <v>2626</v>
      </c>
      <c r="B2614">
        <f>HYPERLINK("https://www.suredividend.com/sure-analysis-research-database/","Spirit Aerosystems Holdings Inc")</f>
        <v>0</v>
      </c>
      <c r="C2614" t="s">
        <v>3183</v>
      </c>
      <c r="D2614">
        <v>25.29</v>
      </c>
      <c r="E2614">
        <v>0</v>
      </c>
      <c r="F2614" t="s">
        <v>3182</v>
      </c>
      <c r="G2614" t="s">
        <v>3182</v>
      </c>
      <c r="H2614">
        <v>0</v>
      </c>
      <c r="I2614">
        <v>2662.767737</v>
      </c>
      <c r="J2614" t="s">
        <v>3182</v>
      </c>
      <c r="K2614">
        <v>-0</v>
      </c>
      <c r="L2614">
        <v>1.579258877025202</v>
      </c>
      <c r="M2614">
        <v>38.55</v>
      </c>
      <c r="N2614">
        <v>14.65</v>
      </c>
    </row>
    <row r="2615" spans="1:14">
      <c r="A2615" s="1" t="s">
        <v>2627</v>
      </c>
      <c r="B2615">
        <f>HYPERLINK("https://www.suredividend.com/sure-analysis-research-database/","Spero Therapeutics Inc")</f>
        <v>0</v>
      </c>
      <c r="C2615" t="s">
        <v>3180</v>
      </c>
      <c r="D2615">
        <v>1.14</v>
      </c>
      <c r="E2615">
        <v>0</v>
      </c>
      <c r="F2615" t="s">
        <v>3182</v>
      </c>
      <c r="G2615" t="s">
        <v>3182</v>
      </c>
      <c r="H2615">
        <v>0</v>
      </c>
      <c r="I2615">
        <v>60.096569</v>
      </c>
      <c r="J2615">
        <v>0</v>
      </c>
      <c r="K2615" t="s">
        <v>3182</v>
      </c>
      <c r="L2615">
        <v>0.8636661742885671</v>
      </c>
      <c r="M2615">
        <v>2.15</v>
      </c>
      <c r="N2615">
        <v>0.99</v>
      </c>
    </row>
    <row r="2616" spans="1:14">
      <c r="A2616" s="1" t="s">
        <v>2628</v>
      </c>
      <c r="B2616">
        <f>HYPERLINK("https://www.suredividend.com/sure-analysis-research-database/","Support.com Inc")</f>
        <v>0</v>
      </c>
      <c r="C2616" t="s">
        <v>3185</v>
      </c>
      <c r="D2616">
        <v>11.8</v>
      </c>
      <c r="E2616">
        <v>0</v>
      </c>
      <c r="F2616" t="s">
        <v>3182</v>
      </c>
      <c r="G2616" t="s">
        <v>3182</v>
      </c>
      <c r="H2616">
        <v>0</v>
      </c>
      <c r="I2616">
        <v>0</v>
      </c>
      <c r="J2616">
        <v>0</v>
      </c>
      <c r="K2616">
        <v>-0</v>
      </c>
    </row>
    <row r="2617" spans="1:14">
      <c r="A2617" s="1" t="s">
        <v>2629</v>
      </c>
      <c r="B2617">
        <f>HYPERLINK("https://www.suredividend.com/sure-analysis-research-database/","SPS Commerce Inc.")</f>
        <v>0</v>
      </c>
      <c r="C2617" t="s">
        <v>3185</v>
      </c>
      <c r="D2617">
        <v>163.17</v>
      </c>
      <c r="E2617">
        <v>0</v>
      </c>
      <c r="F2617" t="s">
        <v>3182</v>
      </c>
      <c r="G2617" t="s">
        <v>3182</v>
      </c>
      <c r="H2617">
        <v>0</v>
      </c>
      <c r="I2617">
        <v>5987.948697</v>
      </c>
      <c r="J2617">
        <v>95.45894492666751</v>
      </c>
      <c r="K2617">
        <v>0</v>
      </c>
      <c r="L2617">
        <v>1.452046170015052</v>
      </c>
      <c r="M2617">
        <v>196.39</v>
      </c>
      <c r="N2617">
        <v>116.58</v>
      </c>
    </row>
    <row r="2618" spans="1:14">
      <c r="A2618" s="1" t="s">
        <v>2630</v>
      </c>
      <c r="B2618">
        <f>HYPERLINK("https://www.suredividend.com/sure-analysis-SPTN/","SpartanNash Co")</f>
        <v>0</v>
      </c>
      <c r="C2618" t="s">
        <v>3188</v>
      </c>
      <c r="D2618">
        <v>22.92</v>
      </c>
      <c r="E2618">
        <v>0.037521815008726</v>
      </c>
      <c r="F2618">
        <v>0.02380952380952372</v>
      </c>
      <c r="G2618">
        <v>0.03617519371964306</v>
      </c>
      <c r="H2618">
        <v>0.8320565881563631</v>
      </c>
      <c r="I2618">
        <v>793.407796</v>
      </c>
      <c r="J2618">
        <v>19.58306297223251</v>
      </c>
      <c r="K2618">
        <v>0.7363332638551886</v>
      </c>
      <c r="L2618">
        <v>0.339010299535164</v>
      </c>
      <c r="M2618">
        <v>35.71</v>
      </c>
      <c r="N2618">
        <v>19.79</v>
      </c>
    </row>
    <row r="2619" spans="1:14">
      <c r="A2619" s="1" t="s">
        <v>2631</v>
      </c>
      <c r="B2619">
        <f>HYPERLINK("https://www.suredividend.com/sure-analysis-research-database/","Sportsman`s Warehouse Holdings Inc")</f>
        <v>0</v>
      </c>
      <c r="C2619" t="s">
        <v>3186</v>
      </c>
      <c r="D2619">
        <v>5.14</v>
      </c>
      <c r="E2619">
        <v>0</v>
      </c>
      <c r="F2619" t="s">
        <v>3182</v>
      </c>
      <c r="G2619" t="s">
        <v>3182</v>
      </c>
      <c r="H2619">
        <v>0</v>
      </c>
      <c r="I2619">
        <v>192.161393</v>
      </c>
      <c r="J2619">
        <v>0</v>
      </c>
      <c r="K2619" t="s">
        <v>3182</v>
      </c>
      <c r="L2619">
        <v>0.7240024109591131</v>
      </c>
      <c r="M2619">
        <v>10.62</v>
      </c>
      <c r="N2619">
        <v>2.98</v>
      </c>
    </row>
    <row r="2620" spans="1:14">
      <c r="A2620" s="1" t="s">
        <v>2632</v>
      </c>
      <c r="B2620">
        <f>HYPERLINK("https://www.suredividend.com/sure-analysis-research-database/","Sunpower Corp")</f>
        <v>0</v>
      </c>
      <c r="C2620" t="s">
        <v>3185</v>
      </c>
      <c r="D2620">
        <v>4.47</v>
      </c>
      <c r="E2620">
        <v>0</v>
      </c>
      <c r="F2620" t="s">
        <v>3182</v>
      </c>
      <c r="G2620" t="s">
        <v>3182</v>
      </c>
      <c r="H2620">
        <v>0</v>
      </c>
      <c r="I2620">
        <v>783.10693</v>
      </c>
      <c r="J2620">
        <v>12.37761475453626</v>
      </c>
      <c r="K2620">
        <v>0</v>
      </c>
      <c r="L2620">
        <v>2.325352052772472</v>
      </c>
      <c r="M2620">
        <v>24.97</v>
      </c>
      <c r="N2620">
        <v>3.75</v>
      </c>
    </row>
    <row r="2621" spans="1:14">
      <c r="A2621" s="1" t="s">
        <v>2633</v>
      </c>
      <c r="B2621">
        <f>HYPERLINK("https://www.suredividend.com/sure-analysis-research-database/","SPX Technologies Inc")</f>
        <v>0</v>
      </c>
      <c r="C2621" t="s">
        <v>3183</v>
      </c>
      <c r="D2621">
        <v>83.04000000000001</v>
      </c>
      <c r="E2621">
        <v>0</v>
      </c>
      <c r="F2621" t="s">
        <v>3182</v>
      </c>
      <c r="G2621" t="s">
        <v>3182</v>
      </c>
      <c r="H2621">
        <v>0</v>
      </c>
      <c r="I2621">
        <v>3785.831881</v>
      </c>
      <c r="J2621">
        <v>0</v>
      </c>
      <c r="K2621" t="s">
        <v>3182</v>
      </c>
      <c r="L2621">
        <v>1.169472920377905</v>
      </c>
      <c r="M2621">
        <v>91.94</v>
      </c>
      <c r="N2621">
        <v>61.09</v>
      </c>
    </row>
    <row r="2622" spans="1:14">
      <c r="A2622" s="1" t="s">
        <v>2634</v>
      </c>
      <c r="B2622">
        <f>HYPERLINK("https://www.suredividend.com/sure-analysis-research-database/","Block Inc")</f>
        <v>0</v>
      </c>
      <c r="C2622" t="s">
        <v>3185</v>
      </c>
      <c r="D2622">
        <v>43.98</v>
      </c>
      <c r="E2622">
        <v>0</v>
      </c>
      <c r="F2622" t="s">
        <v>3182</v>
      </c>
      <c r="G2622" t="s">
        <v>3182</v>
      </c>
      <c r="H2622">
        <v>0</v>
      </c>
      <c r="I2622">
        <v>24164.400183</v>
      </c>
      <c r="J2622" t="s">
        <v>3182</v>
      </c>
      <c r="K2622">
        <v>-0</v>
      </c>
      <c r="L2622">
        <v>2.485437221604756</v>
      </c>
      <c r="M2622">
        <v>89.97</v>
      </c>
      <c r="N2622">
        <v>38.85</v>
      </c>
    </row>
    <row r="2623" spans="1:14">
      <c r="A2623" s="1" t="s">
        <v>2635</v>
      </c>
      <c r="B2623">
        <f>HYPERLINK("https://www.suredividend.com/sure-analysis-research-database/","Sequential Brands Group Inc.")</f>
        <v>0</v>
      </c>
      <c r="C2623" t="s">
        <v>3186</v>
      </c>
      <c r="D2623">
        <v>6.24</v>
      </c>
      <c r="E2623">
        <v>0</v>
      </c>
      <c r="F2623" t="s">
        <v>3182</v>
      </c>
      <c r="G2623" t="s">
        <v>3182</v>
      </c>
      <c r="H2623">
        <v>0</v>
      </c>
      <c r="I2623">
        <v>0</v>
      </c>
      <c r="J2623">
        <v>0</v>
      </c>
      <c r="K2623" t="s">
        <v>3182</v>
      </c>
    </row>
    <row r="2624" spans="1:14">
      <c r="A2624" s="1" t="s">
        <v>2636</v>
      </c>
      <c r="B2624">
        <f>HYPERLINK("https://www.suredividend.com/sure-analysis-SR/","Spire Inc.")</f>
        <v>0</v>
      </c>
      <c r="C2624" t="s">
        <v>3190</v>
      </c>
      <c r="D2624">
        <v>58.19</v>
      </c>
      <c r="E2624">
        <v>0.0494930400412442</v>
      </c>
      <c r="F2624">
        <v>0.05109489051094873</v>
      </c>
      <c r="G2624">
        <v>0.03974975894363819</v>
      </c>
      <c r="H2624">
        <v>2.831182810038292</v>
      </c>
      <c r="I2624">
        <v>3060.9766</v>
      </c>
      <c r="J2624">
        <v>13.52618913044631</v>
      </c>
      <c r="K2624">
        <v>0.6568869628859147</v>
      </c>
      <c r="L2624">
        <v>0.576003311540157</v>
      </c>
      <c r="M2624">
        <v>73.33</v>
      </c>
      <c r="N2624">
        <v>53.77</v>
      </c>
    </row>
    <row r="2625" spans="1:14">
      <c r="A2625" s="1" t="s">
        <v>2637</v>
      </c>
      <c r="B2625">
        <f>HYPERLINK("https://www.suredividend.com/sure-analysis-SRC/","Spirit Realty Capital Inc")</f>
        <v>0</v>
      </c>
      <c r="C2625" t="s">
        <v>3187</v>
      </c>
      <c r="D2625">
        <v>38.11</v>
      </c>
      <c r="E2625">
        <v>0.07032274993440042</v>
      </c>
      <c r="F2625">
        <v>0.009954751131221684</v>
      </c>
      <c r="G2625">
        <v>0.01388123583647949</v>
      </c>
      <c r="H2625">
        <v>2.585912324107734</v>
      </c>
      <c r="I2625">
        <v>5386.138053</v>
      </c>
      <c r="J2625">
        <v>18.81271957813924</v>
      </c>
      <c r="K2625">
        <v>1.261420645906212</v>
      </c>
      <c r="L2625">
        <v>0.7957299729129531</v>
      </c>
      <c r="M2625">
        <v>42.28</v>
      </c>
      <c r="N2625">
        <v>32.22</v>
      </c>
    </row>
    <row r="2626" spans="1:14">
      <c r="A2626" s="1" t="s">
        <v>2638</v>
      </c>
      <c r="B2626">
        <f>HYPERLINK("https://www.suredividend.com/sure-analysis-SRCE/","1st Source Corp.")</f>
        <v>0</v>
      </c>
      <c r="C2626" t="s">
        <v>3184</v>
      </c>
      <c r="D2626">
        <v>46.43</v>
      </c>
      <c r="E2626">
        <v>0.02929140641826405</v>
      </c>
      <c r="F2626">
        <v>0.0625</v>
      </c>
      <c r="G2626">
        <v>0.04718407860618323</v>
      </c>
      <c r="H2626">
        <v>0.946602152209657</v>
      </c>
      <c r="I2626">
        <v>1134.242324</v>
      </c>
      <c r="J2626">
        <v>8.974643137842907</v>
      </c>
      <c r="K2626">
        <v>0.1848832328534486</v>
      </c>
      <c r="L2626">
        <v>0.6968821362733091</v>
      </c>
      <c r="M2626">
        <v>57.36</v>
      </c>
      <c r="N2626">
        <v>38.25</v>
      </c>
    </row>
    <row r="2627" spans="1:14">
      <c r="A2627" s="1" t="s">
        <v>2639</v>
      </c>
      <c r="B2627">
        <f>HYPERLINK("https://www.suredividend.com/sure-analysis-research-database/","Stericycle Inc.")</f>
        <v>0</v>
      </c>
      <c r="C2627" t="s">
        <v>3183</v>
      </c>
      <c r="D2627">
        <v>41.54</v>
      </c>
      <c r="E2627">
        <v>0</v>
      </c>
      <c r="F2627" t="s">
        <v>3182</v>
      </c>
      <c r="G2627" t="s">
        <v>3182</v>
      </c>
      <c r="H2627">
        <v>0</v>
      </c>
      <c r="I2627">
        <v>3843.349299</v>
      </c>
      <c r="J2627">
        <v>179.5957616570093</v>
      </c>
      <c r="K2627">
        <v>0</v>
      </c>
      <c r="L2627">
        <v>1.080039378156625</v>
      </c>
      <c r="M2627">
        <v>56.12</v>
      </c>
      <c r="N2627">
        <v>37.78</v>
      </c>
    </row>
    <row r="2628" spans="1:14">
      <c r="A2628" s="1" t="s">
        <v>2640</v>
      </c>
      <c r="B2628">
        <f>HYPERLINK("https://www.suredividend.com/sure-analysis-research-database/","Surmodics, Inc.")</f>
        <v>0</v>
      </c>
      <c r="C2628" t="s">
        <v>3180</v>
      </c>
      <c r="D2628">
        <v>29.66</v>
      </c>
      <c r="E2628">
        <v>0</v>
      </c>
      <c r="F2628" t="s">
        <v>3182</v>
      </c>
      <c r="G2628" t="s">
        <v>3182</v>
      </c>
      <c r="H2628">
        <v>0</v>
      </c>
      <c r="I2628">
        <v>419.21444</v>
      </c>
      <c r="J2628" t="s">
        <v>3182</v>
      </c>
      <c r="K2628">
        <v>-0</v>
      </c>
      <c r="L2628">
        <v>0.9600936459644661</v>
      </c>
      <c r="M2628">
        <v>39.41</v>
      </c>
      <c r="N2628">
        <v>16</v>
      </c>
    </row>
    <row r="2629" spans="1:14">
      <c r="A2629" s="1" t="s">
        <v>2641</v>
      </c>
      <c r="B2629">
        <f>HYPERLINK("https://www.suredividend.com/sure-analysis-SRE/","Sempra")</f>
        <v>0</v>
      </c>
      <c r="C2629" t="s">
        <v>3190</v>
      </c>
      <c r="D2629">
        <v>72.08</v>
      </c>
      <c r="E2629">
        <v>0.0330188679245283</v>
      </c>
      <c r="F2629">
        <v>-0.4803493449781659</v>
      </c>
      <c r="G2629">
        <v>-0.07840780914943113</v>
      </c>
      <c r="H2629">
        <v>2.328859847880093</v>
      </c>
      <c r="I2629">
        <v>22680.228965</v>
      </c>
      <c r="J2629">
        <v>9.090272130340679</v>
      </c>
      <c r="K2629">
        <v>0.2951660136730156</v>
      </c>
      <c r="L2629">
        <v>0.643584043905021</v>
      </c>
      <c r="M2629">
        <v>81.48</v>
      </c>
      <c r="N2629">
        <v>63.75</v>
      </c>
    </row>
    <row r="2630" spans="1:14">
      <c r="A2630" s="1" t="s">
        <v>2642</v>
      </c>
      <c r="B2630">
        <f>HYPERLINK("https://www.suredividend.com/sure-analysis-research-database/","ServiceSource International Inc")</f>
        <v>0</v>
      </c>
      <c r="C2630" t="s">
        <v>3185</v>
      </c>
      <c r="D2630">
        <v>1.5</v>
      </c>
      <c r="E2630">
        <v>0</v>
      </c>
      <c r="F2630" t="s">
        <v>3182</v>
      </c>
      <c r="G2630" t="s">
        <v>3182</v>
      </c>
      <c r="H2630">
        <v>0</v>
      </c>
      <c r="I2630">
        <v>0</v>
      </c>
      <c r="J2630">
        <v>0</v>
      </c>
      <c r="K2630">
        <v>-0</v>
      </c>
    </row>
    <row r="2631" spans="1:14">
      <c r="A2631" s="1" t="s">
        <v>2643</v>
      </c>
      <c r="B2631">
        <f>HYPERLINK("https://www.suredividend.com/sure-analysis-research-database/","Seritage Growth Properties")</f>
        <v>0</v>
      </c>
      <c r="C2631" t="s">
        <v>3187</v>
      </c>
      <c r="D2631">
        <v>7.54</v>
      </c>
      <c r="E2631">
        <v>0</v>
      </c>
      <c r="F2631" t="s">
        <v>3182</v>
      </c>
      <c r="G2631" t="s">
        <v>3182</v>
      </c>
      <c r="H2631">
        <v>0</v>
      </c>
      <c r="I2631">
        <v>423.616216</v>
      </c>
      <c r="J2631" t="s">
        <v>3182</v>
      </c>
      <c r="K2631">
        <v>-0</v>
      </c>
      <c r="L2631">
        <v>1.042127177069264</v>
      </c>
      <c r="M2631">
        <v>12.79</v>
      </c>
      <c r="N2631">
        <v>7.07</v>
      </c>
    </row>
    <row r="2632" spans="1:14">
      <c r="A2632" s="1" t="s">
        <v>2644</v>
      </c>
      <c r="B2632">
        <f>HYPERLINK("https://www.suredividend.com/sure-analysis-research-database/","Stoneridge Inc.")</f>
        <v>0</v>
      </c>
      <c r="C2632" t="s">
        <v>3186</v>
      </c>
      <c r="D2632">
        <v>16.6</v>
      </c>
      <c r="E2632">
        <v>0</v>
      </c>
      <c r="F2632" t="s">
        <v>3182</v>
      </c>
      <c r="G2632" t="s">
        <v>3182</v>
      </c>
      <c r="H2632">
        <v>0</v>
      </c>
      <c r="I2632">
        <v>456.862428</v>
      </c>
      <c r="J2632" t="s">
        <v>3182</v>
      </c>
      <c r="K2632">
        <v>-0</v>
      </c>
      <c r="L2632">
        <v>1.003438773930292</v>
      </c>
      <c r="M2632">
        <v>25.87</v>
      </c>
      <c r="N2632">
        <v>14.18</v>
      </c>
    </row>
    <row r="2633" spans="1:14">
      <c r="A2633" s="1" t="s">
        <v>2645</v>
      </c>
      <c r="B2633">
        <f>HYPERLINK("https://www.suredividend.com/sure-analysis-research-database/","Sorrento Therapeutics Inc")</f>
        <v>0</v>
      </c>
      <c r="C2633" t="s">
        <v>3180</v>
      </c>
      <c r="D2633">
        <v>0.3073</v>
      </c>
      <c r="E2633">
        <v>0</v>
      </c>
      <c r="F2633" t="s">
        <v>3182</v>
      </c>
      <c r="G2633" t="s">
        <v>3182</v>
      </c>
      <c r="H2633">
        <v>0</v>
      </c>
      <c r="I2633">
        <v>0</v>
      </c>
      <c r="J2633">
        <v>0</v>
      </c>
      <c r="K2633" t="s">
        <v>3182</v>
      </c>
    </row>
    <row r="2634" spans="1:14">
      <c r="A2634" s="1" t="s">
        <v>2646</v>
      </c>
      <c r="B2634">
        <f>HYPERLINK("https://www.suredividend.com/sure-analysis-research-database/","Sarepta Therapeutics Inc")</f>
        <v>0</v>
      </c>
      <c r="C2634" t="s">
        <v>3180</v>
      </c>
      <c r="D2634">
        <v>77.76000000000001</v>
      </c>
      <c r="E2634">
        <v>0</v>
      </c>
      <c r="F2634" t="s">
        <v>3182</v>
      </c>
      <c r="G2634" t="s">
        <v>3182</v>
      </c>
      <c r="H2634">
        <v>0</v>
      </c>
      <c r="I2634">
        <v>6842.88</v>
      </c>
      <c r="J2634" t="s">
        <v>3182</v>
      </c>
      <c r="K2634">
        <v>-0</v>
      </c>
      <c r="M2634">
        <v>159.89</v>
      </c>
      <c r="N2634">
        <v>55.25</v>
      </c>
    </row>
    <row r="2635" spans="1:14">
      <c r="A2635" s="1" t="s">
        <v>2647</v>
      </c>
      <c r="B2635">
        <f>HYPERLINK("https://www.suredividend.com/sure-analysis-research-database/","Scholar Rock Holding Corp")</f>
        <v>0</v>
      </c>
      <c r="C2635" t="s">
        <v>3180</v>
      </c>
      <c r="D2635">
        <v>12.54</v>
      </c>
      <c r="E2635">
        <v>0</v>
      </c>
      <c r="F2635" t="s">
        <v>3182</v>
      </c>
      <c r="G2635" t="s">
        <v>3182</v>
      </c>
      <c r="H2635">
        <v>0</v>
      </c>
      <c r="I2635">
        <v>705.1539320000001</v>
      </c>
      <c r="J2635">
        <v>0</v>
      </c>
      <c r="K2635" t="s">
        <v>3182</v>
      </c>
      <c r="L2635">
        <v>0.748902047441613</v>
      </c>
      <c r="M2635">
        <v>13</v>
      </c>
      <c r="N2635">
        <v>5.56</v>
      </c>
    </row>
    <row r="2636" spans="1:14">
      <c r="A2636" s="1" t="s">
        <v>2648</v>
      </c>
      <c r="B2636">
        <f>HYPERLINK("https://www.suredividend.com/sure-analysis-research-database/","Startek, Inc.")</f>
        <v>0</v>
      </c>
      <c r="C2636" t="s">
        <v>3183</v>
      </c>
      <c r="D2636">
        <v>4.28</v>
      </c>
      <c r="E2636">
        <v>0</v>
      </c>
      <c r="F2636" t="s">
        <v>3182</v>
      </c>
      <c r="G2636" t="s">
        <v>3182</v>
      </c>
      <c r="H2636">
        <v>0</v>
      </c>
      <c r="I2636">
        <v>172.491743</v>
      </c>
      <c r="J2636">
        <v>57.8443133869886</v>
      </c>
      <c r="K2636">
        <v>0</v>
      </c>
      <c r="L2636">
        <v>0.454748277036487</v>
      </c>
      <c r="M2636">
        <v>4.53</v>
      </c>
      <c r="N2636">
        <v>2.64</v>
      </c>
    </row>
    <row r="2637" spans="1:14">
      <c r="A2637" s="1" t="s">
        <v>2649</v>
      </c>
      <c r="B2637">
        <f>HYPERLINK("https://www.suredividend.com/sure-analysis-research-database/","Sensus Healthcare Inc")</f>
        <v>0</v>
      </c>
      <c r="C2637" t="s">
        <v>3180</v>
      </c>
      <c r="D2637">
        <v>2.1</v>
      </c>
      <c r="E2637">
        <v>0</v>
      </c>
      <c r="F2637" t="s">
        <v>3182</v>
      </c>
      <c r="G2637" t="s">
        <v>3182</v>
      </c>
      <c r="H2637">
        <v>0</v>
      </c>
      <c r="I2637">
        <v>34.422845</v>
      </c>
      <c r="J2637">
        <v>14.43911287751678</v>
      </c>
      <c r="K2637">
        <v>0</v>
      </c>
      <c r="L2637">
        <v>1.10051034422861</v>
      </c>
      <c r="M2637">
        <v>9.619999999999999</v>
      </c>
      <c r="N2637">
        <v>2.05</v>
      </c>
    </row>
    <row r="2638" spans="1:14">
      <c r="A2638" s="1" t="s">
        <v>2650</v>
      </c>
      <c r="B2638">
        <f>HYPERLINK("https://www.suredividend.com/sure-analysis-research-database/","SouthState Corporation")</f>
        <v>0</v>
      </c>
      <c r="C2638" t="s">
        <v>3184</v>
      </c>
      <c r="D2638">
        <v>70.59999999999999</v>
      </c>
      <c r="E2638">
        <v>0.028132016597285</v>
      </c>
      <c r="F2638">
        <v>0.04000000000000004</v>
      </c>
      <c r="G2638">
        <v>0.06474093044470108</v>
      </c>
      <c r="H2638">
        <v>1.986120371768349</v>
      </c>
      <c r="I2638">
        <v>5366.058194</v>
      </c>
      <c r="J2638">
        <v>9.938654006719538</v>
      </c>
      <c r="K2638">
        <v>0.2809222590902898</v>
      </c>
      <c r="L2638">
        <v>1.182966204694221</v>
      </c>
      <c r="M2638">
        <v>88.94</v>
      </c>
      <c r="N2638">
        <v>58.24</v>
      </c>
    </row>
    <row r="2639" spans="1:14">
      <c r="A2639" s="1" t="s">
        <v>2651</v>
      </c>
      <c r="B2639">
        <f>HYPERLINK("https://www.suredividend.com/sure-analysis-research-database/","Summit St. Bank")</f>
        <v>0</v>
      </c>
      <c r="C2639" t="s">
        <v>3184</v>
      </c>
      <c r="D2639">
        <v>12.55</v>
      </c>
      <c r="E2639">
        <v>0.018908532218747</v>
      </c>
      <c r="F2639">
        <v>0</v>
      </c>
      <c r="G2639">
        <v>0</v>
      </c>
      <c r="H2639">
        <v>0.237302079345284</v>
      </c>
      <c r="I2639">
        <v>60.439294</v>
      </c>
      <c r="J2639">
        <v>0</v>
      </c>
      <c r="K2639" t="s">
        <v>3182</v>
      </c>
      <c r="M2639">
        <v>18.54</v>
      </c>
      <c r="N2639">
        <v>11.8</v>
      </c>
    </row>
    <row r="2640" spans="1:14">
      <c r="A2640" s="1" t="s">
        <v>2652</v>
      </c>
      <c r="B2640">
        <f>HYPERLINK("https://www.suredividend.com/sure-analysis-research-database/","Simpson Manufacturing Co., Inc.")</f>
        <v>0</v>
      </c>
      <c r="C2640" t="s">
        <v>3183</v>
      </c>
      <c r="D2640">
        <v>140.5</v>
      </c>
      <c r="E2640">
        <v>0.007522193663956</v>
      </c>
      <c r="F2640">
        <v>0.03846153846153855</v>
      </c>
      <c r="G2640">
        <v>0.04180926810264429</v>
      </c>
      <c r="H2640">
        <v>1.056868209785958</v>
      </c>
      <c r="I2640">
        <v>5995.535144</v>
      </c>
      <c r="J2640">
        <v>17.58149267771998</v>
      </c>
      <c r="K2640">
        <v>0.1326057979656158</v>
      </c>
      <c r="L2640">
        <v>1.21530706821722</v>
      </c>
      <c r="M2640">
        <v>165.72</v>
      </c>
      <c r="N2640">
        <v>81.77</v>
      </c>
    </row>
    <row r="2641" spans="1:14">
      <c r="A2641" s="1" t="s">
        <v>2653</v>
      </c>
      <c r="B2641">
        <f>HYPERLINK("https://www.suredividend.com/sure-analysis-research-database/","STRATA Skin Sciences Inc")</f>
        <v>0</v>
      </c>
      <c r="C2641" t="s">
        <v>3180</v>
      </c>
      <c r="D2641">
        <v>0.4702</v>
      </c>
      <c r="E2641">
        <v>0</v>
      </c>
      <c r="F2641" t="s">
        <v>3182</v>
      </c>
      <c r="G2641" t="s">
        <v>3182</v>
      </c>
      <c r="H2641">
        <v>0</v>
      </c>
      <c r="I2641">
        <v>16.416532</v>
      </c>
      <c r="J2641" t="s">
        <v>3182</v>
      </c>
      <c r="K2641">
        <v>-0</v>
      </c>
      <c r="L2641">
        <v>0.08008904966417001</v>
      </c>
      <c r="M2641">
        <v>1.39</v>
      </c>
      <c r="N2641">
        <v>0.4501</v>
      </c>
    </row>
    <row r="2642" spans="1:14">
      <c r="A2642" s="1" t="s">
        <v>2654</v>
      </c>
      <c r="B2642">
        <f>HYPERLINK("https://www.suredividend.com/sure-analysis-research-database/","SS&amp;C Technologies Holdings Inc")</f>
        <v>0</v>
      </c>
      <c r="C2642" t="s">
        <v>3185</v>
      </c>
      <c r="D2642">
        <v>51.16</v>
      </c>
      <c r="E2642">
        <v>0.016252498413237</v>
      </c>
      <c r="F2642">
        <v>0.2</v>
      </c>
      <c r="G2642">
        <v>0.2457309396155174</v>
      </c>
      <c r="H2642">
        <v>0.8314778188212411</v>
      </c>
      <c r="I2642">
        <v>12692.201828</v>
      </c>
      <c r="J2642">
        <v>20.33354986824736</v>
      </c>
      <c r="K2642">
        <v>0.3421719419017453</v>
      </c>
      <c r="L2642">
        <v>1.071770736283782</v>
      </c>
      <c r="M2642">
        <v>63.31</v>
      </c>
      <c r="N2642">
        <v>46.61</v>
      </c>
    </row>
    <row r="2643" spans="1:14">
      <c r="A2643" s="1" t="s">
        <v>2655</v>
      </c>
      <c r="B2643">
        <f>HYPERLINK("https://www.suredividend.com/sure-analysis-research-database/","E.W. Scripps Co.")</f>
        <v>0</v>
      </c>
      <c r="C2643" t="s">
        <v>3191</v>
      </c>
      <c r="D2643">
        <v>6.1</v>
      </c>
      <c r="E2643">
        <v>0</v>
      </c>
      <c r="F2643" t="s">
        <v>3182</v>
      </c>
      <c r="G2643" t="s">
        <v>3182</v>
      </c>
      <c r="H2643">
        <v>0</v>
      </c>
      <c r="I2643">
        <v>442.529087</v>
      </c>
      <c r="J2643" t="s">
        <v>3182</v>
      </c>
      <c r="K2643">
        <v>-0</v>
      </c>
      <c r="L2643">
        <v>2.212298183184398</v>
      </c>
      <c r="M2643">
        <v>16.13</v>
      </c>
      <c r="N2643">
        <v>4.85</v>
      </c>
    </row>
    <row r="2644" spans="1:14">
      <c r="A2644" s="1" t="s">
        <v>2656</v>
      </c>
      <c r="B2644">
        <f>HYPERLINK("https://www.suredividend.com/sure-analysis-research-database/","SoundThinking Inc")</f>
        <v>0</v>
      </c>
      <c r="C2644" t="s">
        <v>3185</v>
      </c>
      <c r="D2644">
        <v>15.29</v>
      </c>
      <c r="E2644">
        <v>0</v>
      </c>
      <c r="F2644" t="s">
        <v>3182</v>
      </c>
      <c r="G2644" t="s">
        <v>3182</v>
      </c>
      <c r="H2644">
        <v>0</v>
      </c>
      <c r="I2644">
        <v>186.986486</v>
      </c>
      <c r="J2644" t="s">
        <v>3182</v>
      </c>
      <c r="K2644">
        <v>-0</v>
      </c>
      <c r="L2644">
        <v>0.8652649027692431</v>
      </c>
      <c r="M2644">
        <v>39.46</v>
      </c>
      <c r="N2644">
        <v>14.39</v>
      </c>
    </row>
    <row r="2645" spans="1:14">
      <c r="A2645" s="1" t="s">
        <v>2657</v>
      </c>
      <c r="B2645">
        <f>HYPERLINK("https://www.suredividend.com/sure-analysis-research-database/","Shutterstock Inc")</f>
        <v>0</v>
      </c>
      <c r="C2645" t="s">
        <v>3191</v>
      </c>
      <c r="D2645">
        <v>39.93</v>
      </c>
      <c r="E2645">
        <v>0.026077063255372</v>
      </c>
      <c r="F2645" t="s">
        <v>3182</v>
      </c>
      <c r="G2645" t="s">
        <v>3182</v>
      </c>
      <c r="H2645">
        <v>1.041257135787019</v>
      </c>
      <c r="I2645">
        <v>1426.004398</v>
      </c>
      <c r="J2645">
        <v>12.05199751109271</v>
      </c>
      <c r="K2645">
        <v>0.3194040293825212</v>
      </c>
      <c r="L2645">
        <v>1.423921768666231</v>
      </c>
      <c r="M2645">
        <v>79.95999999999999</v>
      </c>
      <c r="N2645">
        <v>33.8</v>
      </c>
    </row>
    <row r="2646" spans="1:14">
      <c r="A2646" s="1" t="s">
        <v>2658</v>
      </c>
      <c r="B2646">
        <f>HYPERLINK("https://www.suredividend.com/sure-analysis-research-database/","Sensata Technologies Holding Plc")</f>
        <v>0</v>
      </c>
      <c r="C2646" t="s">
        <v>3185</v>
      </c>
      <c r="D2646">
        <v>31.73</v>
      </c>
      <c r="E2646">
        <v>0.014438854761326</v>
      </c>
      <c r="F2646" t="s">
        <v>3182</v>
      </c>
      <c r="G2646" t="s">
        <v>3182</v>
      </c>
      <c r="H2646">
        <v>0.458144861576896</v>
      </c>
      <c r="I2646">
        <v>4836.364021</v>
      </c>
      <c r="J2646">
        <v>12.4350180911267</v>
      </c>
      <c r="K2646">
        <v>0.1810849255244648</v>
      </c>
      <c r="L2646">
        <v>1.24892084370635</v>
      </c>
      <c r="M2646">
        <v>53.91</v>
      </c>
      <c r="N2646">
        <v>30.81</v>
      </c>
    </row>
    <row r="2647" spans="1:14">
      <c r="A2647" s="1" t="s">
        <v>2659</v>
      </c>
      <c r="B2647">
        <f>HYPERLINK("https://www.suredividend.com/sure-analysis-research-database/","Staar Surgical Co.")</f>
        <v>0</v>
      </c>
      <c r="C2647" t="s">
        <v>3180</v>
      </c>
      <c r="D2647">
        <v>36.01</v>
      </c>
      <c r="E2647">
        <v>0</v>
      </c>
      <c r="F2647" t="s">
        <v>3182</v>
      </c>
      <c r="G2647" t="s">
        <v>3182</v>
      </c>
      <c r="H2647">
        <v>0</v>
      </c>
      <c r="I2647">
        <v>1746.481111</v>
      </c>
      <c r="J2647">
        <v>70.17080280123749</v>
      </c>
      <c r="K2647">
        <v>0</v>
      </c>
      <c r="L2647">
        <v>1.663661589765507</v>
      </c>
      <c r="M2647">
        <v>81.81</v>
      </c>
      <c r="N2647">
        <v>34.31</v>
      </c>
    </row>
    <row r="2648" spans="1:14">
      <c r="A2648" s="1" t="s">
        <v>2660</v>
      </c>
      <c r="B2648">
        <f>HYPERLINK("https://www.suredividend.com/sure-analysis-STAG/","STAG Industrial Inc")</f>
        <v>0</v>
      </c>
      <c r="C2648" t="s">
        <v>3187</v>
      </c>
      <c r="D2648">
        <v>35.19</v>
      </c>
      <c r="E2648">
        <v>0.04177323103154305</v>
      </c>
      <c r="F2648">
        <v>0</v>
      </c>
      <c r="G2648">
        <v>0.001365576621405795</v>
      </c>
      <c r="H2648">
        <v>1.440013574069655</v>
      </c>
      <c r="I2648">
        <v>6389.480041</v>
      </c>
      <c r="J2648">
        <v>35.36155869931927</v>
      </c>
      <c r="K2648">
        <v>1.440013574069655</v>
      </c>
      <c r="L2648">
        <v>1.141055349839466</v>
      </c>
      <c r="M2648">
        <v>38.29</v>
      </c>
      <c r="N2648">
        <v>29.7</v>
      </c>
    </row>
    <row r="2649" spans="1:14">
      <c r="A2649" s="1" t="s">
        <v>2661</v>
      </c>
      <c r="B2649">
        <f>HYPERLINK("https://www.suredividend.com/sure-analysis-research-database/","iStar Inc")</f>
        <v>0</v>
      </c>
      <c r="C2649" t="s">
        <v>3187</v>
      </c>
      <c r="D2649">
        <v>7.63</v>
      </c>
      <c r="E2649">
        <v>0.025486899682131</v>
      </c>
      <c r="F2649" t="s">
        <v>3182</v>
      </c>
      <c r="G2649" t="s">
        <v>3182</v>
      </c>
      <c r="H2649">
        <v>0.194465044574662</v>
      </c>
      <c r="I2649">
        <v>662.558909</v>
      </c>
      <c r="J2649">
        <v>1.665591336427077</v>
      </c>
      <c r="K2649">
        <v>0.03944524230723367</v>
      </c>
      <c r="L2649">
        <v>1.500826927155516</v>
      </c>
      <c r="M2649">
        <v>18.41</v>
      </c>
      <c r="N2649">
        <v>6.46</v>
      </c>
    </row>
    <row r="2650" spans="1:14">
      <c r="A2650" s="1" t="s">
        <v>2662</v>
      </c>
      <c r="B2650">
        <f>HYPERLINK("https://www.suredividend.com/sure-analysis-research-database/","Extended Stay America Inc")</f>
        <v>0</v>
      </c>
      <c r="C2650" t="s">
        <v>3186</v>
      </c>
      <c r="D2650">
        <v>20.46</v>
      </c>
      <c r="E2650">
        <v>0</v>
      </c>
      <c r="F2650" t="s">
        <v>3182</v>
      </c>
      <c r="G2650" t="s">
        <v>3182</v>
      </c>
      <c r="H2650">
        <v>0.110000003129243</v>
      </c>
      <c r="I2650">
        <v>0</v>
      </c>
      <c r="J2650">
        <v>0</v>
      </c>
      <c r="K2650">
        <v>0.9499136712369862</v>
      </c>
    </row>
    <row r="2651" spans="1:14">
      <c r="A2651" s="1" t="s">
        <v>2663</v>
      </c>
      <c r="B2651">
        <f>HYPERLINK("https://www.suredividend.com/sure-analysis-research-database/","S &amp; T Bancorp, Inc.")</f>
        <v>0</v>
      </c>
      <c r="C2651" t="s">
        <v>3184</v>
      </c>
      <c r="D2651">
        <v>27.31</v>
      </c>
      <c r="E2651">
        <v>0.034632397321386</v>
      </c>
      <c r="F2651" t="s">
        <v>3182</v>
      </c>
      <c r="G2651" t="s">
        <v>3182</v>
      </c>
      <c r="H2651">
        <v>0.9458107708470751</v>
      </c>
      <c r="I2651">
        <v>1044.386781</v>
      </c>
      <c r="J2651">
        <v>6.893232617072253</v>
      </c>
      <c r="K2651">
        <v>0.2425155822684808</v>
      </c>
      <c r="L2651">
        <v>0.9477544795048841</v>
      </c>
      <c r="M2651">
        <v>37.12</v>
      </c>
      <c r="N2651">
        <v>24.08</v>
      </c>
    </row>
    <row r="2652" spans="1:14">
      <c r="A2652" s="1" t="s">
        <v>2664</v>
      </c>
      <c r="B2652">
        <f>HYPERLINK("https://www.suredividend.com/sure-analysis-research-database/","Stewart Information Services Corp.")</f>
        <v>0</v>
      </c>
      <c r="C2652" t="s">
        <v>3184</v>
      </c>
      <c r="D2652">
        <v>45.44</v>
      </c>
      <c r="E2652">
        <v>0.039533432250009</v>
      </c>
      <c r="F2652">
        <v>0.05555555555555558</v>
      </c>
      <c r="G2652">
        <v>0.09626227935295417</v>
      </c>
      <c r="H2652">
        <v>1.796399161440451</v>
      </c>
      <c r="I2652">
        <v>1242.620552</v>
      </c>
      <c r="J2652">
        <v>24.66838489508268</v>
      </c>
      <c r="K2652">
        <v>0.9763038920872018</v>
      </c>
      <c r="L2652">
        <v>0.9626914801092521</v>
      </c>
      <c r="M2652">
        <v>50.05</v>
      </c>
      <c r="N2652">
        <v>34.44</v>
      </c>
    </row>
    <row r="2653" spans="1:14">
      <c r="A2653" s="1" t="s">
        <v>2665</v>
      </c>
      <c r="B2653">
        <f>HYPERLINK("https://www.suredividend.com/sure-analysis-research-database/","Steel Connect Inc")</f>
        <v>0</v>
      </c>
      <c r="C2653" t="s">
        <v>3183</v>
      </c>
      <c r="D2653">
        <v>9.98</v>
      </c>
      <c r="E2653">
        <v>0</v>
      </c>
      <c r="F2653" t="s">
        <v>3182</v>
      </c>
      <c r="G2653" t="s">
        <v>3182</v>
      </c>
      <c r="H2653">
        <v>0</v>
      </c>
      <c r="I2653">
        <v>62.37992</v>
      </c>
      <c r="J2653">
        <v>9.377618782321106</v>
      </c>
      <c r="K2653">
        <v>0</v>
      </c>
      <c r="L2653">
        <v>0.365930076945147</v>
      </c>
      <c r="M2653">
        <v>18742500</v>
      </c>
      <c r="N2653">
        <v>7.51</v>
      </c>
    </row>
    <row r="2654" spans="1:14">
      <c r="A2654" s="1" t="s">
        <v>2666</v>
      </c>
      <c r="B2654">
        <f>HYPERLINK("https://www.suredividend.com/sure-analysis-STE/","Steris Plc")</f>
        <v>0</v>
      </c>
      <c r="C2654" t="s">
        <v>3180</v>
      </c>
      <c r="D2654">
        <v>212.85</v>
      </c>
      <c r="E2654">
        <v>0.009772140004698145</v>
      </c>
      <c r="F2654">
        <v>0.1063829787234043</v>
      </c>
      <c r="G2654">
        <v>0.08869163325077611</v>
      </c>
      <c r="H2654">
        <v>1.92351687627356</v>
      </c>
      <c r="I2654">
        <v>21025.622267</v>
      </c>
      <c r="J2654">
        <v>176.2091003092472</v>
      </c>
      <c r="K2654">
        <v>1.616400736364336</v>
      </c>
      <c r="L2654">
        <v>0.9489520818789531</v>
      </c>
      <c r="M2654">
        <v>253.43</v>
      </c>
      <c r="N2654">
        <v>158.57</v>
      </c>
    </row>
    <row r="2655" spans="1:14">
      <c r="A2655" s="1" t="s">
        <v>2667</v>
      </c>
      <c r="B2655">
        <f>HYPERLINK("https://www.suredividend.com/sure-analysis-research-database/","State Auto Financial Corp.")</f>
        <v>0</v>
      </c>
      <c r="C2655" t="s">
        <v>3184</v>
      </c>
      <c r="D2655">
        <v>52.01</v>
      </c>
      <c r="E2655">
        <v>0</v>
      </c>
      <c r="F2655" t="s">
        <v>3182</v>
      </c>
      <c r="G2655" t="s">
        <v>3182</v>
      </c>
      <c r="H2655">
        <v>0.400000005960464</v>
      </c>
      <c r="I2655">
        <v>0</v>
      </c>
      <c r="J2655">
        <v>0</v>
      </c>
      <c r="K2655">
        <v>0.25000000372529</v>
      </c>
    </row>
    <row r="2656" spans="1:14">
      <c r="A2656" s="1" t="s">
        <v>2668</v>
      </c>
      <c r="B2656">
        <f>HYPERLINK("https://www.suredividend.com/sure-analysis-research-database/","Neuronetics Inc")</f>
        <v>0</v>
      </c>
      <c r="C2656" t="s">
        <v>3180</v>
      </c>
      <c r="D2656">
        <v>1.16</v>
      </c>
      <c r="E2656">
        <v>0</v>
      </c>
      <c r="F2656" t="s">
        <v>3182</v>
      </c>
      <c r="G2656" t="s">
        <v>3182</v>
      </c>
      <c r="H2656">
        <v>0</v>
      </c>
      <c r="I2656">
        <v>33.49313</v>
      </c>
      <c r="J2656" t="s">
        <v>3182</v>
      </c>
      <c r="K2656">
        <v>-0</v>
      </c>
      <c r="L2656">
        <v>0.9715220946185301</v>
      </c>
      <c r="M2656">
        <v>6.95</v>
      </c>
      <c r="N2656">
        <v>1.03</v>
      </c>
    </row>
    <row r="2657" spans="1:14">
      <c r="A2657" s="1" t="s">
        <v>2669</v>
      </c>
      <c r="B2657">
        <f>HYPERLINK("https://www.suredividend.com/sure-analysis-research-database/","ONE Group Hospitality Inc")</f>
        <v>0</v>
      </c>
      <c r="C2657" t="s">
        <v>3186</v>
      </c>
      <c r="D2657">
        <v>4.43</v>
      </c>
      <c r="E2657">
        <v>0</v>
      </c>
      <c r="F2657" t="s">
        <v>3182</v>
      </c>
      <c r="G2657" t="s">
        <v>3182</v>
      </c>
      <c r="H2657">
        <v>0</v>
      </c>
      <c r="I2657">
        <v>140.086497</v>
      </c>
      <c r="J2657">
        <v>0</v>
      </c>
      <c r="K2657" t="s">
        <v>3182</v>
      </c>
      <c r="L2657">
        <v>1.714284893620383</v>
      </c>
      <c r="M2657">
        <v>9.4</v>
      </c>
      <c r="N2657">
        <v>4.18</v>
      </c>
    </row>
    <row r="2658" spans="1:14">
      <c r="A2658" s="1" t="s">
        <v>2670</v>
      </c>
      <c r="B2658">
        <f>HYPERLINK("https://www.suredividend.com/sure-analysis-research-database/","Sterling Bancorp.")</f>
        <v>0</v>
      </c>
      <c r="C2658" t="s">
        <v>3184</v>
      </c>
      <c r="D2658">
        <v>26.29</v>
      </c>
      <c r="E2658">
        <v>0.010607738178643</v>
      </c>
      <c r="F2658" t="s">
        <v>3182</v>
      </c>
      <c r="G2658" t="s">
        <v>3182</v>
      </c>
      <c r="H2658">
        <v>0.278877436716538</v>
      </c>
      <c r="I2658">
        <v>5066.103164</v>
      </c>
      <c r="J2658">
        <v>14.00485754765176</v>
      </c>
      <c r="K2658">
        <v>0.1483390620832649</v>
      </c>
      <c r="L2658">
        <v>1.129129872056107</v>
      </c>
      <c r="M2658">
        <v>29.95</v>
      </c>
      <c r="N2658">
        <v>18.69</v>
      </c>
    </row>
    <row r="2659" spans="1:14">
      <c r="A2659" s="1" t="s">
        <v>2671</v>
      </c>
      <c r="B2659">
        <f>HYPERLINK("https://www.suredividend.com/sure-analysis-STLD/","Steel Dynamics Inc.")</f>
        <v>0</v>
      </c>
      <c r="C2659" t="s">
        <v>3181</v>
      </c>
      <c r="D2659">
        <v>111.54</v>
      </c>
      <c r="E2659">
        <v>0.01524116908732293</v>
      </c>
      <c r="F2659">
        <v>0.2499999999999998</v>
      </c>
      <c r="G2659">
        <v>0.1210772451959248</v>
      </c>
      <c r="H2659">
        <v>1.602913000914451</v>
      </c>
      <c r="I2659">
        <v>18475.974926</v>
      </c>
      <c r="J2659">
        <v>6.161521362252993</v>
      </c>
      <c r="K2659">
        <v>0.09340984853813816</v>
      </c>
      <c r="L2659">
        <v>1.228964174455513</v>
      </c>
      <c r="M2659">
        <v>134.32</v>
      </c>
      <c r="N2659">
        <v>89.47</v>
      </c>
    </row>
    <row r="2660" spans="1:14">
      <c r="A2660" s="1" t="s">
        <v>2672</v>
      </c>
      <c r="B2660">
        <f>HYPERLINK("https://www.suredividend.com/sure-analysis-research-database/","Stamps.com Inc.")</f>
        <v>0</v>
      </c>
      <c r="C2660" t="s">
        <v>3185</v>
      </c>
      <c r="D2660">
        <v>329.61</v>
      </c>
      <c r="E2660">
        <v>0</v>
      </c>
      <c r="F2660" t="s">
        <v>3182</v>
      </c>
      <c r="G2660" t="s">
        <v>3182</v>
      </c>
      <c r="H2660">
        <v>0</v>
      </c>
      <c r="I2660">
        <v>0</v>
      </c>
      <c r="J2660">
        <v>0</v>
      </c>
      <c r="K2660">
        <v>0</v>
      </c>
    </row>
    <row r="2661" spans="1:14">
      <c r="A2661" s="1" t="s">
        <v>2673</v>
      </c>
      <c r="B2661">
        <f>HYPERLINK("https://www.suredividend.com/sure-analysis-research-database/","Standard AVB Financial Corp")</f>
        <v>0</v>
      </c>
      <c r="C2661" t="s">
        <v>3184</v>
      </c>
      <c r="D2661">
        <v>33</v>
      </c>
      <c r="E2661">
        <v>0</v>
      </c>
      <c r="F2661" t="s">
        <v>3182</v>
      </c>
      <c r="G2661" t="s">
        <v>3182</v>
      </c>
      <c r="H2661">
        <v>0.8840000033378601</v>
      </c>
      <c r="I2661">
        <v>0</v>
      </c>
      <c r="J2661">
        <v>0</v>
      </c>
      <c r="K2661" t="s">
        <v>3182</v>
      </c>
    </row>
    <row r="2662" spans="1:14">
      <c r="A2662" s="1" t="s">
        <v>2674</v>
      </c>
      <c r="B2662">
        <f>HYPERLINK("https://www.suredividend.com/sure-analysis-research-database/","Store Capital Corp")</f>
        <v>0</v>
      </c>
      <c r="C2662" t="s">
        <v>3187</v>
      </c>
      <c r="D2662">
        <v>32.21</v>
      </c>
      <c r="E2662">
        <v>0.036159915256518</v>
      </c>
      <c r="F2662" t="s">
        <v>3182</v>
      </c>
      <c r="G2662" t="s">
        <v>3182</v>
      </c>
      <c r="H2662">
        <v>1.164710870412454</v>
      </c>
      <c r="I2662">
        <v>9105.309520999999</v>
      </c>
      <c r="J2662">
        <v>28.39145360975473</v>
      </c>
      <c r="K2662">
        <v>1.00406109518315</v>
      </c>
      <c r="L2662">
        <v>0.4776788525423991</v>
      </c>
      <c r="M2662">
        <v>32.25</v>
      </c>
      <c r="N2662">
        <v>23.82</v>
      </c>
    </row>
    <row r="2663" spans="1:14">
      <c r="A2663" s="1" t="s">
        <v>2675</v>
      </c>
      <c r="B2663">
        <f>HYPERLINK("https://www.suredividend.com/sure-analysis-research-database/","Strategic Education Inc")</f>
        <v>0</v>
      </c>
      <c r="C2663" t="s">
        <v>3188</v>
      </c>
      <c r="D2663">
        <v>86.12</v>
      </c>
      <c r="E2663">
        <v>0.027294002029801</v>
      </c>
      <c r="F2663">
        <v>0</v>
      </c>
      <c r="G2663">
        <v>0.03713728933664817</v>
      </c>
      <c r="H2663">
        <v>2.350559454806534</v>
      </c>
      <c r="I2663">
        <v>2106.274991</v>
      </c>
      <c r="J2663">
        <v>57.51078503604194</v>
      </c>
      <c r="K2663">
        <v>1.526337308315931</v>
      </c>
      <c r="L2663">
        <v>0.456396474571941</v>
      </c>
      <c r="M2663">
        <v>94.58</v>
      </c>
      <c r="N2663">
        <v>63.54</v>
      </c>
    </row>
    <row r="2664" spans="1:14">
      <c r="A2664" s="1" t="s">
        <v>2676</v>
      </c>
      <c r="B2664">
        <f>HYPERLINK("https://www.suredividend.com/sure-analysis-research-database/","Sterling Infrastructure Inc")</f>
        <v>0</v>
      </c>
      <c r="C2664" t="s">
        <v>3183</v>
      </c>
      <c r="D2664">
        <v>75.48999999999999</v>
      </c>
      <c r="E2664">
        <v>0</v>
      </c>
      <c r="F2664" t="s">
        <v>3182</v>
      </c>
      <c r="G2664" t="s">
        <v>3182</v>
      </c>
      <c r="H2664">
        <v>0</v>
      </c>
      <c r="I2664">
        <v>2326.456104</v>
      </c>
      <c r="J2664">
        <v>19.32641704229213</v>
      </c>
      <c r="K2664">
        <v>0</v>
      </c>
      <c r="L2664">
        <v>0.9356063274295031</v>
      </c>
      <c r="M2664">
        <v>84</v>
      </c>
      <c r="N2664">
        <v>30.19</v>
      </c>
    </row>
    <row r="2665" spans="1:14">
      <c r="A2665" s="1" t="s">
        <v>2677</v>
      </c>
      <c r="B2665">
        <f>HYPERLINK("https://www.suredividend.com/sure-analysis-research-database/","Streamline Health Solutions, Inc")</f>
        <v>0</v>
      </c>
      <c r="C2665" t="s">
        <v>3180</v>
      </c>
      <c r="D2665">
        <v>0.4121</v>
      </c>
      <c r="E2665">
        <v>0</v>
      </c>
      <c r="F2665" t="s">
        <v>3182</v>
      </c>
      <c r="G2665" t="s">
        <v>3182</v>
      </c>
      <c r="H2665">
        <v>0</v>
      </c>
      <c r="I2665">
        <v>24.270659</v>
      </c>
      <c r="J2665">
        <v>0</v>
      </c>
      <c r="K2665" t="s">
        <v>3182</v>
      </c>
      <c r="L2665">
        <v>0.09905305992954201</v>
      </c>
      <c r="M2665">
        <v>2.35</v>
      </c>
      <c r="N2665">
        <v>0.213</v>
      </c>
    </row>
    <row r="2666" spans="1:14">
      <c r="A2666" s="1" t="s">
        <v>2678</v>
      </c>
      <c r="B2666">
        <f>HYPERLINK("https://www.suredividend.com/sure-analysis-research-database/","Stratus Properties Inc.")</f>
        <v>0</v>
      </c>
      <c r="C2666" t="s">
        <v>3187</v>
      </c>
      <c r="D2666">
        <v>25.84</v>
      </c>
      <c r="E2666">
        <v>0</v>
      </c>
      <c r="F2666" t="s">
        <v>3182</v>
      </c>
      <c r="G2666" t="s">
        <v>3182</v>
      </c>
      <c r="H2666">
        <v>0</v>
      </c>
      <c r="I2666">
        <v>206.648036</v>
      </c>
      <c r="J2666">
        <v>0</v>
      </c>
      <c r="K2666" t="s">
        <v>3182</v>
      </c>
      <c r="L2666">
        <v>0.9042411323674561</v>
      </c>
      <c r="M2666">
        <v>30.08</v>
      </c>
      <c r="N2666">
        <v>18.51</v>
      </c>
    </row>
    <row r="2667" spans="1:14">
      <c r="A2667" s="1" t="s">
        <v>2679</v>
      </c>
      <c r="B2667">
        <f>HYPERLINK("https://www.suredividend.com/sure-analysis-research-database/","Strattec Security Corp.")</f>
        <v>0</v>
      </c>
      <c r="C2667" t="s">
        <v>3186</v>
      </c>
      <c r="D2667">
        <v>22.7</v>
      </c>
      <c r="E2667">
        <v>0</v>
      </c>
      <c r="F2667" t="s">
        <v>3182</v>
      </c>
      <c r="G2667" t="s">
        <v>3182</v>
      </c>
      <c r="H2667">
        <v>0</v>
      </c>
      <c r="I2667">
        <v>92.352952</v>
      </c>
      <c r="J2667" t="s">
        <v>3182</v>
      </c>
      <c r="K2667">
        <v>-0</v>
      </c>
      <c r="M2667">
        <v>31.04</v>
      </c>
      <c r="N2667">
        <v>16.06</v>
      </c>
    </row>
    <row r="2668" spans="1:14">
      <c r="A2668" s="1" t="s">
        <v>2680</v>
      </c>
      <c r="B2668">
        <f>HYPERLINK("https://www.suredividend.com/sure-analysis-STT/","State Street Corp.")</f>
        <v>0</v>
      </c>
      <c r="C2668" t="s">
        <v>3184</v>
      </c>
      <c r="D2668">
        <v>66.68000000000001</v>
      </c>
      <c r="E2668">
        <v>0.04139172165566886</v>
      </c>
      <c r="F2668">
        <v>0.09523809523809534</v>
      </c>
      <c r="G2668">
        <v>0.07981721406627784</v>
      </c>
      <c r="H2668">
        <v>3.157764769643798</v>
      </c>
      <c r="I2668">
        <v>20576.348513</v>
      </c>
      <c r="J2668">
        <v>8.774562265876334</v>
      </c>
      <c r="K2668">
        <v>0.4576470680643185</v>
      </c>
      <c r="L2668">
        <v>1.240778986669304</v>
      </c>
      <c r="M2668">
        <v>92.18000000000001</v>
      </c>
      <c r="N2668">
        <v>62.78</v>
      </c>
    </row>
    <row r="2669" spans="1:14">
      <c r="A2669" s="1" t="s">
        <v>2681</v>
      </c>
      <c r="B2669">
        <f>HYPERLINK("https://www.suredividend.com/sure-analysis-STWD/","Starwood Property Trust Inc")</f>
        <v>0</v>
      </c>
      <c r="C2669" t="s">
        <v>3187</v>
      </c>
      <c r="D2669">
        <v>18.76</v>
      </c>
      <c r="E2669">
        <v>0.1023454157782516</v>
      </c>
      <c r="F2669">
        <v>0</v>
      </c>
      <c r="G2669">
        <v>0</v>
      </c>
      <c r="H2669">
        <v>1.848974001874992</v>
      </c>
      <c r="I2669">
        <v>5867.700422</v>
      </c>
      <c r="J2669">
        <v>10.72843036966339</v>
      </c>
      <c r="K2669">
        <v>1.056556572499995</v>
      </c>
      <c r="L2669">
        <v>1.195924290825517</v>
      </c>
      <c r="M2669">
        <v>20.85</v>
      </c>
      <c r="N2669">
        <v>14.87</v>
      </c>
    </row>
    <row r="2670" spans="1:14">
      <c r="A2670" s="1" t="s">
        <v>2682</v>
      </c>
      <c r="B2670">
        <f>HYPERLINK("https://www.suredividend.com/sure-analysis-STX/","Seagate Technology Holdings Plc")</f>
        <v>0</v>
      </c>
      <c r="C2670" t="s">
        <v>3185</v>
      </c>
      <c r="D2670">
        <v>71.81</v>
      </c>
      <c r="E2670">
        <v>0.03899178387411224</v>
      </c>
      <c r="F2670">
        <v>0</v>
      </c>
      <c r="G2670">
        <v>0.02129568760013512</v>
      </c>
      <c r="H2670">
        <v>2.718348882055922</v>
      </c>
      <c r="I2670">
        <v>14991.0556</v>
      </c>
      <c r="J2670" t="s">
        <v>3182</v>
      </c>
      <c r="K2670" t="s">
        <v>3182</v>
      </c>
      <c r="L2670">
        <v>1.276347286350219</v>
      </c>
      <c r="M2670">
        <v>72.94</v>
      </c>
      <c r="N2670">
        <v>46.34</v>
      </c>
    </row>
    <row r="2671" spans="1:14">
      <c r="A2671" s="1" t="s">
        <v>2683</v>
      </c>
      <c r="B2671">
        <f>HYPERLINK("https://www.suredividend.com/sure-analysis-research-database/","Spirit of Texas Bancshares Inc")</f>
        <v>0</v>
      </c>
      <c r="C2671" t="s">
        <v>3184</v>
      </c>
      <c r="D2671">
        <v>25.55</v>
      </c>
      <c r="E2671">
        <v>0</v>
      </c>
      <c r="F2671" t="s">
        <v>3182</v>
      </c>
      <c r="G2671" t="s">
        <v>3182</v>
      </c>
      <c r="H2671">
        <v>0.449999995529651</v>
      </c>
      <c r="I2671">
        <v>0</v>
      </c>
      <c r="J2671">
        <v>0</v>
      </c>
      <c r="K2671" t="s">
        <v>3182</v>
      </c>
    </row>
    <row r="2672" spans="1:14">
      <c r="A2672" s="1" t="s">
        <v>2684</v>
      </c>
      <c r="B2672">
        <f>HYPERLINK("https://www.suredividend.com/sure-analysis-STZ/","Constellation Brands Inc")</f>
        <v>0</v>
      </c>
      <c r="C2672" t="s">
        <v>3188</v>
      </c>
      <c r="D2672">
        <v>238</v>
      </c>
      <c r="E2672">
        <v>0.01495798319327731</v>
      </c>
      <c r="F2672">
        <v>0.1125</v>
      </c>
      <c r="G2672">
        <v>0.03760404798172767</v>
      </c>
      <c r="H2672">
        <v>3.451573292586988</v>
      </c>
      <c r="I2672">
        <v>43711.718078</v>
      </c>
      <c r="J2672">
        <v>28.82217992746934</v>
      </c>
      <c r="K2672">
        <v>0.4358047086599733</v>
      </c>
      <c r="L2672">
        <v>0.6876900876773531</v>
      </c>
      <c r="M2672">
        <v>271.71</v>
      </c>
      <c r="N2672">
        <v>205.13</v>
      </c>
    </row>
    <row r="2673" spans="1:14">
      <c r="A2673" s="1" t="s">
        <v>2685</v>
      </c>
      <c r="B2673">
        <f>HYPERLINK("https://www.suredividend.com/sure-analysis-research-database/","Sun Communities, Inc.")</f>
        <v>0</v>
      </c>
      <c r="C2673" t="s">
        <v>3187</v>
      </c>
      <c r="D2673">
        <v>116.46</v>
      </c>
      <c r="E2673">
        <v>0.031167302533767</v>
      </c>
      <c r="F2673">
        <v>0.05681818181818188</v>
      </c>
      <c r="G2673">
        <v>0.05546763350025952</v>
      </c>
      <c r="H2673">
        <v>3.629744053082567</v>
      </c>
      <c r="I2673">
        <v>14492.892417</v>
      </c>
      <c r="J2673">
        <v>64.58508207433155</v>
      </c>
      <c r="K2673">
        <v>2.050702854848908</v>
      </c>
      <c r="L2673">
        <v>0.9467605506709661</v>
      </c>
      <c r="M2673">
        <v>160.28</v>
      </c>
      <c r="N2673">
        <v>102.74</v>
      </c>
    </row>
    <row r="2674" spans="1:14">
      <c r="A2674" s="1" t="s">
        <v>2686</v>
      </c>
      <c r="B2674">
        <f>HYPERLINK("https://www.suredividend.com/sure-analysis-research-database/","Summit Materials Inc")</f>
        <v>0</v>
      </c>
      <c r="C2674" t="s">
        <v>3181</v>
      </c>
      <c r="D2674">
        <v>33.7</v>
      </c>
      <c r="E2674">
        <v>0</v>
      </c>
      <c r="F2674" t="s">
        <v>3182</v>
      </c>
      <c r="G2674" t="s">
        <v>3182</v>
      </c>
      <c r="H2674">
        <v>0</v>
      </c>
      <c r="I2674">
        <v>4007.921184</v>
      </c>
      <c r="J2674">
        <v>23.6934988466336</v>
      </c>
      <c r="K2674">
        <v>0</v>
      </c>
      <c r="L2674">
        <v>1.29484521139312</v>
      </c>
      <c r="M2674">
        <v>39.56</v>
      </c>
      <c r="N2674">
        <v>25.43</v>
      </c>
    </row>
    <row r="2675" spans="1:14">
      <c r="A2675" s="1" t="s">
        <v>2687</v>
      </c>
      <c r="B2675">
        <f>HYPERLINK("https://www.suredividend.com/sure-analysis-research-database/","Summer Infant Inc")</f>
        <v>0</v>
      </c>
      <c r="C2675" t="s">
        <v>3188</v>
      </c>
      <c r="D2675">
        <v>11.99</v>
      </c>
      <c r="E2675">
        <v>0</v>
      </c>
      <c r="F2675" t="s">
        <v>3182</v>
      </c>
      <c r="G2675" t="s">
        <v>3182</v>
      </c>
      <c r="H2675">
        <v>0</v>
      </c>
      <c r="I2675">
        <v>0</v>
      </c>
      <c r="J2675">
        <v>0</v>
      </c>
      <c r="K2675">
        <v>-0</v>
      </c>
    </row>
    <row r="2676" spans="1:14">
      <c r="A2676" s="1" t="s">
        <v>2688</v>
      </c>
      <c r="B2676">
        <f>HYPERLINK("https://www.suredividend.com/sure-analysis-research-database/","Sunworks Inc")</f>
        <v>0</v>
      </c>
      <c r="C2676" t="s">
        <v>3185</v>
      </c>
      <c r="D2676">
        <v>0.367</v>
      </c>
      <c r="E2676">
        <v>0</v>
      </c>
      <c r="F2676" t="s">
        <v>3182</v>
      </c>
      <c r="G2676" t="s">
        <v>3182</v>
      </c>
      <c r="H2676">
        <v>0</v>
      </c>
      <c r="I2676">
        <v>16.256893</v>
      </c>
      <c r="J2676">
        <v>0</v>
      </c>
      <c r="K2676" t="s">
        <v>3182</v>
      </c>
      <c r="L2676">
        <v>2.61049498681598</v>
      </c>
      <c r="M2676">
        <v>2.83</v>
      </c>
      <c r="N2676">
        <v>0.3169</v>
      </c>
    </row>
    <row r="2677" spans="1:14">
      <c r="A2677" s="1" t="s">
        <v>2689</v>
      </c>
      <c r="B2677">
        <f>HYPERLINK("https://www.suredividend.com/sure-analysis-research-database/","Superior Industries International, Inc.")</f>
        <v>0</v>
      </c>
      <c r="C2677" t="s">
        <v>3186</v>
      </c>
      <c r="D2677">
        <v>2.77</v>
      </c>
      <c r="E2677">
        <v>0</v>
      </c>
      <c r="F2677" t="s">
        <v>3182</v>
      </c>
      <c r="G2677" t="s">
        <v>3182</v>
      </c>
      <c r="H2677">
        <v>0</v>
      </c>
      <c r="I2677">
        <v>77.813289</v>
      </c>
      <c r="J2677" t="s">
        <v>3182</v>
      </c>
      <c r="K2677">
        <v>-0</v>
      </c>
      <c r="L2677">
        <v>0.9650042713432181</v>
      </c>
      <c r="M2677">
        <v>7.38</v>
      </c>
      <c r="N2677">
        <v>2.49</v>
      </c>
    </row>
    <row r="2678" spans="1:14">
      <c r="A2678" s="1" t="s">
        <v>2690</v>
      </c>
      <c r="B2678">
        <f>HYPERLINK("https://www.suredividend.com/sure-analysis-research-database/","Supernus Pharmaceuticals Inc")</f>
        <v>0</v>
      </c>
      <c r="C2678" t="s">
        <v>3180</v>
      </c>
      <c r="D2678">
        <v>24.07</v>
      </c>
      <c r="E2678">
        <v>0</v>
      </c>
      <c r="F2678" t="s">
        <v>3182</v>
      </c>
      <c r="G2678" t="s">
        <v>3182</v>
      </c>
      <c r="H2678">
        <v>0</v>
      </c>
      <c r="I2678">
        <v>1314.087232</v>
      </c>
      <c r="J2678">
        <v>30.31552891941772</v>
      </c>
      <c r="K2678">
        <v>0</v>
      </c>
      <c r="L2678">
        <v>0.6640304274974611</v>
      </c>
      <c r="M2678">
        <v>42.09</v>
      </c>
      <c r="N2678">
        <v>21.99</v>
      </c>
    </row>
    <row r="2679" spans="1:14">
      <c r="A2679" s="1" t="s">
        <v>2691</v>
      </c>
      <c r="B2679">
        <f>HYPERLINK("https://www.suredividend.com/sure-analysis-research-database/","Severn Bancorp Inc")</f>
        <v>0</v>
      </c>
      <c r="C2679" t="s">
        <v>3184</v>
      </c>
      <c r="D2679">
        <v>13.63</v>
      </c>
      <c r="E2679">
        <v>0</v>
      </c>
      <c r="F2679" t="s">
        <v>3182</v>
      </c>
      <c r="G2679" t="s">
        <v>3182</v>
      </c>
      <c r="H2679">
        <v>0.190000001341104</v>
      </c>
      <c r="I2679">
        <v>0</v>
      </c>
      <c r="J2679">
        <v>0</v>
      </c>
      <c r="K2679" t="s">
        <v>3182</v>
      </c>
    </row>
    <row r="2680" spans="1:14">
      <c r="A2680" s="1" t="s">
        <v>2692</v>
      </c>
      <c r="B2680">
        <f>HYPERLINK("https://www.suredividend.com/sure-analysis-research-database/","Savara Inc")</f>
        <v>0</v>
      </c>
      <c r="C2680" t="s">
        <v>3180</v>
      </c>
      <c r="D2680">
        <v>3.6</v>
      </c>
      <c r="E2680">
        <v>0</v>
      </c>
      <c r="F2680" t="s">
        <v>3182</v>
      </c>
      <c r="G2680" t="s">
        <v>3182</v>
      </c>
      <c r="H2680">
        <v>0</v>
      </c>
      <c r="I2680">
        <v>486.624388</v>
      </c>
      <c r="J2680">
        <v>0</v>
      </c>
      <c r="K2680" t="s">
        <v>3182</v>
      </c>
      <c r="L2680">
        <v>0.7602220633911071</v>
      </c>
      <c r="M2680">
        <v>4.21</v>
      </c>
      <c r="N2680">
        <v>1.08</v>
      </c>
    </row>
    <row r="2681" spans="1:14">
      <c r="A2681" s="1" t="s">
        <v>2693</v>
      </c>
      <c r="B2681">
        <f>HYPERLINK("https://www.suredividend.com/sure-analysis-research-database/","Servotronics, Inc.")</f>
        <v>0</v>
      </c>
      <c r="C2681" t="s">
        <v>3183</v>
      </c>
      <c r="D2681">
        <v>9.295199999999999</v>
      </c>
      <c r="E2681">
        <v>0</v>
      </c>
      <c r="F2681" t="s">
        <v>3182</v>
      </c>
      <c r="G2681" t="s">
        <v>3182</v>
      </c>
      <c r="H2681">
        <v>0</v>
      </c>
      <c r="I2681">
        <v>23.20278</v>
      </c>
      <c r="J2681">
        <v>0</v>
      </c>
      <c r="K2681" t="s">
        <v>3182</v>
      </c>
      <c r="M2681">
        <v>14.32</v>
      </c>
      <c r="N2681">
        <v>9.039999999999999</v>
      </c>
    </row>
    <row r="2682" spans="1:14">
      <c r="A2682" s="1" t="s">
        <v>2694</v>
      </c>
      <c r="B2682">
        <f>HYPERLINK("https://www.suredividend.com/sure-analysis-research-database/","ShockWave Medical Inc")</f>
        <v>0</v>
      </c>
      <c r="C2682" t="s">
        <v>3180</v>
      </c>
      <c r="D2682">
        <v>214.95</v>
      </c>
      <c r="E2682">
        <v>0</v>
      </c>
      <c r="F2682" t="s">
        <v>3182</v>
      </c>
      <c r="G2682" t="s">
        <v>3182</v>
      </c>
      <c r="H2682">
        <v>0</v>
      </c>
      <c r="I2682">
        <v>7899.497835</v>
      </c>
      <c r="J2682">
        <v>32.38813221409506</v>
      </c>
      <c r="K2682">
        <v>0</v>
      </c>
      <c r="L2682">
        <v>1.201095954846044</v>
      </c>
      <c r="M2682">
        <v>315.95</v>
      </c>
      <c r="N2682">
        <v>172.5</v>
      </c>
    </row>
    <row r="2683" spans="1:14">
      <c r="A2683" s="1" t="s">
        <v>2695</v>
      </c>
      <c r="B2683">
        <f>HYPERLINK("https://www.suredividend.com/sure-analysis-research-database/","Switch Inc")</f>
        <v>0</v>
      </c>
      <c r="C2683" t="s">
        <v>3185</v>
      </c>
      <c r="D2683">
        <v>34.25</v>
      </c>
      <c r="E2683">
        <v>0.006117164365275001</v>
      </c>
      <c r="F2683" t="s">
        <v>3182</v>
      </c>
      <c r="G2683" t="s">
        <v>3182</v>
      </c>
      <c r="H2683">
        <v>0.209512879510669</v>
      </c>
      <c r="I2683">
        <v>5409.893572</v>
      </c>
      <c r="J2683">
        <v>14.26847836542266</v>
      </c>
      <c r="K2683">
        <v>0.08314003155185279</v>
      </c>
      <c r="L2683">
        <v>0.384343505241152</v>
      </c>
      <c r="M2683">
        <v>34.26</v>
      </c>
      <c r="N2683">
        <v>22.88</v>
      </c>
    </row>
    <row r="2684" spans="1:14">
      <c r="A2684" s="1" t="s">
        <v>2696</v>
      </c>
      <c r="B2684">
        <f>HYPERLINK("https://www.suredividend.com/sure-analysis-SWK/","Stanley Black &amp; Decker Inc")</f>
        <v>0</v>
      </c>
      <c r="C2684" t="s">
        <v>3183</v>
      </c>
      <c r="D2684">
        <v>86.52</v>
      </c>
      <c r="E2684">
        <v>0.03744798890429959</v>
      </c>
      <c r="F2684">
        <v>0.01249999999999996</v>
      </c>
      <c r="G2684">
        <v>0.04180926810264429</v>
      </c>
      <c r="H2684">
        <v>3.165539457133706</v>
      </c>
      <c r="I2684">
        <v>13264.503366</v>
      </c>
      <c r="J2684" t="s">
        <v>3182</v>
      </c>
      <c r="K2684" t="s">
        <v>3182</v>
      </c>
      <c r="L2684">
        <v>1.589863857606925</v>
      </c>
      <c r="M2684">
        <v>103.32</v>
      </c>
      <c r="N2684">
        <v>69.27</v>
      </c>
    </row>
    <row r="2685" spans="1:14">
      <c r="A2685" s="1" t="s">
        <v>2697</v>
      </c>
      <c r="B2685">
        <f>HYPERLINK("https://www.suredividend.com/sure-analysis-SWKS/","Skyworks Solutions, Inc.")</f>
        <v>0</v>
      </c>
      <c r="C2685" t="s">
        <v>3185</v>
      </c>
      <c r="D2685">
        <v>89.5</v>
      </c>
      <c r="E2685">
        <v>0.02837988826815643</v>
      </c>
      <c r="F2685">
        <v>0.09677419354838723</v>
      </c>
      <c r="G2685">
        <v>0.1234275325950922</v>
      </c>
      <c r="H2685">
        <v>2.497602406151888</v>
      </c>
      <c r="I2685">
        <v>14265.635373</v>
      </c>
      <c r="J2685">
        <v>13.71431972024611</v>
      </c>
      <c r="K2685">
        <v>0.3848385833824173</v>
      </c>
      <c r="L2685">
        <v>1.556953878127719</v>
      </c>
      <c r="M2685">
        <v>119.92</v>
      </c>
      <c r="N2685">
        <v>82.34</v>
      </c>
    </row>
    <row r="2686" spans="1:14">
      <c r="A2686" s="1" t="s">
        <v>2698</v>
      </c>
      <c r="B2686">
        <f>HYPERLINK("https://www.suredividend.com/sure-analysis-research-database/","Southwestern Energy Company")</f>
        <v>0</v>
      </c>
      <c r="C2686" t="s">
        <v>3189</v>
      </c>
      <c r="D2686">
        <v>7.36</v>
      </c>
      <c r="E2686">
        <v>0</v>
      </c>
      <c r="F2686" t="s">
        <v>3182</v>
      </c>
      <c r="G2686" t="s">
        <v>3182</v>
      </c>
      <c r="H2686">
        <v>0</v>
      </c>
      <c r="I2686">
        <v>8106.768063</v>
      </c>
      <c r="J2686">
        <v>1.468351396978808</v>
      </c>
      <c r="K2686">
        <v>0</v>
      </c>
      <c r="L2686">
        <v>1.297682775265272</v>
      </c>
      <c r="M2686">
        <v>7.53</v>
      </c>
      <c r="N2686">
        <v>4.57</v>
      </c>
    </row>
    <row r="2687" spans="1:14">
      <c r="A2687" s="1" t="s">
        <v>2699</v>
      </c>
      <c r="B2687">
        <f>HYPERLINK("https://www.suredividend.com/sure-analysis-SWX/","Southwest Gas Holdings Inc")</f>
        <v>0</v>
      </c>
      <c r="C2687" t="s">
        <v>3190</v>
      </c>
      <c r="D2687">
        <v>59.5</v>
      </c>
      <c r="E2687">
        <v>0.04168067226890756</v>
      </c>
      <c r="F2687">
        <v>0</v>
      </c>
      <c r="G2687">
        <v>0.03580420358021419</v>
      </c>
      <c r="H2687">
        <v>2.443209982202509</v>
      </c>
      <c r="I2687">
        <v>4252.858117</v>
      </c>
      <c r="J2687" t="s">
        <v>3182</v>
      </c>
      <c r="K2687" t="s">
        <v>3182</v>
      </c>
      <c r="L2687">
        <v>0.75695359796335</v>
      </c>
      <c r="M2687">
        <v>71.23999999999999</v>
      </c>
      <c r="N2687">
        <v>52.69</v>
      </c>
    </row>
    <row r="2688" spans="1:14">
      <c r="A2688" s="1" t="s">
        <v>2700</v>
      </c>
      <c r="B2688">
        <f>HYPERLINK("https://www.suredividend.com/sure-analysis-research-database/","SunCoke Energy Inc")</f>
        <v>0</v>
      </c>
      <c r="C2688" t="s">
        <v>3181</v>
      </c>
      <c r="D2688">
        <v>9.08</v>
      </c>
      <c r="E2688">
        <v>0.03689602007529</v>
      </c>
      <c r="F2688" t="s">
        <v>3182</v>
      </c>
      <c r="G2688" t="s">
        <v>3182</v>
      </c>
      <c r="H2688">
        <v>0.335015862283639</v>
      </c>
      <c r="I2688">
        <v>760.50645</v>
      </c>
      <c r="J2688">
        <v>8.459471082981091</v>
      </c>
      <c r="K2688">
        <v>0.3160527002675839</v>
      </c>
      <c r="L2688">
        <v>0.9290143666428911</v>
      </c>
      <c r="M2688">
        <v>10.37</v>
      </c>
      <c r="N2688">
        <v>6.64</v>
      </c>
    </row>
    <row r="2689" spans="1:14">
      <c r="A2689" s="1" t="s">
        <v>2701</v>
      </c>
      <c r="B2689">
        <f>HYPERLINK("https://www.suredividend.com/sure-analysis-SXI/","Standex International Corp.")</f>
        <v>0</v>
      </c>
      <c r="C2689" t="s">
        <v>3183</v>
      </c>
      <c r="D2689">
        <v>143.04</v>
      </c>
      <c r="E2689">
        <v>0.008389261744966443</v>
      </c>
      <c r="F2689">
        <v>0.07692307692307709</v>
      </c>
      <c r="G2689">
        <v>0.06961037572506878</v>
      </c>
      <c r="H2689">
        <v>1.116698160305255</v>
      </c>
      <c r="I2689">
        <v>1692.185085</v>
      </c>
      <c r="J2689">
        <v>12.17469411994935</v>
      </c>
      <c r="K2689">
        <v>0.09651669492698833</v>
      </c>
      <c r="L2689">
        <v>0.9809491734304501</v>
      </c>
      <c r="M2689">
        <v>168.81</v>
      </c>
      <c r="N2689">
        <v>95.73</v>
      </c>
    </row>
    <row r="2690" spans="1:14">
      <c r="A2690" s="1" t="s">
        <v>2702</v>
      </c>
      <c r="B2690">
        <f>HYPERLINK("https://www.suredividend.com/sure-analysis-SXT/","Sensient Technologies Corp.")</f>
        <v>0</v>
      </c>
      <c r="C2690" t="s">
        <v>3181</v>
      </c>
      <c r="D2690">
        <v>57.32</v>
      </c>
      <c r="E2690">
        <v>0.02861130495464061</v>
      </c>
      <c r="F2690">
        <v>0</v>
      </c>
      <c r="G2690">
        <v>0.02635185407071083</v>
      </c>
      <c r="H2690">
        <v>1.625312190586685</v>
      </c>
      <c r="I2690">
        <v>2421.764497</v>
      </c>
      <c r="J2690">
        <v>18.22890335393254</v>
      </c>
      <c r="K2690">
        <v>0.5176153473206003</v>
      </c>
      <c r="L2690">
        <v>0.8997255522856341</v>
      </c>
      <c r="M2690">
        <v>78.23999999999999</v>
      </c>
      <c r="N2690">
        <v>52.9</v>
      </c>
    </row>
    <row r="2691" spans="1:14">
      <c r="A2691" s="1" t="s">
        <v>2703</v>
      </c>
      <c r="B2691">
        <f>HYPERLINK("https://www.suredividend.com/sure-analysis-SYBT/","Stock Yards Bancorp Inc")</f>
        <v>0</v>
      </c>
      <c r="C2691" t="s">
        <v>3184</v>
      </c>
      <c r="D2691">
        <v>40.59</v>
      </c>
      <c r="E2691">
        <v>0.02956393200295639</v>
      </c>
      <c r="F2691">
        <v>0.03448275862068995</v>
      </c>
      <c r="G2691">
        <v>0.03713728933664817</v>
      </c>
      <c r="H2691">
        <v>1.149996041950328</v>
      </c>
      <c r="I2691">
        <v>1190.20681</v>
      </c>
      <c r="J2691">
        <v>10.35106458281152</v>
      </c>
      <c r="K2691">
        <v>0.2941166347699048</v>
      </c>
      <c r="L2691">
        <v>0.8915305199134431</v>
      </c>
      <c r="M2691">
        <v>73.77</v>
      </c>
      <c r="N2691">
        <v>36.93</v>
      </c>
    </row>
    <row r="2692" spans="1:14">
      <c r="A2692" s="1" t="s">
        <v>2704</v>
      </c>
      <c r="B2692">
        <f>HYPERLINK("https://www.suredividend.com/sure-analysis-research-database/","Synlogic Inc")</f>
        <v>0</v>
      </c>
      <c r="C2692" t="s">
        <v>3180</v>
      </c>
      <c r="D2692">
        <v>1.82</v>
      </c>
      <c r="E2692">
        <v>0</v>
      </c>
      <c r="F2692" t="s">
        <v>3182</v>
      </c>
      <c r="G2692" t="s">
        <v>3182</v>
      </c>
      <c r="H2692">
        <v>0</v>
      </c>
      <c r="I2692">
        <v>124.859835</v>
      </c>
      <c r="J2692">
        <v>0</v>
      </c>
      <c r="K2692" t="s">
        <v>3182</v>
      </c>
      <c r="L2692">
        <v>1.059270400366291</v>
      </c>
      <c r="M2692">
        <v>16.5</v>
      </c>
      <c r="N2692">
        <v>1.61</v>
      </c>
    </row>
    <row r="2693" spans="1:14">
      <c r="A2693" s="1" t="s">
        <v>2705</v>
      </c>
      <c r="B2693">
        <f>HYPERLINK("https://www.suredividend.com/sure-analysis-SYF/","Synchrony Financial")</f>
        <v>0</v>
      </c>
      <c r="C2693" t="s">
        <v>3184</v>
      </c>
      <c r="D2693">
        <v>29.08</v>
      </c>
      <c r="E2693">
        <v>0.0343878954607978</v>
      </c>
      <c r="F2693">
        <v>0.08695652173913038</v>
      </c>
      <c r="G2693">
        <v>0.03548578845590522</v>
      </c>
      <c r="H2693">
        <v>0.9486889350067771</v>
      </c>
      <c r="I2693">
        <v>12033.430789</v>
      </c>
      <c r="J2693">
        <v>5.155711563324765</v>
      </c>
      <c r="K2693">
        <v>0.1756831361123661</v>
      </c>
      <c r="L2693">
        <v>1.361835457530917</v>
      </c>
      <c r="M2693">
        <v>39.68</v>
      </c>
      <c r="N2693">
        <v>26.17</v>
      </c>
    </row>
    <row r="2694" spans="1:14">
      <c r="A2694" s="1" t="s">
        <v>2706</v>
      </c>
      <c r="B2694">
        <f>HYPERLINK("https://www.suredividend.com/sure-analysis-SYK/","Stryker Corp.")</f>
        <v>0</v>
      </c>
      <c r="C2694" t="s">
        <v>3180</v>
      </c>
      <c r="D2694">
        <v>278.23</v>
      </c>
      <c r="E2694">
        <v>0.01078244617762283</v>
      </c>
      <c r="F2694">
        <v>0.07913669064748197</v>
      </c>
      <c r="G2694">
        <v>0.07599829696383686</v>
      </c>
      <c r="H2694">
        <v>2.987927892698204</v>
      </c>
      <c r="I2694">
        <v>105665.710566</v>
      </c>
      <c r="J2694">
        <v>39.00543025698413</v>
      </c>
      <c r="K2694">
        <v>0.4220237136579384</v>
      </c>
      <c r="L2694">
        <v>0.9125581924958641</v>
      </c>
      <c r="M2694">
        <v>306.07</v>
      </c>
      <c r="N2694">
        <v>203.66</v>
      </c>
    </row>
    <row r="2695" spans="1:14">
      <c r="A2695" s="1" t="s">
        <v>2707</v>
      </c>
      <c r="B2695">
        <f>HYPERLINK("https://www.suredividend.com/sure-analysis-research-database/","Sykes Enterprises, Inc.")</f>
        <v>0</v>
      </c>
      <c r="C2695" t="s">
        <v>3185</v>
      </c>
      <c r="D2695">
        <v>54</v>
      </c>
      <c r="E2695">
        <v>0</v>
      </c>
      <c r="F2695" t="s">
        <v>3182</v>
      </c>
      <c r="G2695" t="s">
        <v>3182</v>
      </c>
      <c r="H2695">
        <v>0</v>
      </c>
      <c r="I2695">
        <v>0</v>
      </c>
      <c r="J2695">
        <v>0</v>
      </c>
      <c r="K2695">
        <v>0</v>
      </c>
    </row>
    <row r="2696" spans="1:14">
      <c r="A2696" s="1" t="s">
        <v>2708</v>
      </c>
      <c r="B2696">
        <f>HYPERLINK("https://www.suredividend.com/sure-analysis-research-database/","Synaptics Inc")</f>
        <v>0</v>
      </c>
      <c r="C2696" t="s">
        <v>3185</v>
      </c>
      <c r="D2696">
        <v>86.36</v>
      </c>
      <c r="E2696">
        <v>0</v>
      </c>
      <c r="F2696" t="s">
        <v>3182</v>
      </c>
      <c r="G2696" t="s">
        <v>3182</v>
      </c>
      <c r="H2696">
        <v>0</v>
      </c>
      <c r="I2696">
        <v>3333.496</v>
      </c>
      <c r="J2696">
        <v>45.2920652173913</v>
      </c>
      <c r="K2696">
        <v>0</v>
      </c>
      <c r="L2696">
        <v>2.219858671875323</v>
      </c>
      <c r="M2696">
        <v>142.14</v>
      </c>
      <c r="N2696">
        <v>67.73</v>
      </c>
    </row>
    <row r="2697" spans="1:14">
      <c r="A2697" s="1" t="s">
        <v>2709</v>
      </c>
      <c r="B2697">
        <f>HYPERLINK("https://www.suredividend.com/sure-analysis-research-database/","Synacor Inc")</f>
        <v>0</v>
      </c>
      <c r="C2697" t="s">
        <v>3185</v>
      </c>
      <c r="D2697">
        <v>2.19</v>
      </c>
      <c r="E2697">
        <v>0</v>
      </c>
      <c r="F2697" t="s">
        <v>3182</v>
      </c>
      <c r="G2697" t="s">
        <v>3182</v>
      </c>
      <c r="H2697">
        <v>0</v>
      </c>
      <c r="I2697">
        <v>0</v>
      </c>
      <c r="J2697">
        <v>0</v>
      </c>
      <c r="K2697" t="s">
        <v>3182</v>
      </c>
    </row>
    <row r="2698" spans="1:14">
      <c r="A2698" s="1" t="s">
        <v>2710</v>
      </c>
      <c r="B2698">
        <f>HYPERLINK("https://www.suredividend.com/sure-analysis-research-database/","Syneos Health Inc")</f>
        <v>0</v>
      </c>
      <c r="C2698" t="s">
        <v>3180</v>
      </c>
      <c r="D2698">
        <v>42.98</v>
      </c>
      <c r="E2698">
        <v>0</v>
      </c>
      <c r="F2698" t="s">
        <v>3182</v>
      </c>
      <c r="G2698" t="s">
        <v>3182</v>
      </c>
      <c r="H2698">
        <v>0</v>
      </c>
      <c r="I2698">
        <v>0</v>
      </c>
      <c r="J2698">
        <v>0</v>
      </c>
      <c r="K2698">
        <v>0</v>
      </c>
    </row>
    <row r="2699" spans="1:14">
      <c r="A2699" s="1" t="s">
        <v>2711</v>
      </c>
      <c r="B2699">
        <f>HYPERLINK("https://www.suredividend.com/sure-analysis-research-database/","Synalloy Corp.")</f>
        <v>0</v>
      </c>
      <c r="C2699" t="s">
        <v>3181</v>
      </c>
      <c r="D2699">
        <v>13.28</v>
      </c>
      <c r="E2699">
        <v>0</v>
      </c>
      <c r="F2699" t="s">
        <v>3182</v>
      </c>
      <c r="G2699" t="s">
        <v>3182</v>
      </c>
      <c r="H2699">
        <v>0</v>
      </c>
      <c r="I2699">
        <v>135.987173</v>
      </c>
      <c r="J2699">
        <v>4.623684112746932</v>
      </c>
      <c r="K2699">
        <v>0</v>
      </c>
      <c r="L2699">
        <v>0.654915294259222</v>
      </c>
      <c r="M2699">
        <v>19.2</v>
      </c>
      <c r="N2699">
        <v>10.16</v>
      </c>
    </row>
    <row r="2700" spans="1:14">
      <c r="A2700" s="1" t="s">
        <v>2712</v>
      </c>
      <c r="B2700">
        <f>HYPERLINK("https://www.suredividend.com/sure-analysis-research-database/","Sypris Solutions, Inc.")</f>
        <v>0</v>
      </c>
      <c r="C2700" t="s">
        <v>3186</v>
      </c>
      <c r="D2700">
        <v>1.91</v>
      </c>
      <c r="E2700">
        <v>0</v>
      </c>
      <c r="F2700" t="s">
        <v>3182</v>
      </c>
      <c r="G2700" t="s">
        <v>3182</v>
      </c>
      <c r="H2700">
        <v>0</v>
      </c>
      <c r="I2700">
        <v>42.811905</v>
      </c>
      <c r="J2700" t="s">
        <v>3182</v>
      </c>
      <c r="K2700">
        <v>-0</v>
      </c>
      <c r="L2700">
        <v>0.466234612530517</v>
      </c>
      <c r="M2700">
        <v>2.3</v>
      </c>
      <c r="N2700">
        <v>1.73</v>
      </c>
    </row>
    <row r="2701" spans="1:14">
      <c r="A2701" s="1" t="s">
        <v>2713</v>
      </c>
      <c r="B2701">
        <f>HYPERLINK("https://www.suredividend.com/sure-analysis-research-database/","Syros Pharmaceuticals Inc.")</f>
        <v>0</v>
      </c>
      <c r="C2701" t="s">
        <v>3180</v>
      </c>
      <c r="D2701">
        <v>2.36</v>
      </c>
      <c r="E2701">
        <v>0</v>
      </c>
      <c r="F2701" t="s">
        <v>3182</v>
      </c>
      <c r="G2701" t="s">
        <v>3182</v>
      </c>
      <c r="H2701">
        <v>0</v>
      </c>
      <c r="I2701">
        <v>14.869248</v>
      </c>
      <c r="J2701" t="s">
        <v>3182</v>
      </c>
      <c r="K2701">
        <v>-0</v>
      </c>
      <c r="L2701">
        <v>0.967083380000433</v>
      </c>
      <c r="M2701">
        <v>5.67</v>
      </c>
      <c r="N2701">
        <v>2.09</v>
      </c>
    </row>
    <row r="2702" spans="1:14">
      <c r="A2702" s="1" t="s">
        <v>2714</v>
      </c>
      <c r="B2702">
        <f>HYPERLINK("https://www.suredividend.com/sure-analysis-SYY/","Sysco Corp.")</f>
        <v>0</v>
      </c>
      <c r="C2702" t="s">
        <v>3188</v>
      </c>
      <c r="D2702">
        <v>65.65000000000001</v>
      </c>
      <c r="E2702">
        <v>0.03122619954303122</v>
      </c>
      <c r="F2702">
        <v>0.02040816326530615</v>
      </c>
      <c r="G2702">
        <v>0.0509476404473832</v>
      </c>
      <c r="H2702">
        <v>1.959025226036348</v>
      </c>
      <c r="I2702">
        <v>33102.408802</v>
      </c>
      <c r="J2702">
        <v>18.70061577708681</v>
      </c>
      <c r="K2702">
        <v>0.5645605838721464</v>
      </c>
      <c r="L2702">
        <v>0.5257315845989511</v>
      </c>
      <c r="M2702">
        <v>84.87</v>
      </c>
      <c r="N2702">
        <v>62.24</v>
      </c>
    </row>
    <row r="2703" spans="1:14">
      <c r="A2703" s="1" t="s">
        <v>2715</v>
      </c>
      <c r="B2703">
        <f>HYPERLINK("https://www.suredividend.com/sure-analysis-T/","AT&amp;T, Inc.")</f>
        <v>0</v>
      </c>
      <c r="C2703" t="s">
        <v>3191</v>
      </c>
      <c r="D2703">
        <v>15.73</v>
      </c>
      <c r="E2703">
        <v>0.07056579783852511</v>
      </c>
      <c r="F2703">
        <v>0</v>
      </c>
      <c r="G2703">
        <v>-0.1146019477205045</v>
      </c>
      <c r="H2703">
        <v>1.344975750946836</v>
      </c>
      <c r="I2703">
        <v>112154.9</v>
      </c>
      <c r="J2703" t="s">
        <v>3182</v>
      </c>
      <c r="K2703" t="s">
        <v>3182</v>
      </c>
      <c r="L2703">
        <v>0.478323152076871</v>
      </c>
      <c r="M2703">
        <v>21.71</v>
      </c>
      <c r="N2703">
        <v>13.18</v>
      </c>
    </row>
    <row r="2704" spans="1:14">
      <c r="A2704" s="1" t="s">
        <v>2716</v>
      </c>
      <c r="B2704">
        <f>HYPERLINK("https://www.suredividend.com/sure-analysis-research-database/","Del Taco Restaurants Inc")</f>
        <v>0</v>
      </c>
      <c r="C2704" t="s">
        <v>3186</v>
      </c>
      <c r="D2704">
        <v>12.51</v>
      </c>
      <c r="E2704">
        <v>0</v>
      </c>
      <c r="F2704" t="s">
        <v>3182</v>
      </c>
      <c r="G2704" t="s">
        <v>3182</v>
      </c>
      <c r="H2704">
        <v>0.159999996423721</v>
      </c>
      <c r="I2704">
        <v>0</v>
      </c>
      <c r="J2704">
        <v>0</v>
      </c>
      <c r="K2704">
        <v>0.2969010881865299</v>
      </c>
    </row>
    <row r="2705" spans="1:14">
      <c r="A2705" s="1" t="s">
        <v>2717</v>
      </c>
      <c r="B2705">
        <f>HYPERLINK("https://www.suredividend.com/sure-analysis-research-database/","Transact Technologies Inc.")</f>
        <v>0</v>
      </c>
      <c r="C2705" t="s">
        <v>3185</v>
      </c>
      <c r="D2705">
        <v>6.02</v>
      </c>
      <c r="E2705">
        <v>0</v>
      </c>
      <c r="F2705" t="s">
        <v>3182</v>
      </c>
      <c r="G2705" t="s">
        <v>3182</v>
      </c>
      <c r="H2705">
        <v>0</v>
      </c>
      <c r="I2705">
        <v>59.94787</v>
      </c>
      <c r="J2705">
        <v>13.75897873766353</v>
      </c>
      <c r="K2705">
        <v>0</v>
      </c>
      <c r="L2705">
        <v>0.8843011793814961</v>
      </c>
      <c r="M2705">
        <v>9.44</v>
      </c>
      <c r="N2705">
        <v>3.98</v>
      </c>
    </row>
    <row r="2706" spans="1:14">
      <c r="A2706" s="1" t="s">
        <v>2718</v>
      </c>
      <c r="B2706">
        <f>HYPERLINK("https://www.suredividend.com/sure-analysis-research-database/","Taitron Components Inc.")</f>
        <v>0</v>
      </c>
      <c r="C2706" t="s">
        <v>3185</v>
      </c>
      <c r="D2706">
        <v>3.4</v>
      </c>
      <c r="E2706">
        <v>0.056577432785205</v>
      </c>
      <c r="F2706">
        <v>0</v>
      </c>
      <c r="G2706">
        <v>0.1075663432482901</v>
      </c>
      <c r="H2706">
        <v>0.192363271469699</v>
      </c>
      <c r="I2706">
        <v>17.794131</v>
      </c>
      <c r="J2706">
        <v>0</v>
      </c>
      <c r="K2706" t="s">
        <v>3182</v>
      </c>
      <c r="L2706">
        <v>0.247412890651021</v>
      </c>
      <c r="M2706">
        <v>4.21</v>
      </c>
      <c r="N2706">
        <v>3.14</v>
      </c>
    </row>
    <row r="2707" spans="1:14">
      <c r="A2707" s="1" t="s">
        <v>2719</v>
      </c>
      <c r="B2707">
        <f>HYPERLINK("https://www.suredividend.com/sure-analysis-research-database/","Talos Energy Inc")</f>
        <v>0</v>
      </c>
      <c r="C2707" t="s">
        <v>3189</v>
      </c>
      <c r="D2707">
        <v>15.61</v>
      </c>
      <c r="E2707">
        <v>0</v>
      </c>
      <c r="F2707" t="s">
        <v>3182</v>
      </c>
      <c r="G2707" t="s">
        <v>3182</v>
      </c>
      <c r="H2707">
        <v>0</v>
      </c>
      <c r="I2707">
        <v>1936.513614</v>
      </c>
      <c r="J2707">
        <v>5.428178717007893</v>
      </c>
      <c r="K2707">
        <v>0</v>
      </c>
      <c r="L2707">
        <v>1.483535946059383</v>
      </c>
      <c r="M2707">
        <v>22.46</v>
      </c>
      <c r="N2707">
        <v>10.69</v>
      </c>
    </row>
    <row r="2708" spans="1:14">
      <c r="A2708" s="1" t="s">
        <v>2720</v>
      </c>
      <c r="B2708">
        <f>HYPERLINK("https://www.suredividend.com/sure-analysis-TAP/","Molson Coors Beverage Company")</f>
        <v>0</v>
      </c>
      <c r="C2708" t="s">
        <v>3188</v>
      </c>
      <c r="D2708">
        <v>57.83</v>
      </c>
      <c r="E2708">
        <v>0.02835898322669895</v>
      </c>
      <c r="F2708" t="s">
        <v>3182</v>
      </c>
      <c r="G2708" t="s">
        <v>3182</v>
      </c>
      <c r="H2708">
        <v>1.594099206413459</v>
      </c>
      <c r="I2708">
        <v>11785.543921</v>
      </c>
      <c r="J2708">
        <v>288.8613706063725</v>
      </c>
      <c r="K2708">
        <v>8.470240204109771</v>
      </c>
      <c r="L2708">
        <v>0.487121438982605</v>
      </c>
      <c r="M2708">
        <v>70.44</v>
      </c>
      <c r="N2708">
        <v>47.48</v>
      </c>
    </row>
    <row r="2709" spans="1:14">
      <c r="A2709" s="1" t="s">
        <v>2721</v>
      </c>
      <c r="B2709">
        <f>HYPERLINK("https://www.suredividend.com/sure-analysis-research-database/","Carrols Restaurant Group Inc.")</f>
        <v>0</v>
      </c>
      <c r="C2709" t="s">
        <v>3186</v>
      </c>
      <c r="D2709">
        <v>5.83</v>
      </c>
      <c r="E2709">
        <v>0</v>
      </c>
      <c r="F2709" t="s">
        <v>3182</v>
      </c>
      <c r="G2709" t="s">
        <v>3182</v>
      </c>
      <c r="H2709">
        <v>0</v>
      </c>
      <c r="I2709">
        <v>317.701851</v>
      </c>
      <c r="J2709" t="s">
        <v>3182</v>
      </c>
      <c r="K2709">
        <v>-0</v>
      </c>
      <c r="L2709">
        <v>0.7266551917638381</v>
      </c>
      <c r="M2709">
        <v>7.75</v>
      </c>
      <c r="N2709">
        <v>1.31</v>
      </c>
    </row>
    <row r="2710" spans="1:14">
      <c r="A2710" s="1" t="s">
        <v>2722</v>
      </c>
      <c r="B2710">
        <f>HYPERLINK("https://www.suredividend.com/sure-analysis-research-database/","TransAtlantic Petroleum Ltd")</f>
        <v>0</v>
      </c>
      <c r="C2710" t="s">
        <v>3189</v>
      </c>
      <c r="D2710">
        <v>0.246</v>
      </c>
      <c r="E2710">
        <v>0</v>
      </c>
      <c r="F2710" t="s">
        <v>3182</v>
      </c>
      <c r="G2710" t="s">
        <v>3182</v>
      </c>
      <c r="H2710">
        <v>0</v>
      </c>
      <c r="I2710">
        <v>18.778547</v>
      </c>
      <c r="J2710" t="s">
        <v>3182</v>
      </c>
      <c r="K2710">
        <v>-0</v>
      </c>
      <c r="L2710">
        <v>1.359619541150437</v>
      </c>
      <c r="M2710">
        <v>0.5393</v>
      </c>
      <c r="N2710">
        <v>0.1533</v>
      </c>
    </row>
    <row r="2711" spans="1:14">
      <c r="A2711" s="1" t="s">
        <v>2723</v>
      </c>
      <c r="B2711">
        <f>HYPERLINK("https://www.suredividend.com/sure-analysis-research-database/","Taylor Devices Inc.")</f>
        <v>0</v>
      </c>
      <c r="C2711" t="s">
        <v>3183</v>
      </c>
      <c r="D2711">
        <v>21.95</v>
      </c>
      <c r="E2711">
        <v>0</v>
      </c>
      <c r="F2711" t="s">
        <v>3182</v>
      </c>
      <c r="G2711" t="s">
        <v>3182</v>
      </c>
      <c r="H2711">
        <v>0</v>
      </c>
      <c r="I2711">
        <v>77.294225</v>
      </c>
      <c r="J2711">
        <v>0</v>
      </c>
      <c r="K2711" t="s">
        <v>3182</v>
      </c>
      <c r="M2711">
        <v>26.4</v>
      </c>
      <c r="N2711">
        <v>10.5</v>
      </c>
    </row>
    <row r="2712" spans="1:14">
      <c r="A2712" s="1" t="s">
        <v>2724</v>
      </c>
      <c r="B2712">
        <f>HYPERLINK("https://www.suredividend.com/sure-analysis-research-database/","Bancorp Inc. (The)")</f>
        <v>0</v>
      </c>
      <c r="C2712" t="s">
        <v>3184</v>
      </c>
      <c r="D2712">
        <v>38.54</v>
      </c>
      <c r="E2712">
        <v>0</v>
      </c>
      <c r="F2712" t="s">
        <v>3182</v>
      </c>
      <c r="G2712" t="s">
        <v>3182</v>
      </c>
      <c r="H2712">
        <v>0</v>
      </c>
      <c r="I2712">
        <v>2092.030477</v>
      </c>
      <c r="J2712">
        <v>12.38063675776442</v>
      </c>
      <c r="K2712">
        <v>0</v>
      </c>
      <c r="L2712">
        <v>1.459240490985909</v>
      </c>
      <c r="M2712">
        <v>41.52</v>
      </c>
      <c r="N2712">
        <v>25.13</v>
      </c>
    </row>
    <row r="2713" spans="1:14">
      <c r="A2713" s="1" t="s">
        <v>2725</v>
      </c>
      <c r="B2713">
        <f>HYPERLINK("https://www.suredividend.com/sure-analysis-research-database/","TrueBlue Inc")</f>
        <v>0</v>
      </c>
      <c r="C2713" t="s">
        <v>3183</v>
      </c>
      <c r="D2713">
        <v>11.82</v>
      </c>
      <c r="E2713">
        <v>0</v>
      </c>
      <c r="F2713" t="s">
        <v>3182</v>
      </c>
      <c r="G2713" t="s">
        <v>3182</v>
      </c>
      <c r="H2713">
        <v>0</v>
      </c>
      <c r="I2713">
        <v>368.071798</v>
      </c>
      <c r="J2713" t="s">
        <v>3182</v>
      </c>
      <c r="K2713">
        <v>-0</v>
      </c>
      <c r="L2713">
        <v>0.7813192525551571</v>
      </c>
      <c r="M2713">
        <v>22.01</v>
      </c>
      <c r="N2713">
        <v>10.15</v>
      </c>
    </row>
    <row r="2714" spans="1:14">
      <c r="A2714" s="1" t="s">
        <v>2726</v>
      </c>
      <c r="B2714">
        <f>HYPERLINK("https://www.suredividend.com/sure-analysis-research-database/","Telesis Bio Inc")</f>
        <v>0</v>
      </c>
      <c r="C2714" t="s">
        <v>3180</v>
      </c>
      <c r="D2714">
        <v>0.75</v>
      </c>
      <c r="E2714">
        <v>0</v>
      </c>
      <c r="F2714" t="s">
        <v>3182</v>
      </c>
      <c r="G2714" t="s">
        <v>3182</v>
      </c>
      <c r="H2714">
        <v>0</v>
      </c>
      <c r="I2714">
        <v>22.460888</v>
      </c>
      <c r="J2714">
        <v>0</v>
      </c>
      <c r="K2714" t="s">
        <v>3182</v>
      </c>
      <c r="L2714">
        <v>1.199018803369229</v>
      </c>
      <c r="M2714">
        <v>3.32</v>
      </c>
      <c r="N2714">
        <v>0.72</v>
      </c>
    </row>
    <row r="2715" spans="1:14">
      <c r="A2715" s="1" t="s">
        <v>2727</v>
      </c>
      <c r="B2715">
        <f>HYPERLINK("https://www.suredividend.com/sure-analysis-research-database/","Territorial Bancorp Inc")</f>
        <v>0</v>
      </c>
      <c r="C2715" t="s">
        <v>3184</v>
      </c>
      <c r="D2715">
        <v>7.57</v>
      </c>
      <c r="E2715">
        <v>0.115082138303243</v>
      </c>
      <c r="F2715">
        <v>0</v>
      </c>
      <c r="G2715">
        <v>0</v>
      </c>
      <c r="H2715">
        <v>0.8711717869555521</v>
      </c>
      <c r="I2715">
        <v>66.983228</v>
      </c>
      <c r="J2715">
        <v>6.050332243699756</v>
      </c>
      <c r="K2715">
        <v>0.691406180123454</v>
      </c>
      <c r="L2715">
        <v>0.7646978624715931</v>
      </c>
      <c r="M2715">
        <v>23.25</v>
      </c>
      <c r="N2715">
        <v>6.85</v>
      </c>
    </row>
    <row r="2716" spans="1:14">
      <c r="A2716" s="1" t="s">
        <v>2728</v>
      </c>
      <c r="B2716">
        <f>HYPERLINK("https://www.suredividend.com/sure-analysis-research-database/","Theravance Biopharma Inc")</f>
        <v>0</v>
      </c>
      <c r="C2716" t="s">
        <v>3180</v>
      </c>
      <c r="D2716">
        <v>9.779999999999999</v>
      </c>
      <c r="E2716">
        <v>0</v>
      </c>
      <c r="F2716" t="s">
        <v>3182</v>
      </c>
      <c r="G2716" t="s">
        <v>3182</v>
      </c>
      <c r="H2716">
        <v>0</v>
      </c>
      <c r="I2716">
        <v>516.512157</v>
      </c>
      <c r="J2716">
        <v>0.594692859156097</v>
      </c>
      <c r="K2716">
        <v>0</v>
      </c>
      <c r="L2716">
        <v>0.62416022534631</v>
      </c>
      <c r="M2716">
        <v>12.03</v>
      </c>
      <c r="N2716">
        <v>8.25</v>
      </c>
    </row>
    <row r="2717" spans="1:14">
      <c r="A2717" s="1" t="s">
        <v>2729</v>
      </c>
      <c r="B2717">
        <f>HYPERLINK("https://www.suredividend.com/sure-analysis-research-database/","Texas Capital Bancshares, Inc.")</f>
        <v>0</v>
      </c>
      <c r="C2717" t="s">
        <v>3184</v>
      </c>
      <c r="D2717">
        <v>57.17</v>
      </c>
      <c r="E2717">
        <v>0</v>
      </c>
      <c r="F2717" t="s">
        <v>3182</v>
      </c>
      <c r="G2717" t="s">
        <v>3182</v>
      </c>
      <c r="H2717">
        <v>0</v>
      </c>
      <c r="I2717">
        <v>2745.329012</v>
      </c>
      <c r="J2717">
        <v>7.440077324603243</v>
      </c>
      <c r="K2717">
        <v>0</v>
      </c>
      <c r="L2717">
        <v>1.361620372241931</v>
      </c>
      <c r="M2717">
        <v>69.27</v>
      </c>
      <c r="N2717">
        <v>42.79</v>
      </c>
    </row>
    <row r="2718" spans="1:14">
      <c r="A2718" s="1" t="s">
        <v>2730</v>
      </c>
      <c r="B2718">
        <f>HYPERLINK("https://www.suredividend.com/sure-analysis-research-database/","Trico Bancshares")</f>
        <v>0</v>
      </c>
      <c r="C2718" t="s">
        <v>3184</v>
      </c>
      <c r="D2718">
        <v>33.78</v>
      </c>
      <c r="E2718">
        <v>0.034718402266081</v>
      </c>
      <c r="F2718">
        <v>0</v>
      </c>
      <c r="G2718">
        <v>0.09565425774785385</v>
      </c>
      <c r="H2718">
        <v>1.17278762854824</v>
      </c>
      <c r="I2718">
        <v>1123.635794</v>
      </c>
      <c r="J2718">
        <v>8.360012157939378</v>
      </c>
      <c r="K2718">
        <v>0.2917382160567761</v>
      </c>
      <c r="L2718">
        <v>1.014897827221278</v>
      </c>
      <c r="M2718">
        <v>55.95</v>
      </c>
      <c r="N2718">
        <v>27.71</v>
      </c>
    </row>
    <row r="2719" spans="1:14">
      <c r="A2719" s="1" t="s">
        <v>2731</v>
      </c>
      <c r="B2719">
        <f>HYPERLINK("https://www.suredividend.com/sure-analysis-research-database/","Tricida Inc")</f>
        <v>0</v>
      </c>
      <c r="C2719" t="s">
        <v>3180</v>
      </c>
      <c r="D2719">
        <v>0.108</v>
      </c>
      <c r="E2719">
        <v>0</v>
      </c>
      <c r="F2719" t="s">
        <v>3182</v>
      </c>
      <c r="G2719" t="s">
        <v>3182</v>
      </c>
      <c r="H2719">
        <v>0</v>
      </c>
      <c r="I2719">
        <v>0</v>
      </c>
      <c r="J2719">
        <v>0</v>
      </c>
      <c r="K2719" t="s">
        <v>3182</v>
      </c>
    </row>
    <row r="2720" spans="1:14">
      <c r="A2720" s="1" t="s">
        <v>2732</v>
      </c>
      <c r="B2720">
        <f>HYPERLINK("https://www.suredividend.com/sure-analysis-research-database/","TCF Financial Corp")</f>
        <v>0</v>
      </c>
      <c r="C2720" t="s">
        <v>3184</v>
      </c>
      <c r="D2720">
        <v>45.18</v>
      </c>
      <c r="E2720">
        <v>0</v>
      </c>
      <c r="F2720" t="s">
        <v>3182</v>
      </c>
      <c r="G2720" t="s">
        <v>3182</v>
      </c>
      <c r="H2720">
        <v>1.049999982118606</v>
      </c>
      <c r="I2720">
        <v>0</v>
      </c>
      <c r="J2720">
        <v>0</v>
      </c>
      <c r="K2720">
        <v>0.5614973166409657</v>
      </c>
    </row>
    <row r="2721" spans="1:14">
      <c r="A2721" s="1" t="s">
        <v>2733</v>
      </c>
      <c r="B2721">
        <f>HYPERLINK("https://www.suredividend.com/sure-analysis-research-database/","Community Financial Corp")</f>
        <v>0</v>
      </c>
      <c r="C2721" t="s">
        <v>3184</v>
      </c>
      <c r="D2721">
        <v>27.09</v>
      </c>
      <c r="E2721">
        <v>0</v>
      </c>
      <c r="F2721" t="s">
        <v>3182</v>
      </c>
      <c r="G2721" t="s">
        <v>3182</v>
      </c>
      <c r="H2721">
        <v>0.699999988079071</v>
      </c>
      <c r="I2721">
        <v>0</v>
      </c>
      <c r="J2721">
        <v>0</v>
      </c>
      <c r="K2721" t="s">
        <v>3182</v>
      </c>
    </row>
    <row r="2722" spans="1:14">
      <c r="A2722" s="1" t="s">
        <v>2734</v>
      </c>
      <c r="B2722">
        <f>HYPERLINK("https://www.suredividend.com/sure-analysis-research-database/","Transcontinental Realty Investors, Inc.")</f>
        <v>0</v>
      </c>
      <c r="C2722" t="s">
        <v>3187</v>
      </c>
      <c r="D2722">
        <v>30.21</v>
      </c>
      <c r="E2722">
        <v>0</v>
      </c>
      <c r="F2722" t="s">
        <v>3182</v>
      </c>
      <c r="G2722" t="s">
        <v>3182</v>
      </c>
      <c r="H2722">
        <v>0</v>
      </c>
      <c r="I2722">
        <v>260.993736</v>
      </c>
      <c r="J2722">
        <v>0.591358563032178</v>
      </c>
      <c r="K2722">
        <v>0</v>
      </c>
      <c r="L2722">
        <v>0.554163471478992</v>
      </c>
      <c r="M2722">
        <v>47.35</v>
      </c>
      <c r="N2722">
        <v>27.23</v>
      </c>
    </row>
    <row r="2723" spans="1:14">
      <c r="A2723" s="1" t="s">
        <v>2735</v>
      </c>
      <c r="B2723">
        <f>HYPERLINK("https://www.suredividend.com/sure-analysis-research-database/","Tactile Systems Technology Inc")</f>
        <v>0</v>
      </c>
      <c r="C2723" t="s">
        <v>3180</v>
      </c>
      <c r="D2723">
        <v>12.39</v>
      </c>
      <c r="E2723">
        <v>0</v>
      </c>
      <c r="F2723" t="s">
        <v>3182</v>
      </c>
      <c r="G2723" t="s">
        <v>3182</v>
      </c>
      <c r="H2723">
        <v>0</v>
      </c>
      <c r="I2723">
        <v>290.681307</v>
      </c>
      <c r="J2723">
        <v>816.5205246910112</v>
      </c>
      <c r="K2723">
        <v>0</v>
      </c>
      <c r="L2723">
        <v>0.9654270632706541</v>
      </c>
      <c r="M2723">
        <v>26.11</v>
      </c>
      <c r="N2723">
        <v>6.66</v>
      </c>
    </row>
    <row r="2724" spans="1:14">
      <c r="A2724" s="1" t="s">
        <v>2736</v>
      </c>
      <c r="B2724">
        <f>HYPERLINK("https://www.suredividend.com/sure-analysis-research-database/","Taubman Centers, Inc.")</f>
        <v>0</v>
      </c>
      <c r="C2724" t="s">
        <v>3187</v>
      </c>
      <c r="D2724">
        <v>42.99</v>
      </c>
      <c r="E2724">
        <v>0.015701326167037</v>
      </c>
      <c r="F2724" t="s">
        <v>3182</v>
      </c>
      <c r="G2724" t="s">
        <v>3182</v>
      </c>
      <c r="H2724">
        <v>0.6750000119209291</v>
      </c>
      <c r="I2724">
        <v>2653.572797</v>
      </c>
      <c r="J2724" t="s">
        <v>3182</v>
      </c>
      <c r="K2724" t="s">
        <v>3182</v>
      </c>
      <c r="M2724">
        <v>52.49</v>
      </c>
      <c r="N2724">
        <v>26.04</v>
      </c>
    </row>
    <row r="2725" spans="1:14">
      <c r="A2725" s="1" t="s">
        <v>2737</v>
      </c>
      <c r="B2725">
        <f>HYPERLINK("https://www.suredividend.com/sure-analysis-research-database/","TRACON Pharmaceuticals Inc")</f>
        <v>0</v>
      </c>
      <c r="C2725" t="s">
        <v>3180</v>
      </c>
      <c r="D2725">
        <v>0.1462</v>
      </c>
      <c r="E2725">
        <v>0</v>
      </c>
      <c r="F2725" t="s">
        <v>3182</v>
      </c>
      <c r="G2725" t="s">
        <v>3182</v>
      </c>
      <c r="H2725">
        <v>0</v>
      </c>
      <c r="I2725">
        <v>4.488332</v>
      </c>
      <c r="J2725">
        <v>0</v>
      </c>
      <c r="K2725" t="s">
        <v>3182</v>
      </c>
      <c r="L2725">
        <v>0.7153649349659911</v>
      </c>
      <c r="M2725">
        <v>2.19</v>
      </c>
      <c r="N2725">
        <v>0.1255</v>
      </c>
    </row>
    <row r="2726" spans="1:14">
      <c r="A2726" s="1" t="s">
        <v>2738</v>
      </c>
      <c r="B2726">
        <f>HYPERLINK("https://www.suredividend.com/sure-analysis-research-database/","Container Store Group Inc")</f>
        <v>0</v>
      </c>
      <c r="C2726" t="s">
        <v>3186</v>
      </c>
      <c r="D2726">
        <v>1.81</v>
      </c>
      <c r="E2726">
        <v>0</v>
      </c>
      <c r="F2726" t="s">
        <v>3182</v>
      </c>
      <c r="G2726" t="s">
        <v>3182</v>
      </c>
      <c r="H2726">
        <v>0</v>
      </c>
      <c r="I2726">
        <v>93.617057</v>
      </c>
      <c r="J2726" t="s">
        <v>3182</v>
      </c>
      <c r="K2726">
        <v>-0</v>
      </c>
      <c r="L2726">
        <v>1.472777289248846</v>
      </c>
      <c r="M2726">
        <v>5.8</v>
      </c>
      <c r="N2726">
        <v>1.56</v>
      </c>
    </row>
    <row r="2727" spans="1:14">
      <c r="A2727" s="1" t="s">
        <v>2739</v>
      </c>
      <c r="B2727">
        <f>HYPERLINK("https://www.suredividend.com/sure-analysis-research-database/","Teradata Corp")</f>
        <v>0</v>
      </c>
      <c r="C2727" t="s">
        <v>3185</v>
      </c>
      <c r="D2727">
        <v>43.11</v>
      </c>
      <c r="E2727">
        <v>0</v>
      </c>
      <c r="F2727" t="s">
        <v>3182</v>
      </c>
      <c r="G2727" t="s">
        <v>3182</v>
      </c>
      <c r="H2727">
        <v>0</v>
      </c>
      <c r="I2727">
        <v>4306.689</v>
      </c>
      <c r="J2727">
        <v>74.25325862068965</v>
      </c>
      <c r="K2727">
        <v>0</v>
      </c>
      <c r="L2727">
        <v>1.279365444594575</v>
      </c>
      <c r="M2727">
        <v>57.73</v>
      </c>
      <c r="N2727">
        <v>29.18</v>
      </c>
    </row>
    <row r="2728" spans="1:14">
      <c r="A2728" s="1" t="s">
        <v>2740</v>
      </c>
      <c r="B2728">
        <f>HYPERLINK("https://www.suredividend.com/sure-analysis-research-database/","Transdigm Group Incorporated")</f>
        <v>0</v>
      </c>
      <c r="C2728" t="s">
        <v>3183</v>
      </c>
      <c r="D2728">
        <v>869.73</v>
      </c>
      <c r="E2728">
        <v>0</v>
      </c>
      <c r="F2728" t="s">
        <v>3182</v>
      </c>
      <c r="G2728" t="s">
        <v>3182</v>
      </c>
      <c r="H2728">
        <v>0</v>
      </c>
      <c r="I2728">
        <v>47994.449747</v>
      </c>
      <c r="J2728">
        <v>44.81274486162466</v>
      </c>
      <c r="K2728">
        <v>0</v>
      </c>
      <c r="L2728">
        <v>1.096873034992069</v>
      </c>
      <c r="M2728">
        <v>940</v>
      </c>
      <c r="N2728">
        <v>563.98</v>
      </c>
    </row>
    <row r="2729" spans="1:14">
      <c r="A2729" s="1" t="s">
        <v>2741</v>
      </c>
      <c r="B2729">
        <f>HYPERLINK("https://www.suredividend.com/sure-analysis-research-database/","Teladoc Health Inc")</f>
        <v>0</v>
      </c>
      <c r="C2729" t="s">
        <v>3180</v>
      </c>
      <c r="D2729">
        <v>16.93</v>
      </c>
      <c r="E2729">
        <v>0</v>
      </c>
      <c r="F2729" t="s">
        <v>3182</v>
      </c>
      <c r="G2729" t="s">
        <v>3182</v>
      </c>
      <c r="H2729">
        <v>0</v>
      </c>
      <c r="I2729">
        <v>2802.885174</v>
      </c>
      <c r="J2729" t="s">
        <v>3182</v>
      </c>
      <c r="K2729">
        <v>-0</v>
      </c>
      <c r="L2729">
        <v>2.271982274142694</v>
      </c>
      <c r="M2729">
        <v>34.73</v>
      </c>
      <c r="N2729">
        <v>15.02</v>
      </c>
    </row>
    <row r="2730" spans="1:14">
      <c r="A2730" s="1" t="s">
        <v>2742</v>
      </c>
      <c r="B2730">
        <f>HYPERLINK("https://www.suredividend.com/sure-analysis-TDS/","Telephone And Data Systems, Inc.")</f>
        <v>0</v>
      </c>
      <c r="C2730" t="s">
        <v>3191</v>
      </c>
      <c r="D2730">
        <v>19.04</v>
      </c>
      <c r="E2730">
        <v>0.0388655462184874</v>
      </c>
      <c r="F2730">
        <v>0.0277777777777779</v>
      </c>
      <c r="G2730">
        <v>0.02946206823925857</v>
      </c>
      <c r="H2730">
        <v>0.7173594839473331</v>
      </c>
      <c r="I2730">
        <v>2004.443616</v>
      </c>
      <c r="J2730" t="s">
        <v>3182</v>
      </c>
      <c r="K2730" t="s">
        <v>3182</v>
      </c>
      <c r="L2730">
        <v>0.58357573982174</v>
      </c>
      <c r="M2730">
        <v>21.52</v>
      </c>
      <c r="N2730">
        <v>6.21</v>
      </c>
    </row>
    <row r="2731" spans="1:14">
      <c r="A2731" s="1" t="s">
        <v>2743</v>
      </c>
      <c r="B2731">
        <f>HYPERLINK("https://www.suredividend.com/sure-analysis-research-database/","Tidewater Inc.")</f>
        <v>0</v>
      </c>
      <c r="C2731" t="s">
        <v>3189</v>
      </c>
      <c r="D2731">
        <v>70.93000000000001</v>
      </c>
      <c r="E2731">
        <v>0</v>
      </c>
      <c r="F2731" t="s">
        <v>3182</v>
      </c>
      <c r="G2731" t="s">
        <v>3182</v>
      </c>
      <c r="H2731">
        <v>0</v>
      </c>
      <c r="I2731">
        <v>3735.666693</v>
      </c>
      <c r="J2731">
        <v>75.74037331353149</v>
      </c>
      <c r="K2731">
        <v>0</v>
      </c>
      <c r="L2731">
        <v>0.9327569672475891</v>
      </c>
      <c r="M2731">
        <v>73.55</v>
      </c>
      <c r="N2731">
        <v>28.14</v>
      </c>
    </row>
    <row r="2732" spans="1:14">
      <c r="A2732" s="1" t="s">
        <v>2744</v>
      </c>
      <c r="B2732">
        <f>HYPERLINK("https://www.suredividend.com/sure-analysis-research-database/","Teledyne Technologies Inc")</f>
        <v>0</v>
      </c>
      <c r="C2732" t="s">
        <v>3185</v>
      </c>
      <c r="D2732">
        <v>373.16</v>
      </c>
      <c r="E2732">
        <v>0</v>
      </c>
      <c r="F2732" t="s">
        <v>3182</v>
      </c>
      <c r="G2732" t="s">
        <v>3182</v>
      </c>
      <c r="H2732">
        <v>0</v>
      </c>
      <c r="I2732">
        <v>17607.441533</v>
      </c>
      <c r="J2732">
        <v>22.31614896390368</v>
      </c>
      <c r="K2732">
        <v>0</v>
      </c>
      <c r="L2732">
        <v>0.960379909429779</v>
      </c>
      <c r="M2732">
        <v>448.71</v>
      </c>
      <c r="N2732">
        <v>364.98</v>
      </c>
    </row>
    <row r="2733" spans="1:14">
      <c r="A2733" s="1" t="s">
        <v>2745</v>
      </c>
      <c r="B2733">
        <f>HYPERLINK("https://www.suredividend.com/sure-analysis-research-database/","Tech Data Corp.")</f>
        <v>0</v>
      </c>
      <c r="C2733" t="s">
        <v>3185</v>
      </c>
      <c r="D2733">
        <v>144.9</v>
      </c>
      <c r="E2733">
        <v>0</v>
      </c>
      <c r="F2733" t="s">
        <v>3182</v>
      </c>
      <c r="G2733" t="s">
        <v>3182</v>
      </c>
      <c r="H2733">
        <v>0</v>
      </c>
      <c r="I2733">
        <v>0</v>
      </c>
      <c r="J2733">
        <v>0</v>
      </c>
      <c r="K2733" t="s">
        <v>3182</v>
      </c>
    </row>
    <row r="2734" spans="1:14">
      <c r="A2734" s="1" t="s">
        <v>2746</v>
      </c>
      <c r="B2734">
        <f>HYPERLINK("https://www.suredividend.com/sure-analysis-research-database/","Bio-Techne Corp")</f>
        <v>0</v>
      </c>
      <c r="C2734" t="s">
        <v>3180</v>
      </c>
      <c r="D2734">
        <v>55.41</v>
      </c>
      <c r="E2734">
        <v>0.005765210167816</v>
      </c>
      <c r="F2734">
        <v>-0.75</v>
      </c>
      <c r="G2734">
        <v>-0.242141716744801</v>
      </c>
      <c r="H2734">
        <v>0.319450295398703</v>
      </c>
      <c r="I2734">
        <v>8768.074909000001</v>
      </c>
      <c r="J2734">
        <v>30.7443552582637</v>
      </c>
      <c r="K2734">
        <v>0.181505849658354</v>
      </c>
      <c r="L2734">
        <v>1.036378978288356</v>
      </c>
      <c r="M2734">
        <v>90.36</v>
      </c>
      <c r="N2734">
        <v>51.79</v>
      </c>
    </row>
    <row r="2735" spans="1:14">
      <c r="A2735" s="1" t="s">
        <v>2747</v>
      </c>
      <c r="B2735">
        <f>HYPERLINK("https://www.suredividend.com/sure-analysis-TEL/","TE Connectivity Ltd")</f>
        <v>0</v>
      </c>
      <c r="C2735" t="s">
        <v>3185</v>
      </c>
      <c r="D2735">
        <v>124.04</v>
      </c>
      <c r="E2735">
        <v>0.01902612060625605</v>
      </c>
      <c r="F2735">
        <v>0.05357142857142838</v>
      </c>
      <c r="G2735">
        <v>0.06042477819475911</v>
      </c>
      <c r="H2735">
        <v>2.28448172276977</v>
      </c>
      <c r="I2735">
        <v>38940.946673</v>
      </c>
      <c r="J2735">
        <v>18.84847370420136</v>
      </c>
      <c r="K2735">
        <v>0.3520002654498875</v>
      </c>
      <c r="L2735">
        <v>1.174543010558905</v>
      </c>
      <c r="M2735">
        <v>145.93</v>
      </c>
      <c r="N2735">
        <v>110.42</v>
      </c>
    </row>
    <row r="2736" spans="1:14">
      <c r="A2736" s="1" t="s">
        <v>2748</v>
      </c>
      <c r="B2736">
        <f>HYPERLINK("https://www.suredividend.com/sure-analysis-research-database/","Tellurian Inc")</f>
        <v>0</v>
      </c>
      <c r="C2736" t="s">
        <v>3189</v>
      </c>
      <c r="D2736">
        <v>0.7484000000000001</v>
      </c>
      <c r="E2736">
        <v>0</v>
      </c>
      <c r="F2736" t="s">
        <v>3182</v>
      </c>
      <c r="G2736" t="s">
        <v>3182</v>
      </c>
      <c r="H2736">
        <v>0</v>
      </c>
      <c r="I2736">
        <v>435.433883</v>
      </c>
      <c r="J2736" t="s">
        <v>3182</v>
      </c>
      <c r="K2736">
        <v>-0</v>
      </c>
      <c r="L2736">
        <v>2.073716254356435</v>
      </c>
      <c r="M2736">
        <v>3.14</v>
      </c>
      <c r="N2736">
        <v>0.5931000000000001</v>
      </c>
    </row>
    <row r="2737" spans="1:14">
      <c r="A2737" s="1" t="s">
        <v>2749</v>
      </c>
      <c r="B2737">
        <f>HYPERLINK("https://www.suredividend.com/sure-analysis-research-database/","Tenneco, Inc.")</f>
        <v>0</v>
      </c>
      <c r="C2737" t="s">
        <v>3186</v>
      </c>
      <c r="D2737">
        <v>19.99</v>
      </c>
      <c r="E2737">
        <v>0</v>
      </c>
      <c r="F2737" t="s">
        <v>3182</v>
      </c>
      <c r="G2737" t="s">
        <v>3182</v>
      </c>
      <c r="H2737">
        <v>0</v>
      </c>
      <c r="I2737">
        <v>1669.011637</v>
      </c>
      <c r="J2737" t="s">
        <v>3182</v>
      </c>
      <c r="K2737">
        <v>-0</v>
      </c>
      <c r="L2737">
        <v>0.32889335868289</v>
      </c>
      <c r="M2737">
        <v>19.99</v>
      </c>
      <c r="N2737">
        <v>9.51</v>
      </c>
    </row>
    <row r="2738" spans="1:14">
      <c r="A2738" s="1" t="s">
        <v>2750</v>
      </c>
      <c r="B2738">
        <f>HYPERLINK("https://www.suredividend.com/sure-analysis-research-database/","Tenable Holdings Inc")</f>
        <v>0</v>
      </c>
      <c r="C2738" t="s">
        <v>3185</v>
      </c>
      <c r="D2738">
        <v>35.33</v>
      </c>
      <c r="E2738">
        <v>0</v>
      </c>
      <c r="F2738" t="s">
        <v>3182</v>
      </c>
      <c r="G2738" t="s">
        <v>3182</v>
      </c>
      <c r="H2738">
        <v>0</v>
      </c>
      <c r="I2738">
        <v>4085.5264</v>
      </c>
      <c r="J2738" t="s">
        <v>3182</v>
      </c>
      <c r="K2738">
        <v>-0</v>
      </c>
      <c r="L2738">
        <v>1.429605360571489</v>
      </c>
      <c r="M2738">
        <v>49.77</v>
      </c>
      <c r="N2738">
        <v>33.77</v>
      </c>
    </row>
    <row r="2739" spans="1:14">
      <c r="A2739" s="1" t="s">
        <v>2751</v>
      </c>
      <c r="B2739">
        <f>HYPERLINK("https://www.suredividend.com/sure-analysis-research-database/","Tenax Therapeutics Inc")</f>
        <v>0</v>
      </c>
      <c r="C2739" t="s">
        <v>3180</v>
      </c>
      <c r="D2739">
        <v>0.188</v>
      </c>
      <c r="E2739">
        <v>0</v>
      </c>
      <c r="F2739" t="s">
        <v>3182</v>
      </c>
      <c r="G2739" t="s">
        <v>3182</v>
      </c>
      <c r="H2739">
        <v>0</v>
      </c>
      <c r="I2739">
        <v>4.486138</v>
      </c>
      <c r="J2739">
        <v>0</v>
      </c>
      <c r="K2739" t="s">
        <v>3182</v>
      </c>
      <c r="L2739">
        <v>0.95911289628922</v>
      </c>
      <c r="M2739">
        <v>4.3</v>
      </c>
      <c r="N2739">
        <v>0.1617</v>
      </c>
    </row>
    <row r="2740" spans="1:14">
      <c r="A2740" s="1" t="s">
        <v>2752</v>
      </c>
      <c r="B2740">
        <f>HYPERLINK("https://www.suredividend.com/sure-analysis-research-database/","Teradyne, Inc.")</f>
        <v>0</v>
      </c>
      <c r="C2740" t="s">
        <v>3185</v>
      </c>
      <c r="D2740">
        <v>85.90000000000001</v>
      </c>
      <c r="E2740">
        <v>0.005107327327294</v>
      </c>
      <c r="F2740">
        <v>0</v>
      </c>
      <c r="G2740">
        <v>0.04095039696925684</v>
      </c>
      <c r="H2740">
        <v>0.438719417414637</v>
      </c>
      <c r="I2740">
        <v>13229.779922</v>
      </c>
      <c r="J2740">
        <v>23.65134146705115</v>
      </c>
      <c r="K2740">
        <v>0.1301838033871326</v>
      </c>
      <c r="L2740">
        <v>1.650863342758676</v>
      </c>
      <c r="M2740">
        <v>118.96</v>
      </c>
      <c r="N2740">
        <v>80.78</v>
      </c>
    </row>
    <row r="2741" spans="1:14">
      <c r="A2741" s="1" t="s">
        <v>2753</v>
      </c>
      <c r="B2741">
        <f>HYPERLINK("https://www.suredividend.com/sure-analysis-research-database/","Tessco Technologies, Inc.")</f>
        <v>0</v>
      </c>
      <c r="C2741" t="s">
        <v>3185</v>
      </c>
      <c r="D2741">
        <v>8.99</v>
      </c>
      <c r="E2741">
        <v>0</v>
      </c>
      <c r="F2741" t="s">
        <v>3182</v>
      </c>
      <c r="G2741" t="s">
        <v>3182</v>
      </c>
      <c r="H2741">
        <v>0</v>
      </c>
      <c r="I2741">
        <v>0</v>
      </c>
      <c r="J2741">
        <v>0</v>
      </c>
      <c r="K2741">
        <v>-0</v>
      </c>
    </row>
    <row r="2742" spans="1:14">
      <c r="A2742" s="1" t="s">
        <v>2754</v>
      </c>
      <c r="B2742">
        <f>HYPERLINK("https://www.suredividend.com/sure-analysis-research-database/","Pareteum Corp")</f>
        <v>0</v>
      </c>
      <c r="C2742" t="s">
        <v>3191</v>
      </c>
      <c r="D2742">
        <v>0.0001</v>
      </c>
      <c r="E2742">
        <v>0</v>
      </c>
      <c r="F2742" t="s">
        <v>3182</v>
      </c>
      <c r="G2742" t="s">
        <v>3182</v>
      </c>
      <c r="H2742">
        <v>0</v>
      </c>
      <c r="I2742">
        <v>0.01427</v>
      </c>
      <c r="J2742">
        <v>0</v>
      </c>
      <c r="K2742" t="s">
        <v>3182</v>
      </c>
      <c r="M2742">
        <v>0.14</v>
      </c>
      <c r="N2742">
        <v>0.0001</v>
      </c>
    </row>
    <row r="2743" spans="1:14">
      <c r="A2743" s="1" t="s">
        <v>2755</v>
      </c>
      <c r="B2743">
        <f>HYPERLINK("https://www.suredividend.com/sure-analysis-research-database/","Terex Corp.")</f>
        <v>0</v>
      </c>
      <c r="C2743" t="s">
        <v>3183</v>
      </c>
      <c r="D2743">
        <v>49.04</v>
      </c>
      <c r="E2743">
        <v>0.01220364439745</v>
      </c>
      <c r="F2743" t="s">
        <v>3182</v>
      </c>
      <c r="G2743" t="s">
        <v>3182</v>
      </c>
      <c r="H2743">
        <v>0.598466721250972</v>
      </c>
      <c r="I2743">
        <v>3300.392</v>
      </c>
      <c r="J2743">
        <v>6.827455523376086</v>
      </c>
      <c r="K2743">
        <v>0.08488889663134355</v>
      </c>
      <c r="L2743">
        <v>1.394051006133111</v>
      </c>
      <c r="M2743">
        <v>65.45999999999999</v>
      </c>
      <c r="N2743">
        <v>39.3</v>
      </c>
    </row>
    <row r="2744" spans="1:14">
      <c r="A2744" s="1" t="s">
        <v>2756</v>
      </c>
      <c r="B2744">
        <f>HYPERLINK("https://www.suredividend.com/sure-analysis-TFSL/","TFS Financial Corporation")</f>
        <v>0</v>
      </c>
      <c r="C2744" t="s">
        <v>3184</v>
      </c>
      <c r="D2744">
        <v>12.42</v>
      </c>
      <c r="E2744">
        <v>0.09098228663446054</v>
      </c>
      <c r="F2744">
        <v>0</v>
      </c>
      <c r="G2744">
        <v>0.02474471859817773</v>
      </c>
      <c r="H2744">
        <v>1.080320584524479</v>
      </c>
      <c r="I2744">
        <v>3481.687397</v>
      </c>
      <c r="J2744">
        <v>43.75518269190167</v>
      </c>
      <c r="K2744">
        <v>3.781311111391246</v>
      </c>
      <c r="L2744">
        <v>0.8071512670186991</v>
      </c>
      <c r="M2744">
        <v>14.74</v>
      </c>
      <c r="N2744">
        <v>10.3</v>
      </c>
    </row>
    <row r="2745" spans="1:14">
      <c r="A2745" s="1" t="s">
        <v>2757</v>
      </c>
      <c r="B2745">
        <f>HYPERLINK("https://www.suredividend.com/sure-analysis-research-database/","Teleflex Incorporated")</f>
        <v>0</v>
      </c>
      <c r="C2745" t="s">
        <v>3180</v>
      </c>
      <c r="D2745">
        <v>209.19</v>
      </c>
      <c r="E2745">
        <v>0.006487192862861001</v>
      </c>
      <c r="F2745">
        <v>0</v>
      </c>
      <c r="G2745">
        <v>0</v>
      </c>
      <c r="H2745">
        <v>1.357055874982055</v>
      </c>
      <c r="I2745">
        <v>9830.289741000001</v>
      </c>
      <c r="J2745">
        <v>26.67164922852561</v>
      </c>
      <c r="K2745">
        <v>0.1739815224335968</v>
      </c>
      <c r="L2745">
        <v>1.070887186266071</v>
      </c>
      <c r="M2745">
        <v>275.64</v>
      </c>
      <c r="N2745">
        <v>177.63</v>
      </c>
    </row>
    <row r="2746" spans="1:14">
      <c r="A2746" s="1" t="s">
        <v>2758</v>
      </c>
      <c r="B2746">
        <f>HYPERLINK("https://www.suredividend.com/sure-analysis-research-database/","Tredegar Corp.")</f>
        <v>0</v>
      </c>
      <c r="C2746" t="s">
        <v>3181</v>
      </c>
      <c r="D2746">
        <v>4.5</v>
      </c>
      <c r="E2746">
        <v>0.085082056075826</v>
      </c>
      <c r="F2746">
        <v>0.08333333333333348</v>
      </c>
      <c r="G2746">
        <v>0.03397522653195018</v>
      </c>
      <c r="H2746">
        <v>0.382869252341217</v>
      </c>
      <c r="I2746">
        <v>154.731047</v>
      </c>
      <c r="J2746" t="s">
        <v>3182</v>
      </c>
      <c r="K2746" t="s">
        <v>3182</v>
      </c>
      <c r="L2746">
        <v>0.8432086392978331</v>
      </c>
      <c r="M2746">
        <v>12.08</v>
      </c>
      <c r="N2746">
        <v>4.35</v>
      </c>
    </row>
    <row r="2747" spans="1:14">
      <c r="A2747" s="1" t="s">
        <v>2759</v>
      </c>
      <c r="B2747">
        <f>HYPERLINK("https://www.suredividend.com/sure-analysis-research-database/","Tecogen Inc")</f>
        <v>0</v>
      </c>
      <c r="C2747" t="s">
        <v>3183</v>
      </c>
      <c r="D2747">
        <v>0.9</v>
      </c>
      <c r="E2747">
        <v>0</v>
      </c>
      <c r="F2747" t="s">
        <v>3182</v>
      </c>
      <c r="G2747" t="s">
        <v>3182</v>
      </c>
      <c r="H2747">
        <v>0</v>
      </c>
      <c r="I2747">
        <v>22.365131</v>
      </c>
      <c r="J2747">
        <v>0</v>
      </c>
      <c r="K2747" t="s">
        <v>3182</v>
      </c>
      <c r="M2747">
        <v>1.57</v>
      </c>
      <c r="N2747">
        <v>0.7000000000000001</v>
      </c>
    </row>
    <row r="2748" spans="1:14">
      <c r="A2748" s="1" t="s">
        <v>2760</v>
      </c>
      <c r="B2748">
        <f>HYPERLINK("https://www.suredividend.com/sure-analysis-research-database/","Triumph Group Inc.")</f>
        <v>0</v>
      </c>
      <c r="C2748" t="s">
        <v>3183</v>
      </c>
      <c r="D2748">
        <v>7.89</v>
      </c>
      <c r="E2748">
        <v>0</v>
      </c>
      <c r="F2748" t="s">
        <v>3182</v>
      </c>
      <c r="G2748" t="s">
        <v>3182</v>
      </c>
      <c r="H2748">
        <v>0</v>
      </c>
      <c r="I2748">
        <v>605.267787</v>
      </c>
      <c r="J2748">
        <v>7.401895356478989</v>
      </c>
      <c r="K2748">
        <v>0</v>
      </c>
      <c r="M2748">
        <v>13.33</v>
      </c>
      <c r="N2748">
        <v>7</v>
      </c>
    </row>
    <row r="2749" spans="1:14">
      <c r="A2749" s="1" t="s">
        <v>2761</v>
      </c>
      <c r="B2749">
        <f>HYPERLINK("https://www.suredividend.com/sure-analysis-research-database/","Tecnoglass Inc")</f>
        <v>0</v>
      </c>
      <c r="C2749" t="s">
        <v>3183</v>
      </c>
      <c r="D2749">
        <v>33.6</v>
      </c>
      <c r="E2749">
        <v>0.010233231499214</v>
      </c>
      <c r="F2749" t="s">
        <v>3182</v>
      </c>
      <c r="G2749" t="s">
        <v>3182</v>
      </c>
      <c r="H2749">
        <v>0.343836578373621</v>
      </c>
      <c r="I2749">
        <v>1601.827349</v>
      </c>
      <c r="J2749">
        <v>0</v>
      </c>
      <c r="K2749" t="s">
        <v>3182</v>
      </c>
      <c r="L2749">
        <v>1.412321265649353</v>
      </c>
      <c r="M2749">
        <v>54.25</v>
      </c>
      <c r="N2749">
        <v>23.48</v>
      </c>
    </row>
    <row r="2750" spans="1:14">
      <c r="A2750" s="1" t="s">
        <v>2762</v>
      </c>
      <c r="B2750">
        <f>HYPERLINK("https://www.suredividend.com/sure-analysis-research-database/","TEGNA Inc")</f>
        <v>0</v>
      </c>
      <c r="C2750" t="s">
        <v>3191</v>
      </c>
      <c r="D2750">
        <v>15.11</v>
      </c>
      <c r="E2750">
        <v>0.026146937106919</v>
      </c>
      <c r="F2750">
        <v>0.1973684210526316</v>
      </c>
      <c r="G2750">
        <v>0.1019722877214801</v>
      </c>
      <c r="H2750">
        <v>0.395080219685549</v>
      </c>
      <c r="I2750">
        <v>3044.997496</v>
      </c>
      <c r="J2750">
        <v>4.551062357153319</v>
      </c>
      <c r="K2750">
        <v>0.1316934065618497</v>
      </c>
      <c r="L2750">
        <v>0.443075391977426</v>
      </c>
      <c r="M2750">
        <v>21.88</v>
      </c>
      <c r="N2750">
        <v>13.66</v>
      </c>
    </row>
    <row r="2751" spans="1:14">
      <c r="A2751" s="1" t="s">
        <v>2763</v>
      </c>
      <c r="B2751">
        <f>HYPERLINK("https://www.suredividend.com/sure-analysis-TGT/","Target Corp")</f>
        <v>0</v>
      </c>
      <c r="C2751" t="s">
        <v>3188</v>
      </c>
      <c r="D2751">
        <v>111.07</v>
      </c>
      <c r="E2751">
        <v>0.03961465742324661</v>
      </c>
      <c r="F2751">
        <v>0.0185185185185186</v>
      </c>
      <c r="G2751">
        <v>0.1144036920167593</v>
      </c>
      <c r="H2751">
        <v>4.291428774335585</v>
      </c>
      <c r="I2751">
        <v>51270.518886</v>
      </c>
      <c r="J2751">
        <v>15.20027242409724</v>
      </c>
      <c r="K2751">
        <v>0.5894819744966462</v>
      </c>
      <c r="L2751">
        <v>0.9524454262890051</v>
      </c>
      <c r="M2751">
        <v>177.83</v>
      </c>
      <c r="N2751">
        <v>102.93</v>
      </c>
    </row>
    <row r="2752" spans="1:14">
      <c r="A2752" s="1" t="s">
        <v>2764</v>
      </c>
      <c r="B2752">
        <f>HYPERLINK("https://www.suredividend.com/sure-analysis-research-database/","TG Therapeutics Inc")</f>
        <v>0</v>
      </c>
      <c r="C2752" t="s">
        <v>3180</v>
      </c>
      <c r="D2752">
        <v>10.41</v>
      </c>
      <c r="E2752">
        <v>0</v>
      </c>
      <c r="F2752" t="s">
        <v>3182</v>
      </c>
      <c r="G2752" t="s">
        <v>3182</v>
      </c>
      <c r="H2752">
        <v>0</v>
      </c>
      <c r="I2752">
        <v>1571.676441</v>
      </c>
      <c r="J2752" t="s">
        <v>3182</v>
      </c>
      <c r="K2752">
        <v>-0</v>
      </c>
      <c r="L2752">
        <v>3.326537044373174</v>
      </c>
      <c r="M2752">
        <v>35.67</v>
      </c>
      <c r="N2752">
        <v>5.16</v>
      </c>
    </row>
    <row r="2753" spans="1:14">
      <c r="A2753" s="1" t="s">
        <v>2765</v>
      </c>
      <c r="B2753">
        <f>HYPERLINK("https://www.suredividend.com/sure-analysis-research-database/","Target Hospitality Corp")</f>
        <v>0</v>
      </c>
      <c r="C2753" t="s">
        <v>3189</v>
      </c>
      <c r="D2753">
        <v>14.18</v>
      </c>
      <c r="E2753">
        <v>0</v>
      </c>
      <c r="F2753" t="s">
        <v>3182</v>
      </c>
      <c r="G2753" t="s">
        <v>3182</v>
      </c>
      <c r="H2753">
        <v>0</v>
      </c>
      <c r="I2753">
        <v>1440.632074</v>
      </c>
      <c r="J2753">
        <v>10.22653241297064</v>
      </c>
      <c r="K2753">
        <v>0</v>
      </c>
      <c r="L2753">
        <v>0.185058485803477</v>
      </c>
      <c r="M2753">
        <v>18.48</v>
      </c>
      <c r="N2753">
        <v>10.4</v>
      </c>
    </row>
    <row r="2754" spans="1:14">
      <c r="A2754" s="1" t="s">
        <v>2766</v>
      </c>
      <c r="B2754">
        <f>HYPERLINK("https://www.suredividend.com/sure-analysis-research-database/","Tenet Healthcare Corp.")</f>
        <v>0</v>
      </c>
      <c r="C2754" t="s">
        <v>3180</v>
      </c>
      <c r="D2754">
        <v>53.96</v>
      </c>
      <c r="E2754">
        <v>0</v>
      </c>
      <c r="F2754" t="s">
        <v>3182</v>
      </c>
      <c r="G2754" t="s">
        <v>3182</v>
      </c>
      <c r="H2754">
        <v>0</v>
      </c>
      <c r="I2754">
        <v>5479.74592</v>
      </c>
      <c r="J2754">
        <v>11.68389321961621</v>
      </c>
      <c r="K2754">
        <v>0</v>
      </c>
      <c r="L2754">
        <v>1.445148842453985</v>
      </c>
      <c r="M2754">
        <v>85.40000000000001</v>
      </c>
      <c r="N2754">
        <v>37.96</v>
      </c>
    </row>
    <row r="2755" spans="1:14">
      <c r="A2755" s="1" t="s">
        <v>2767</v>
      </c>
      <c r="B2755">
        <f>HYPERLINK("https://www.suredividend.com/sure-analysis-THFF/","First Financial Corp. - Indiana")</f>
        <v>0</v>
      </c>
      <c r="C2755" t="s">
        <v>3184</v>
      </c>
      <c r="D2755">
        <v>35.09</v>
      </c>
      <c r="E2755">
        <v>0.03077799943003705</v>
      </c>
      <c r="F2755" t="s">
        <v>3182</v>
      </c>
      <c r="G2755" t="s">
        <v>3182</v>
      </c>
      <c r="H2755">
        <v>1.063577498266335</v>
      </c>
      <c r="I2755">
        <v>420.222927</v>
      </c>
      <c r="J2755">
        <v>6.315437964952885</v>
      </c>
      <c r="K2755">
        <v>0.1923286615309828</v>
      </c>
      <c r="L2755">
        <v>0.7000870831928281</v>
      </c>
      <c r="M2755">
        <v>47.81</v>
      </c>
      <c r="N2755">
        <v>30.06</v>
      </c>
    </row>
    <row r="2756" spans="1:14">
      <c r="A2756" s="1" t="s">
        <v>2768</v>
      </c>
      <c r="B2756">
        <f>HYPERLINK("https://www.suredividend.com/sure-analysis-THG/","Hanover Insurance Group Inc")</f>
        <v>0</v>
      </c>
      <c r="C2756" t="s">
        <v>3184</v>
      </c>
      <c r="D2756">
        <v>116.68</v>
      </c>
      <c r="E2756">
        <v>0.02776825505656496</v>
      </c>
      <c r="F2756">
        <v>0.08000000000000007</v>
      </c>
      <c r="G2756">
        <v>0.06185875879493441</v>
      </c>
      <c r="H2756">
        <v>3.205409547409642</v>
      </c>
      <c r="I2756">
        <v>4171.762252</v>
      </c>
      <c r="J2756" t="s">
        <v>3182</v>
      </c>
      <c r="K2756" t="s">
        <v>3182</v>
      </c>
      <c r="L2756">
        <v>0.6445304853104821</v>
      </c>
      <c r="M2756">
        <v>145.68</v>
      </c>
      <c r="N2756">
        <v>103.06</v>
      </c>
    </row>
    <row r="2757" spans="1:14">
      <c r="A2757" s="1" t="s">
        <v>2769</v>
      </c>
      <c r="B2757">
        <f>HYPERLINK("https://www.suredividend.com/sure-analysis-THO/","Thor Industries, Inc.")</f>
        <v>0</v>
      </c>
      <c r="C2757" t="s">
        <v>3186</v>
      </c>
      <c r="D2757">
        <v>92.86</v>
      </c>
      <c r="E2757">
        <v>0.02067628688348051</v>
      </c>
      <c r="F2757">
        <v>0.06666666666666665</v>
      </c>
      <c r="G2757">
        <v>0.0424022162772979</v>
      </c>
      <c r="H2757">
        <v>2.258892060386883</v>
      </c>
      <c r="I2757">
        <v>4947.421917</v>
      </c>
      <c r="J2757">
        <v>13.21882250171667</v>
      </c>
      <c r="K2757">
        <v>0.3250204403434364</v>
      </c>
      <c r="L2757">
        <v>1.342057130102979</v>
      </c>
      <c r="M2757">
        <v>115.66</v>
      </c>
      <c r="N2757">
        <v>72.40000000000001</v>
      </c>
    </row>
    <row r="2758" spans="1:14">
      <c r="A2758" s="1" t="s">
        <v>2770</v>
      </c>
      <c r="B2758">
        <f>HYPERLINK("https://www.suredividend.com/sure-analysis-research-database/","Thermon Group Holdings Inc")</f>
        <v>0</v>
      </c>
      <c r="C2758" t="s">
        <v>3183</v>
      </c>
      <c r="D2758">
        <v>28.95</v>
      </c>
      <c r="E2758">
        <v>0</v>
      </c>
      <c r="F2758" t="s">
        <v>3182</v>
      </c>
      <c r="G2758" t="s">
        <v>3182</v>
      </c>
      <c r="H2758">
        <v>0</v>
      </c>
      <c r="I2758">
        <v>975.244701</v>
      </c>
      <c r="J2758">
        <v>25.63195701613751</v>
      </c>
      <c r="K2758">
        <v>0</v>
      </c>
      <c r="L2758">
        <v>0.9273792266739871</v>
      </c>
      <c r="M2758">
        <v>29.17</v>
      </c>
      <c r="N2758">
        <v>17.35</v>
      </c>
    </row>
    <row r="2759" spans="1:14">
      <c r="A2759" s="1" t="s">
        <v>2771</v>
      </c>
      <c r="B2759">
        <f>HYPERLINK("https://www.suredividend.com/sure-analysis-research-database/","Gentherm Inc")</f>
        <v>0</v>
      </c>
      <c r="C2759" t="s">
        <v>3186</v>
      </c>
      <c r="D2759">
        <v>42.88</v>
      </c>
      <c r="E2759">
        <v>0</v>
      </c>
      <c r="F2759" t="s">
        <v>3182</v>
      </c>
      <c r="G2759" t="s">
        <v>3182</v>
      </c>
      <c r="H2759">
        <v>0</v>
      </c>
      <c r="I2759">
        <v>1406.305215</v>
      </c>
      <c r="J2759">
        <v>77.90733008475986</v>
      </c>
      <c r="K2759">
        <v>0</v>
      </c>
      <c r="L2759">
        <v>1.346886735571655</v>
      </c>
      <c r="M2759">
        <v>76.13</v>
      </c>
      <c r="N2759">
        <v>38.21</v>
      </c>
    </row>
    <row r="2760" spans="1:14">
      <c r="A2760" s="1" t="s">
        <v>2772</v>
      </c>
      <c r="B2760">
        <f>HYPERLINK("https://www.suredividend.com/sure-analysis-research-database/","Treehouse Foods Inc")</f>
        <v>0</v>
      </c>
      <c r="C2760" t="s">
        <v>3188</v>
      </c>
      <c r="D2760">
        <v>42.19</v>
      </c>
      <c r="E2760">
        <v>0</v>
      </c>
      <c r="F2760" t="s">
        <v>3182</v>
      </c>
      <c r="G2760" t="s">
        <v>3182</v>
      </c>
      <c r="H2760">
        <v>0</v>
      </c>
      <c r="I2760">
        <v>2378.609928</v>
      </c>
      <c r="J2760" t="s">
        <v>3182</v>
      </c>
      <c r="K2760">
        <v>-0</v>
      </c>
      <c r="L2760">
        <v>0.298857473844883</v>
      </c>
      <c r="M2760">
        <v>55.3</v>
      </c>
      <c r="N2760">
        <v>38.18</v>
      </c>
    </row>
    <row r="2761" spans="1:14">
      <c r="A2761" s="1" t="s">
        <v>2773</v>
      </c>
      <c r="B2761">
        <f>HYPERLINK("https://www.suredividend.com/sure-analysis-research-database/","Tiffany &amp; Co.")</f>
        <v>0</v>
      </c>
      <c r="C2761" t="s">
        <v>3186</v>
      </c>
      <c r="D2761">
        <v>131.46</v>
      </c>
      <c r="E2761">
        <v>0.017524473752942</v>
      </c>
      <c r="F2761" t="s">
        <v>3182</v>
      </c>
      <c r="G2761" t="s">
        <v>3182</v>
      </c>
      <c r="H2761">
        <v>2.303767319561764</v>
      </c>
      <c r="I2761">
        <v>15960.711882</v>
      </c>
      <c r="J2761">
        <v>55.5155195908174</v>
      </c>
      <c r="K2761">
        <v>0.9761725930346458</v>
      </c>
      <c r="L2761">
        <v>0.243947514158117</v>
      </c>
      <c r="M2761">
        <v>131.77</v>
      </c>
      <c r="N2761">
        <v>109.07</v>
      </c>
    </row>
    <row r="2762" spans="1:14">
      <c r="A2762" s="1" t="s">
        <v>2774</v>
      </c>
      <c r="B2762">
        <f>HYPERLINK("https://www.suredividend.com/sure-analysis-research-database/","Interface Inc.")</f>
        <v>0</v>
      </c>
      <c r="C2762" t="s">
        <v>3186</v>
      </c>
      <c r="D2762">
        <v>9.42</v>
      </c>
      <c r="E2762">
        <v>0.004232613505869</v>
      </c>
      <c r="F2762">
        <v>0</v>
      </c>
      <c r="G2762">
        <v>-0.312271014707454</v>
      </c>
      <c r="H2762">
        <v>0.039871219225291</v>
      </c>
      <c r="I2762">
        <v>547.367705</v>
      </c>
      <c r="J2762">
        <v>113.7978595634096</v>
      </c>
      <c r="K2762">
        <v>0.483287505761103</v>
      </c>
      <c r="L2762">
        <v>1.233294842750324</v>
      </c>
      <c r="M2762">
        <v>12.22</v>
      </c>
      <c r="N2762">
        <v>6.48</v>
      </c>
    </row>
    <row r="2763" spans="1:14">
      <c r="A2763" s="1" t="s">
        <v>2775</v>
      </c>
      <c r="B2763">
        <f>HYPERLINK("https://www.suredividend.com/sure-analysis-research-database/","Tiptree Inc")</f>
        <v>0</v>
      </c>
      <c r="C2763" t="s">
        <v>3184</v>
      </c>
      <c r="D2763">
        <v>17.03</v>
      </c>
      <c r="E2763">
        <v>0.01108399508444</v>
      </c>
      <c r="F2763">
        <v>0.25</v>
      </c>
      <c r="G2763">
        <v>0.07394092378577932</v>
      </c>
      <c r="H2763">
        <v>0.188760436288018</v>
      </c>
      <c r="I2763">
        <v>625.848549</v>
      </c>
      <c r="J2763">
        <v>0</v>
      </c>
      <c r="K2763" t="s">
        <v>3182</v>
      </c>
      <c r="L2763">
        <v>0.543988875490044</v>
      </c>
      <c r="M2763">
        <v>18</v>
      </c>
      <c r="N2763">
        <v>11.81</v>
      </c>
    </row>
    <row r="2764" spans="1:14">
      <c r="A2764" s="1" t="s">
        <v>2776</v>
      </c>
      <c r="B2764">
        <f>HYPERLINK("https://www.suredividend.com/sure-analysis-research-database/","Team, Inc.")</f>
        <v>0</v>
      </c>
      <c r="C2764" t="s">
        <v>3183</v>
      </c>
      <c r="D2764">
        <v>8</v>
      </c>
      <c r="E2764">
        <v>0</v>
      </c>
      <c r="F2764" t="s">
        <v>3182</v>
      </c>
      <c r="G2764" t="s">
        <v>3182</v>
      </c>
      <c r="H2764">
        <v>0</v>
      </c>
      <c r="I2764">
        <v>34.947376</v>
      </c>
      <c r="J2764">
        <v>0.4178858529935781</v>
      </c>
      <c r="K2764">
        <v>0</v>
      </c>
      <c r="L2764">
        <v>1.129524016669896</v>
      </c>
      <c r="M2764">
        <v>11.25</v>
      </c>
      <c r="N2764">
        <v>3.53</v>
      </c>
    </row>
    <row r="2765" spans="1:14">
      <c r="A2765" s="1" t="s">
        <v>2777</v>
      </c>
      <c r="B2765">
        <f>HYPERLINK("https://www.suredividend.com/sure-analysis-research-database/","Titan Machinery Inc")</f>
        <v>0</v>
      </c>
      <c r="C2765" t="s">
        <v>3183</v>
      </c>
      <c r="D2765">
        <v>25.86</v>
      </c>
      <c r="E2765">
        <v>0</v>
      </c>
      <c r="F2765" t="s">
        <v>3182</v>
      </c>
      <c r="G2765" t="s">
        <v>3182</v>
      </c>
      <c r="H2765">
        <v>0</v>
      </c>
      <c r="I2765">
        <v>591.2607379999999</v>
      </c>
      <c r="J2765">
        <v>5.089791664170239</v>
      </c>
      <c r="K2765">
        <v>0</v>
      </c>
      <c r="L2765">
        <v>1.138503855943507</v>
      </c>
      <c r="M2765">
        <v>47.87</v>
      </c>
      <c r="N2765">
        <v>23.04</v>
      </c>
    </row>
    <row r="2766" spans="1:14">
      <c r="A2766" s="1" t="s">
        <v>2778</v>
      </c>
      <c r="B2766">
        <f>HYPERLINK("https://www.suredividend.com/sure-analysis-TJX/","TJX Companies, Inc.")</f>
        <v>0</v>
      </c>
      <c r="C2766" t="s">
        <v>3186</v>
      </c>
      <c r="D2766">
        <v>89.92</v>
      </c>
      <c r="E2766">
        <v>0.01479092526690392</v>
      </c>
      <c r="F2766" t="s">
        <v>3182</v>
      </c>
      <c r="G2766" t="s">
        <v>3182</v>
      </c>
      <c r="H2766">
        <v>1.247889475699541</v>
      </c>
      <c r="I2766">
        <v>102875.723416</v>
      </c>
      <c r="J2766">
        <v>25.84046502103016</v>
      </c>
      <c r="K2766">
        <v>0.3659499928737656</v>
      </c>
      <c r="L2766">
        <v>0.632344254785658</v>
      </c>
      <c r="M2766">
        <v>93.78</v>
      </c>
      <c r="N2766">
        <v>68.95999999999999</v>
      </c>
    </row>
    <row r="2767" spans="1:14">
      <c r="A2767" s="1" t="s">
        <v>2779</v>
      </c>
      <c r="B2767">
        <f>HYPERLINK("https://www.suredividend.com/sure-analysis-TKR/","Timken Co.")</f>
        <v>0</v>
      </c>
      <c r="C2767" t="s">
        <v>3183</v>
      </c>
      <c r="D2767">
        <v>70.94</v>
      </c>
      <c r="E2767">
        <v>0.01860727375246687</v>
      </c>
      <c r="F2767">
        <v>0.06451612903225823</v>
      </c>
      <c r="G2767">
        <v>0.03340648293877924</v>
      </c>
      <c r="H2767">
        <v>1.272053028474772</v>
      </c>
      <c r="I2767">
        <v>5039.650172</v>
      </c>
      <c r="J2767">
        <v>11.6739637980542</v>
      </c>
      <c r="K2767">
        <v>0.2163355490603354</v>
      </c>
      <c r="L2767">
        <v>1.256842163393958</v>
      </c>
      <c r="M2767">
        <v>94.67</v>
      </c>
      <c r="N2767">
        <v>65.70999999999999</v>
      </c>
    </row>
    <row r="2768" spans="1:14">
      <c r="A2768" s="1" t="s">
        <v>2780</v>
      </c>
      <c r="B2768">
        <f>HYPERLINK("https://www.suredividend.com/sure-analysis-research-database/","Tandy Leather Factory Inc")</f>
        <v>0</v>
      </c>
      <c r="C2768" t="s">
        <v>3186</v>
      </c>
      <c r="D2768">
        <v>4.2</v>
      </c>
      <c r="E2768">
        <v>0</v>
      </c>
      <c r="F2768" t="s">
        <v>3182</v>
      </c>
      <c r="G2768" t="s">
        <v>3182</v>
      </c>
      <c r="H2768">
        <v>0</v>
      </c>
      <c r="I2768">
        <v>34.981162</v>
      </c>
      <c r="J2768">
        <v>0</v>
      </c>
      <c r="K2768" t="s">
        <v>3182</v>
      </c>
      <c r="M2768">
        <v>5.05</v>
      </c>
      <c r="N2768">
        <v>3.75</v>
      </c>
    </row>
    <row r="2769" spans="1:14">
      <c r="A2769" s="1" t="s">
        <v>2781</v>
      </c>
      <c r="B2769">
        <f>HYPERLINK("https://www.suredividend.com/sure-analysis-research-database/","Teligent Inc")</f>
        <v>0</v>
      </c>
      <c r="C2769" t="s">
        <v>3180</v>
      </c>
      <c r="D2769">
        <v>0.1735</v>
      </c>
      <c r="E2769">
        <v>0</v>
      </c>
      <c r="F2769" t="s">
        <v>3182</v>
      </c>
      <c r="G2769" t="s">
        <v>3182</v>
      </c>
      <c r="H2769">
        <v>0</v>
      </c>
      <c r="I2769">
        <v>0</v>
      </c>
      <c r="J2769">
        <v>0</v>
      </c>
      <c r="K2769" t="s">
        <v>3182</v>
      </c>
    </row>
    <row r="2770" spans="1:14">
      <c r="A2770" s="1" t="s">
        <v>2782</v>
      </c>
      <c r="B2770">
        <f>HYPERLINK("https://www.suredividend.com/sure-analysis-research-database/","Tillys Inc")</f>
        <v>0</v>
      </c>
      <c r="C2770" t="s">
        <v>3186</v>
      </c>
      <c r="D2770">
        <v>8.18</v>
      </c>
      <c r="E2770">
        <v>0</v>
      </c>
      <c r="F2770" t="s">
        <v>3182</v>
      </c>
      <c r="G2770" t="s">
        <v>3182</v>
      </c>
      <c r="H2770">
        <v>0</v>
      </c>
      <c r="I2770">
        <v>185.310702</v>
      </c>
      <c r="J2770" t="s">
        <v>3182</v>
      </c>
      <c r="K2770">
        <v>-0</v>
      </c>
      <c r="L2770">
        <v>0.9699151340355361</v>
      </c>
      <c r="M2770">
        <v>10.35</v>
      </c>
      <c r="N2770">
        <v>6.05</v>
      </c>
    </row>
    <row r="2771" spans="1:14">
      <c r="A2771" s="1" t="s">
        <v>2783</v>
      </c>
      <c r="B2771">
        <f>HYPERLINK("https://www.suredividend.com/sure-analysis-research-database/","Transmedics Group Inc")</f>
        <v>0</v>
      </c>
      <c r="C2771" t="s">
        <v>3180</v>
      </c>
      <c r="D2771">
        <v>39.59</v>
      </c>
      <c r="E2771">
        <v>0</v>
      </c>
      <c r="F2771" t="s">
        <v>3182</v>
      </c>
      <c r="G2771" t="s">
        <v>3182</v>
      </c>
      <c r="H2771">
        <v>0</v>
      </c>
      <c r="I2771">
        <v>1290.634</v>
      </c>
      <c r="J2771" t="s">
        <v>3182</v>
      </c>
      <c r="K2771">
        <v>-0</v>
      </c>
      <c r="L2771">
        <v>1.421880695791528</v>
      </c>
      <c r="M2771">
        <v>99.63</v>
      </c>
      <c r="N2771">
        <v>36.42</v>
      </c>
    </row>
    <row r="2772" spans="1:14">
      <c r="A2772" s="1" t="s">
        <v>2784</v>
      </c>
      <c r="B2772">
        <f>HYPERLINK("https://www.suredividend.com/sure-analysis-research-database/","Taylor Morrison Home Corp.")</f>
        <v>0</v>
      </c>
      <c r="C2772" t="s">
        <v>3186</v>
      </c>
      <c r="D2772">
        <v>41.74</v>
      </c>
      <c r="E2772">
        <v>0</v>
      </c>
      <c r="F2772" t="s">
        <v>3182</v>
      </c>
      <c r="G2772" t="s">
        <v>3182</v>
      </c>
      <c r="H2772">
        <v>0</v>
      </c>
      <c r="I2772">
        <v>4484.901934</v>
      </c>
      <c r="J2772">
        <v>5.145153795141538</v>
      </c>
      <c r="K2772">
        <v>0</v>
      </c>
      <c r="L2772">
        <v>1.38564628447374</v>
      </c>
      <c r="M2772">
        <v>52.09</v>
      </c>
      <c r="N2772">
        <v>25.12</v>
      </c>
    </row>
    <row r="2773" spans="1:14">
      <c r="A2773" s="1" t="s">
        <v>2785</v>
      </c>
      <c r="B2773">
        <f>HYPERLINK("https://www.suredividend.com/sure-analysis-TMO/","Thermo Fisher Scientific Inc.")</f>
        <v>0</v>
      </c>
      <c r="C2773" t="s">
        <v>3180</v>
      </c>
      <c r="D2773">
        <v>447.57</v>
      </c>
      <c r="E2773">
        <v>0.003128002323658869</v>
      </c>
      <c r="F2773">
        <v>0.1666666666666665</v>
      </c>
      <c r="G2773">
        <v>0.1553772840444183</v>
      </c>
      <c r="H2773">
        <v>1.348689167845524</v>
      </c>
      <c r="I2773">
        <v>172739.539902</v>
      </c>
      <c r="J2773">
        <v>30.19394160140011</v>
      </c>
      <c r="K2773">
        <v>0.09212357703862868</v>
      </c>
      <c r="L2773">
        <v>0.9594100726014141</v>
      </c>
      <c r="M2773">
        <v>608.63</v>
      </c>
      <c r="N2773">
        <v>415.6</v>
      </c>
    </row>
    <row r="2774" spans="1:14">
      <c r="A2774" s="1" t="s">
        <v>2786</v>
      </c>
      <c r="B2774">
        <f>HYPERLINK("https://www.suredividend.com/sure-analysis-TMP/","Tompkins Financial Corp")</f>
        <v>0</v>
      </c>
      <c r="C2774" t="s">
        <v>3184</v>
      </c>
      <c r="D2774">
        <v>52.25</v>
      </c>
      <c r="E2774">
        <v>0.04593301435406699</v>
      </c>
      <c r="F2774">
        <v>0.05263157894736836</v>
      </c>
      <c r="G2774">
        <v>0.03713728933664817</v>
      </c>
      <c r="H2774">
        <v>2.334893604152763</v>
      </c>
      <c r="I2774">
        <v>750.478977</v>
      </c>
      <c r="J2774">
        <v>10.93817283671714</v>
      </c>
      <c r="K2774">
        <v>0.4894955144974347</v>
      </c>
      <c r="L2774">
        <v>0.930891470516032</v>
      </c>
      <c r="M2774">
        <v>80.91</v>
      </c>
      <c r="N2774">
        <v>46.69</v>
      </c>
    </row>
    <row r="2775" spans="1:14">
      <c r="A2775" s="1" t="s">
        <v>2787</v>
      </c>
      <c r="B2775">
        <f>HYPERLINK("https://www.suredividend.com/sure-analysis-research-database/","TimkenSteel Corp")</f>
        <v>0</v>
      </c>
      <c r="C2775" t="s">
        <v>3181</v>
      </c>
      <c r="D2775">
        <v>21.07</v>
      </c>
      <c r="E2775">
        <v>0</v>
      </c>
      <c r="F2775" t="s">
        <v>3182</v>
      </c>
      <c r="G2775" t="s">
        <v>3182</v>
      </c>
      <c r="H2775">
        <v>0</v>
      </c>
      <c r="I2775">
        <v>915.593942</v>
      </c>
      <c r="J2775" t="s">
        <v>3182</v>
      </c>
      <c r="K2775">
        <v>-0</v>
      </c>
      <c r="L2775">
        <v>1.498983112034628</v>
      </c>
      <c r="M2775">
        <v>23.49</v>
      </c>
      <c r="N2775">
        <v>15.51</v>
      </c>
    </row>
    <row r="2776" spans="1:14">
      <c r="A2776" s="1" t="s">
        <v>2788</v>
      </c>
      <c r="B2776">
        <f>HYPERLINK("https://www.suredividend.com/sure-analysis-research-database/","T-Mobile US Inc")</f>
        <v>0</v>
      </c>
      <c r="C2776" t="s">
        <v>3191</v>
      </c>
      <c r="D2776">
        <v>146.5</v>
      </c>
      <c r="E2776">
        <v>0</v>
      </c>
      <c r="F2776" t="s">
        <v>3182</v>
      </c>
      <c r="G2776" t="s">
        <v>3182</v>
      </c>
      <c r="H2776">
        <v>0</v>
      </c>
      <c r="I2776">
        <v>169423.59629</v>
      </c>
      <c r="J2776">
        <v>21.77681186246786</v>
      </c>
      <c r="K2776">
        <v>0</v>
      </c>
      <c r="L2776">
        <v>0.356231539285033</v>
      </c>
      <c r="M2776">
        <v>153.36</v>
      </c>
      <c r="N2776">
        <v>124.92</v>
      </c>
    </row>
    <row r="2777" spans="1:14">
      <c r="A2777" s="1" t="s">
        <v>2789</v>
      </c>
      <c r="B2777">
        <f>HYPERLINK("https://www.suredividend.com/sure-analysis-research-database/","Telenav Inc")</f>
        <v>0</v>
      </c>
      <c r="C2777" t="s">
        <v>3185</v>
      </c>
      <c r="D2777">
        <v>4.79</v>
      </c>
      <c r="E2777">
        <v>0</v>
      </c>
      <c r="F2777" t="s">
        <v>3182</v>
      </c>
      <c r="G2777" t="s">
        <v>3182</v>
      </c>
      <c r="H2777">
        <v>0</v>
      </c>
      <c r="I2777">
        <v>0</v>
      </c>
      <c r="J2777">
        <v>0</v>
      </c>
      <c r="K2777">
        <v>-0</v>
      </c>
    </row>
    <row r="2778" spans="1:14">
      <c r="A2778" s="1" t="s">
        <v>2790</v>
      </c>
      <c r="B2778">
        <f>HYPERLINK("https://www.suredividend.com/sure-analysis-TNC/","Tennant Co.")</f>
        <v>0</v>
      </c>
      <c r="C2778" t="s">
        <v>3183</v>
      </c>
      <c r="D2778">
        <v>80.77</v>
      </c>
      <c r="E2778">
        <v>0.01386653460443234</v>
      </c>
      <c r="F2778">
        <v>0.06000000000000005</v>
      </c>
      <c r="G2778">
        <v>0.03792181163298758</v>
      </c>
      <c r="H2778">
        <v>1.054605634997766</v>
      </c>
      <c r="I2778">
        <v>1508.801208</v>
      </c>
      <c r="J2778">
        <v>14.74878991065494</v>
      </c>
      <c r="K2778">
        <v>0.193151215201056</v>
      </c>
      <c r="L2778">
        <v>0.9692857431346341</v>
      </c>
      <c r="M2778">
        <v>87.25</v>
      </c>
      <c r="N2778">
        <v>57.98</v>
      </c>
    </row>
    <row r="2779" spans="1:14">
      <c r="A2779" s="1" t="s">
        <v>2791</v>
      </c>
      <c r="B2779">
        <f>HYPERLINK("https://www.suredividend.com/sure-analysis-research-database/","Tandem Diabetes Care Inc")</f>
        <v>0</v>
      </c>
      <c r="C2779" t="s">
        <v>3180</v>
      </c>
      <c r="D2779">
        <v>15.2</v>
      </c>
      <c r="E2779">
        <v>0</v>
      </c>
      <c r="F2779" t="s">
        <v>3182</v>
      </c>
      <c r="G2779" t="s">
        <v>3182</v>
      </c>
      <c r="H2779">
        <v>0</v>
      </c>
      <c r="I2779">
        <v>989.181116</v>
      </c>
      <c r="J2779" t="s">
        <v>3182</v>
      </c>
      <c r="K2779">
        <v>-0</v>
      </c>
      <c r="L2779">
        <v>0.9032403597162071</v>
      </c>
      <c r="M2779">
        <v>47.18</v>
      </c>
      <c r="N2779">
        <v>14.43</v>
      </c>
    </row>
    <row r="2780" spans="1:14">
      <c r="A2780" s="1" t="s">
        <v>2792</v>
      </c>
      <c r="B2780">
        <f>HYPERLINK("https://www.suredividend.com/sure-analysis-research-database/","TriNet Group Inc")</f>
        <v>0</v>
      </c>
      <c r="C2780" t="s">
        <v>3183</v>
      </c>
      <c r="D2780">
        <v>102.91</v>
      </c>
      <c r="E2780">
        <v>0</v>
      </c>
      <c r="F2780" t="s">
        <v>3182</v>
      </c>
      <c r="G2780" t="s">
        <v>3182</v>
      </c>
      <c r="H2780">
        <v>0</v>
      </c>
      <c r="I2780">
        <v>5197.807404</v>
      </c>
      <c r="J2780">
        <v>14.64171099585916</v>
      </c>
      <c r="K2780">
        <v>0</v>
      </c>
      <c r="L2780">
        <v>0.8829393615602851</v>
      </c>
      <c r="M2780">
        <v>121.6</v>
      </c>
      <c r="N2780">
        <v>60.61</v>
      </c>
    </row>
    <row r="2781" spans="1:14">
      <c r="A2781" s="1" t="s">
        <v>2793</v>
      </c>
      <c r="B2781">
        <f>HYPERLINK("https://www.suredividend.com/sure-analysis-research-database/","Tonix Pharmaceuticals Holding Corp")</f>
        <v>0</v>
      </c>
      <c r="C2781" t="s">
        <v>3180</v>
      </c>
      <c r="D2781">
        <v>0.5</v>
      </c>
      <c r="E2781">
        <v>0</v>
      </c>
      <c r="F2781" t="s">
        <v>3182</v>
      </c>
      <c r="G2781" t="s">
        <v>3182</v>
      </c>
      <c r="H2781">
        <v>0</v>
      </c>
      <c r="I2781">
        <v>8.881171</v>
      </c>
      <c r="J2781">
        <v>0</v>
      </c>
      <c r="K2781" t="s">
        <v>3182</v>
      </c>
      <c r="L2781">
        <v>1.008856381373046</v>
      </c>
      <c r="M2781">
        <v>9.81</v>
      </c>
      <c r="N2781">
        <v>0.462</v>
      </c>
    </row>
    <row r="2782" spans="1:14">
      <c r="A2782" s="1" t="s">
        <v>2794</v>
      </c>
      <c r="B2782">
        <f>HYPERLINK("https://www.suredividend.com/sure-analysis-research-database/","Toll Brothers Inc.")</f>
        <v>0</v>
      </c>
      <c r="C2782" t="s">
        <v>3186</v>
      </c>
      <c r="D2782">
        <v>77.93000000000001</v>
      </c>
      <c r="E2782">
        <v>0.010604040355452</v>
      </c>
      <c r="F2782">
        <v>0.04999999999999982</v>
      </c>
      <c r="G2782">
        <v>0.1380604263098537</v>
      </c>
      <c r="H2782">
        <v>0.826372864900432</v>
      </c>
      <c r="I2782">
        <v>8375.838470000001</v>
      </c>
      <c r="J2782">
        <v>5.344900435270643</v>
      </c>
      <c r="K2782">
        <v>0.05923819820074782</v>
      </c>
      <c r="L2782">
        <v>1.227935496136428</v>
      </c>
      <c r="M2782">
        <v>84.31999999999999</v>
      </c>
      <c r="N2782">
        <v>41.01</v>
      </c>
    </row>
    <row r="2783" spans="1:14">
      <c r="A2783" s="1" t="s">
        <v>2795</v>
      </c>
      <c r="B2783">
        <f>HYPERLINK("https://www.suredividend.com/sure-analysis-research-database/","Townebank Portsmouth VA")</f>
        <v>0</v>
      </c>
      <c r="C2783" t="s">
        <v>3184</v>
      </c>
      <c r="D2783">
        <v>25.2</v>
      </c>
      <c r="E2783">
        <v>0.037030188089699</v>
      </c>
      <c r="F2783">
        <v>0.08695652173913038</v>
      </c>
      <c r="G2783">
        <v>0.09336207394327811</v>
      </c>
      <c r="H2783">
        <v>0.9331607398604391</v>
      </c>
      <c r="I2783">
        <v>1302.302408</v>
      </c>
      <c r="J2783">
        <v>0</v>
      </c>
      <c r="K2783" t="s">
        <v>3182</v>
      </c>
      <c r="L2783">
        <v>0.9165063227180981</v>
      </c>
      <c r="M2783">
        <v>31.35</v>
      </c>
      <c r="N2783">
        <v>20.32</v>
      </c>
    </row>
    <row r="2784" spans="1:14">
      <c r="A2784" s="1" t="s">
        <v>2796</v>
      </c>
      <c r="B2784">
        <f>HYPERLINK("https://www.suredividend.com/sure-analysis-research-database/","Turning Point Brands Inc")</f>
        <v>0</v>
      </c>
      <c r="C2784" t="s">
        <v>3188</v>
      </c>
      <c r="D2784">
        <v>20.6</v>
      </c>
      <c r="E2784">
        <v>0.012327789402855</v>
      </c>
      <c r="F2784">
        <v>0.08333333333333348</v>
      </c>
      <c r="G2784">
        <v>0.07631692251481081</v>
      </c>
      <c r="H2784">
        <v>0.253952461698825</v>
      </c>
      <c r="I2784">
        <v>362.468927</v>
      </c>
      <c r="J2784">
        <v>0</v>
      </c>
      <c r="K2784" t="s">
        <v>3182</v>
      </c>
      <c r="L2784">
        <v>0.5964206248570311</v>
      </c>
      <c r="M2784">
        <v>26.24</v>
      </c>
      <c r="N2784">
        <v>18.8</v>
      </c>
    </row>
    <row r="2785" spans="1:14">
      <c r="A2785" s="1" t="s">
        <v>2797</v>
      </c>
      <c r="B2785">
        <f>HYPERLINK("https://www.suredividend.com/sure-analysis-research-database/","Tutor Perini Corp")</f>
        <v>0</v>
      </c>
      <c r="C2785" t="s">
        <v>3183</v>
      </c>
      <c r="D2785">
        <v>7.13</v>
      </c>
      <c r="E2785">
        <v>0</v>
      </c>
      <c r="F2785" t="s">
        <v>3182</v>
      </c>
      <c r="G2785" t="s">
        <v>3182</v>
      </c>
      <c r="H2785">
        <v>0</v>
      </c>
      <c r="I2785">
        <v>370.587347</v>
      </c>
      <c r="J2785" t="s">
        <v>3182</v>
      </c>
      <c r="K2785">
        <v>-0</v>
      </c>
      <c r="L2785">
        <v>1.227083644539518</v>
      </c>
      <c r="M2785">
        <v>9.6</v>
      </c>
      <c r="N2785">
        <v>4.9</v>
      </c>
    </row>
    <row r="2786" spans="1:14">
      <c r="A2786" s="1" t="s">
        <v>2798</v>
      </c>
      <c r="B2786">
        <f>HYPERLINK("https://www.suredividend.com/sure-analysis-research-database/","Tribune Publishing Co")</f>
        <v>0</v>
      </c>
      <c r="C2786" t="s">
        <v>3191</v>
      </c>
      <c r="D2786">
        <v>17.26</v>
      </c>
      <c r="E2786">
        <v>0</v>
      </c>
      <c r="F2786" t="s">
        <v>3182</v>
      </c>
      <c r="G2786" t="s">
        <v>3182</v>
      </c>
      <c r="H2786">
        <v>0</v>
      </c>
      <c r="I2786">
        <v>0</v>
      </c>
      <c r="J2786">
        <v>0</v>
      </c>
      <c r="K2786">
        <v>0</v>
      </c>
    </row>
    <row r="2787" spans="1:14">
      <c r="A2787" s="1" t="s">
        <v>2799</v>
      </c>
      <c r="B2787">
        <f>HYPERLINK("https://www.suredividend.com/sure-analysis-research-database/","Tri Pointe Homes Inc.")</f>
        <v>0</v>
      </c>
      <c r="C2787" t="s">
        <v>3186</v>
      </c>
      <c r="D2787">
        <v>26.96</v>
      </c>
      <c r="E2787">
        <v>0</v>
      </c>
      <c r="F2787" t="s">
        <v>3182</v>
      </c>
      <c r="G2787" t="s">
        <v>3182</v>
      </c>
      <c r="H2787">
        <v>0</v>
      </c>
      <c r="I2787">
        <v>2616.526099</v>
      </c>
      <c r="J2787">
        <v>6.322539571477935</v>
      </c>
      <c r="K2787">
        <v>0</v>
      </c>
      <c r="L2787">
        <v>1.322630258766192</v>
      </c>
      <c r="M2787">
        <v>34.04</v>
      </c>
      <c r="N2787">
        <v>16.18</v>
      </c>
    </row>
    <row r="2788" spans="1:14">
      <c r="A2788" s="1" t="s">
        <v>2800</v>
      </c>
      <c r="B2788">
        <f>HYPERLINK("https://www.suredividend.com/sure-analysis-research-database/","Trinity Place Holdings Inc")</f>
        <v>0</v>
      </c>
      <c r="C2788" t="s">
        <v>3187</v>
      </c>
      <c r="D2788">
        <v>0.43</v>
      </c>
      <c r="E2788">
        <v>0</v>
      </c>
      <c r="F2788" t="s">
        <v>3182</v>
      </c>
      <c r="G2788" t="s">
        <v>3182</v>
      </c>
      <c r="H2788">
        <v>0</v>
      </c>
      <c r="I2788">
        <v>16.384634</v>
      </c>
      <c r="J2788">
        <v>0</v>
      </c>
      <c r="K2788" t="s">
        <v>3182</v>
      </c>
      <c r="L2788">
        <v>1.134091965403779</v>
      </c>
      <c r="M2788">
        <v>0.98</v>
      </c>
      <c r="N2788">
        <v>0.28</v>
      </c>
    </row>
    <row r="2789" spans="1:14">
      <c r="A2789" s="1" t="s">
        <v>2801</v>
      </c>
      <c r="B2789">
        <f>HYPERLINK("https://www.suredividend.com/sure-analysis-research-database/","TPI Composites Inc")</f>
        <v>0</v>
      </c>
      <c r="C2789" t="s">
        <v>3183</v>
      </c>
      <c r="D2789">
        <v>2.4</v>
      </c>
      <c r="E2789">
        <v>0</v>
      </c>
      <c r="F2789" t="s">
        <v>3182</v>
      </c>
      <c r="G2789" t="s">
        <v>3182</v>
      </c>
      <c r="H2789">
        <v>0</v>
      </c>
      <c r="I2789">
        <v>102.165329</v>
      </c>
      <c r="J2789" t="s">
        <v>3182</v>
      </c>
      <c r="K2789">
        <v>-0</v>
      </c>
      <c r="L2789">
        <v>2.908824248298146</v>
      </c>
      <c r="M2789">
        <v>14.8</v>
      </c>
      <c r="N2789">
        <v>1.9</v>
      </c>
    </row>
    <row r="2790" spans="1:14">
      <c r="A2790" s="1" t="s">
        <v>2802</v>
      </c>
      <c r="B2790">
        <f>HYPERLINK("https://www.suredividend.com/sure-analysis-TPR/","Tapestry Inc")</f>
        <v>0</v>
      </c>
      <c r="C2790" t="s">
        <v>3186</v>
      </c>
      <c r="D2790">
        <v>27.33</v>
      </c>
      <c r="E2790">
        <v>0.05049396267837541</v>
      </c>
      <c r="F2790" t="s">
        <v>3182</v>
      </c>
      <c r="G2790" t="s">
        <v>3182</v>
      </c>
      <c r="H2790">
        <v>1.234174515782978</v>
      </c>
      <c r="I2790">
        <v>6215.914019</v>
      </c>
      <c r="J2790">
        <v>6.640933781249999</v>
      </c>
      <c r="K2790">
        <v>0.318086215407984</v>
      </c>
      <c r="L2790">
        <v>1.093467557303388</v>
      </c>
      <c r="M2790">
        <v>46.32</v>
      </c>
      <c r="N2790">
        <v>25.99</v>
      </c>
    </row>
    <row r="2791" spans="1:14">
      <c r="A2791" s="1" t="s">
        <v>2803</v>
      </c>
      <c r="B2791">
        <f>HYPERLINK("https://www.suredividend.com/sure-analysis-research-database/","Turning Point Therapeutics Inc")</f>
        <v>0</v>
      </c>
      <c r="C2791" t="s">
        <v>3180</v>
      </c>
      <c r="D2791">
        <v>76.01000000000001</v>
      </c>
      <c r="E2791">
        <v>0</v>
      </c>
      <c r="F2791" t="s">
        <v>3182</v>
      </c>
      <c r="G2791" t="s">
        <v>3182</v>
      </c>
      <c r="H2791">
        <v>0</v>
      </c>
      <c r="I2791">
        <v>0</v>
      </c>
      <c r="J2791">
        <v>0</v>
      </c>
      <c r="K2791" t="s">
        <v>3182</v>
      </c>
    </row>
    <row r="2792" spans="1:14">
      <c r="A2792" s="1" t="s">
        <v>2804</v>
      </c>
      <c r="B2792">
        <f>HYPERLINK("https://www.suredividend.com/sure-analysis-research-database/","Tempur Sealy International Inc")</f>
        <v>0</v>
      </c>
      <c r="C2792" t="s">
        <v>3186</v>
      </c>
      <c r="D2792">
        <v>36.8</v>
      </c>
      <c r="E2792">
        <v>0.011639774420962</v>
      </c>
      <c r="F2792" t="s">
        <v>3182</v>
      </c>
      <c r="G2792" t="s">
        <v>3182</v>
      </c>
      <c r="H2792">
        <v>0.428343698691426</v>
      </c>
      <c r="I2792">
        <v>6335.373846</v>
      </c>
      <c r="J2792">
        <v>15.37338958116962</v>
      </c>
      <c r="K2792">
        <v>0.1838384972924575</v>
      </c>
      <c r="L2792">
        <v>1.143807606760492</v>
      </c>
      <c r="M2792">
        <v>47.7</v>
      </c>
      <c r="N2792">
        <v>27.05</v>
      </c>
    </row>
    <row r="2793" spans="1:14">
      <c r="A2793" s="1" t="s">
        <v>2805</v>
      </c>
      <c r="B2793">
        <f>HYPERLINK("https://www.suredividend.com/sure-analysis-TR/","Tootsie Roll Industries, Inc.")</f>
        <v>0</v>
      </c>
      <c r="C2793" t="s">
        <v>3188</v>
      </c>
      <c r="D2793">
        <v>30.72</v>
      </c>
      <c r="E2793">
        <v>0.01171875</v>
      </c>
      <c r="F2793">
        <v>0</v>
      </c>
      <c r="G2793">
        <v>0</v>
      </c>
      <c r="H2793">
        <v>0.356005416610728</v>
      </c>
      <c r="I2793">
        <v>1243.852616</v>
      </c>
      <c r="J2793">
        <v>15.53883439536278</v>
      </c>
      <c r="K2793">
        <v>0.3122854531673053</v>
      </c>
      <c r="L2793">
        <v>0.336566046294497</v>
      </c>
      <c r="M2793">
        <v>45.77</v>
      </c>
      <c r="N2793">
        <v>29.07</v>
      </c>
    </row>
    <row r="2794" spans="1:14">
      <c r="A2794" s="1" t="s">
        <v>2806</v>
      </c>
      <c r="B2794">
        <f>HYPERLINK("https://www.suredividend.com/sure-analysis-research-database/","Tejon Ranch Co.")</f>
        <v>0</v>
      </c>
      <c r="C2794" t="s">
        <v>3183</v>
      </c>
      <c r="D2794">
        <v>16.01</v>
      </c>
      <c r="E2794">
        <v>0</v>
      </c>
      <c r="F2794" t="s">
        <v>3182</v>
      </c>
      <c r="G2794" t="s">
        <v>3182</v>
      </c>
      <c r="H2794">
        <v>0</v>
      </c>
      <c r="I2794">
        <v>427.890689</v>
      </c>
      <c r="J2794">
        <v>30.11406071081709</v>
      </c>
      <c r="K2794">
        <v>0</v>
      </c>
      <c r="L2794">
        <v>0.895831798387922</v>
      </c>
      <c r="M2794">
        <v>20.65</v>
      </c>
      <c r="N2794">
        <v>15.25</v>
      </c>
    </row>
    <row r="2795" spans="1:14">
      <c r="A2795" s="1" t="s">
        <v>2807</v>
      </c>
      <c r="B2795">
        <f>HYPERLINK("https://www.suredividend.com/sure-analysis-research-database/","Torchlight Energy Resources Inc")</f>
        <v>0</v>
      </c>
      <c r="C2795" t="s">
        <v>3189</v>
      </c>
      <c r="D2795">
        <v>4.95</v>
      </c>
      <c r="E2795">
        <v>0</v>
      </c>
      <c r="F2795" t="s">
        <v>3182</v>
      </c>
      <c r="G2795" t="s">
        <v>3182</v>
      </c>
      <c r="H2795">
        <v>0</v>
      </c>
      <c r="I2795">
        <v>785.778152</v>
      </c>
      <c r="J2795">
        <v>0</v>
      </c>
      <c r="K2795" t="s">
        <v>3182</v>
      </c>
      <c r="L2795">
        <v>1.688944579339885</v>
      </c>
      <c r="M2795">
        <v>10.88</v>
      </c>
      <c r="N2795">
        <v>0.2111</v>
      </c>
    </row>
    <row r="2796" spans="1:14">
      <c r="A2796" s="1" t="s">
        <v>2808</v>
      </c>
      <c r="B2796">
        <f>HYPERLINK("https://www.suredividend.com/sure-analysis-research-database/","Trecora Resources")</f>
        <v>0</v>
      </c>
      <c r="C2796" t="s">
        <v>3181</v>
      </c>
      <c r="D2796">
        <v>9.81</v>
      </c>
      <c r="E2796">
        <v>0</v>
      </c>
      <c r="F2796" t="s">
        <v>3182</v>
      </c>
      <c r="G2796" t="s">
        <v>3182</v>
      </c>
      <c r="H2796">
        <v>0</v>
      </c>
      <c r="I2796">
        <v>232.017693</v>
      </c>
      <c r="J2796">
        <v>25.80554923923924</v>
      </c>
      <c r="K2796">
        <v>0</v>
      </c>
      <c r="L2796">
        <v>0.007939718595145001</v>
      </c>
      <c r="M2796">
        <v>9.82</v>
      </c>
      <c r="N2796">
        <v>7.46</v>
      </c>
    </row>
    <row r="2797" spans="1:14">
      <c r="A2797" s="1" t="s">
        <v>2809</v>
      </c>
      <c r="B2797">
        <f>HYPERLINK("https://www.suredividend.com/sure-analysis-research-database/","LendingTree Inc.")</f>
        <v>0</v>
      </c>
      <c r="C2797" t="s">
        <v>3184</v>
      </c>
      <c r="D2797">
        <v>15.77</v>
      </c>
      <c r="E2797">
        <v>0</v>
      </c>
      <c r="F2797" t="s">
        <v>3182</v>
      </c>
      <c r="G2797" t="s">
        <v>3182</v>
      </c>
      <c r="H2797">
        <v>0</v>
      </c>
      <c r="I2797">
        <v>205.053935</v>
      </c>
      <c r="J2797" t="s">
        <v>3182</v>
      </c>
      <c r="K2797">
        <v>-0</v>
      </c>
      <c r="L2797">
        <v>2.925024490168077</v>
      </c>
      <c r="M2797">
        <v>47.82</v>
      </c>
      <c r="N2797">
        <v>10.12</v>
      </c>
    </row>
    <row r="2798" spans="1:14">
      <c r="A2798" s="1" t="s">
        <v>2810</v>
      </c>
      <c r="B2798">
        <f>HYPERLINK("https://www.suredividend.com/sure-analysis-research-database/","TREX Co., Inc.")</f>
        <v>0</v>
      </c>
      <c r="C2798" t="s">
        <v>3183</v>
      </c>
      <c r="D2798">
        <v>61.87</v>
      </c>
      <c r="E2798">
        <v>0</v>
      </c>
      <c r="F2798" t="s">
        <v>3182</v>
      </c>
      <c r="G2798" t="s">
        <v>3182</v>
      </c>
      <c r="H2798">
        <v>0</v>
      </c>
      <c r="I2798">
        <v>6718.796222</v>
      </c>
      <c r="J2798">
        <v>34.72084617495827</v>
      </c>
      <c r="K2798">
        <v>0</v>
      </c>
      <c r="L2798">
        <v>1.753364753139682</v>
      </c>
      <c r="M2798">
        <v>76.05</v>
      </c>
      <c r="N2798">
        <v>40.02</v>
      </c>
    </row>
    <row r="2799" spans="1:14">
      <c r="A2799" s="1" t="s">
        <v>2811</v>
      </c>
      <c r="B2799">
        <f>HYPERLINK("https://www.suredividend.com/sure-analysis-TRGP/","Targa Resources Corp")</f>
        <v>0</v>
      </c>
      <c r="C2799" t="s">
        <v>3189</v>
      </c>
      <c r="D2799">
        <v>90.25</v>
      </c>
      <c r="E2799">
        <v>0.0221606648199446</v>
      </c>
      <c r="F2799">
        <v>0.4285714285714284</v>
      </c>
      <c r="G2799">
        <v>-0.1128731530754634</v>
      </c>
      <c r="H2799">
        <v>1.834433022954915</v>
      </c>
      <c r="I2799">
        <v>20190.033631</v>
      </c>
      <c r="J2799">
        <v>23.84837423931019</v>
      </c>
      <c r="K2799">
        <v>0.4957927089067338</v>
      </c>
      <c r="L2799">
        <v>1.030340386331687</v>
      </c>
      <c r="M2799">
        <v>90.5</v>
      </c>
      <c r="N2799">
        <v>63.64</v>
      </c>
    </row>
    <row r="2800" spans="1:14">
      <c r="A2800" s="1" t="s">
        <v>2812</v>
      </c>
      <c r="B2800">
        <f>HYPERLINK("https://www.suredividend.com/sure-analysis-research-database/","Tabula Rasa HealthCare Inc")</f>
        <v>0</v>
      </c>
      <c r="C2800" t="s">
        <v>3180</v>
      </c>
      <c r="D2800">
        <v>10.5</v>
      </c>
      <c r="E2800">
        <v>0</v>
      </c>
      <c r="F2800" t="s">
        <v>3182</v>
      </c>
      <c r="G2800" t="s">
        <v>3182</v>
      </c>
      <c r="H2800">
        <v>0</v>
      </c>
      <c r="I2800">
        <v>284.072628</v>
      </c>
      <c r="J2800">
        <v>0</v>
      </c>
      <c r="K2800" t="s">
        <v>3182</v>
      </c>
      <c r="L2800">
        <v>1.390541716204423</v>
      </c>
      <c r="M2800">
        <v>10.5</v>
      </c>
      <c r="N2800">
        <v>3.15</v>
      </c>
    </row>
    <row r="2801" spans="1:14">
      <c r="A2801" s="1" t="s">
        <v>2813</v>
      </c>
      <c r="B2801">
        <f>HYPERLINK("https://www.suredividend.com/sure-analysis-research-database/","TripAdvisor Inc.")</f>
        <v>0</v>
      </c>
      <c r="C2801" t="s">
        <v>3186</v>
      </c>
      <c r="D2801">
        <v>14.66</v>
      </c>
      <c r="E2801">
        <v>0</v>
      </c>
      <c r="F2801" t="s">
        <v>3182</v>
      </c>
      <c r="G2801" t="s">
        <v>3182</v>
      </c>
      <c r="H2801">
        <v>0</v>
      </c>
      <c r="I2801">
        <v>1835.25501</v>
      </c>
      <c r="J2801" t="s">
        <v>3182</v>
      </c>
      <c r="K2801">
        <v>-0</v>
      </c>
      <c r="L2801">
        <v>1.339226093249382</v>
      </c>
      <c r="M2801">
        <v>27.3</v>
      </c>
      <c r="N2801">
        <v>14.15</v>
      </c>
    </row>
    <row r="2802" spans="1:14">
      <c r="A2802" s="1" t="s">
        <v>2814</v>
      </c>
      <c r="B2802">
        <f>HYPERLINK("https://www.suredividend.com/sure-analysis-research-database/","Trimble Inc")</f>
        <v>0</v>
      </c>
      <c r="C2802" t="s">
        <v>3185</v>
      </c>
      <c r="D2802">
        <v>41.84</v>
      </c>
      <c r="E2802">
        <v>0</v>
      </c>
      <c r="F2802" t="s">
        <v>3182</v>
      </c>
      <c r="G2802" t="s">
        <v>3182</v>
      </c>
      <c r="H2802">
        <v>0</v>
      </c>
      <c r="I2802">
        <v>10389.778547</v>
      </c>
      <c r="J2802">
        <v>30.13276840858469</v>
      </c>
      <c r="K2802">
        <v>0</v>
      </c>
      <c r="L2802">
        <v>1.363808037394383</v>
      </c>
      <c r="M2802">
        <v>62.4</v>
      </c>
      <c r="N2802">
        <v>39.57</v>
      </c>
    </row>
    <row r="2803" spans="1:14">
      <c r="A2803" s="1" t="s">
        <v>2815</v>
      </c>
      <c r="B2803">
        <f>HYPERLINK("https://www.suredividend.com/sure-analysis-research-database/","Trustmark Corp.")</f>
        <v>0</v>
      </c>
      <c r="C2803" t="s">
        <v>3184</v>
      </c>
      <c r="D2803">
        <v>21.3</v>
      </c>
      <c r="E2803">
        <v>0.04203177362308801</v>
      </c>
      <c r="F2803">
        <v>0</v>
      </c>
      <c r="G2803">
        <v>0</v>
      </c>
      <c r="H2803">
        <v>0.8952767781717761</v>
      </c>
      <c r="I2803">
        <v>1300.793024</v>
      </c>
      <c r="J2803">
        <v>12.54030235999576</v>
      </c>
      <c r="K2803">
        <v>0.5297495728827077</v>
      </c>
      <c r="L2803">
        <v>0.9077685433855881</v>
      </c>
      <c r="M2803">
        <v>36.4</v>
      </c>
      <c r="N2803">
        <v>18.96</v>
      </c>
    </row>
    <row r="2804" spans="1:14">
      <c r="A2804" s="1" t="s">
        <v>2816</v>
      </c>
      <c r="B2804">
        <f>HYPERLINK("https://www.suredividend.com/sure-analysis-TRN/","Trinity Industries, Inc.")</f>
        <v>0</v>
      </c>
      <c r="C2804" t="s">
        <v>3183</v>
      </c>
      <c r="D2804">
        <v>22.75</v>
      </c>
      <c r="E2804">
        <v>0.04571428571428571</v>
      </c>
      <c r="F2804">
        <v>0.1304347826086956</v>
      </c>
      <c r="G2804">
        <v>0.1486983549970351</v>
      </c>
      <c r="H2804">
        <v>1.0231262056842</v>
      </c>
      <c r="I2804">
        <v>1862.168285</v>
      </c>
      <c r="J2804">
        <v>23.72188898407644</v>
      </c>
      <c r="K2804">
        <v>1.086698041087839</v>
      </c>
      <c r="L2804">
        <v>1.107580596360402</v>
      </c>
      <c r="M2804">
        <v>30.38</v>
      </c>
      <c r="N2804">
        <v>19.64</v>
      </c>
    </row>
    <row r="2805" spans="1:14">
      <c r="A2805" s="1" t="s">
        <v>2817</v>
      </c>
      <c r="B2805">
        <f>HYPERLINK("https://www.suredividend.com/sure-analysis-research-database/","Terreno Realty Corp")</f>
        <v>0</v>
      </c>
      <c r="C2805" t="s">
        <v>3187</v>
      </c>
      <c r="D2805">
        <v>54.97</v>
      </c>
      <c r="E2805">
        <v>0.029700315947095</v>
      </c>
      <c r="F2805">
        <v>0.125</v>
      </c>
      <c r="G2805">
        <v>0.1339665776330272</v>
      </c>
      <c r="H2805">
        <v>1.632626367611825</v>
      </c>
      <c r="I2805">
        <v>4612.572059</v>
      </c>
      <c r="J2805">
        <v>31.98111364312061</v>
      </c>
      <c r="K2805">
        <v>0.8921455560720355</v>
      </c>
      <c r="L2805">
        <v>0.9950395788506251</v>
      </c>
      <c r="M2805">
        <v>65.63</v>
      </c>
      <c r="N2805">
        <v>50.42</v>
      </c>
    </row>
    <row r="2806" spans="1:14">
      <c r="A2806" s="1" t="s">
        <v>2818</v>
      </c>
      <c r="B2806">
        <f>HYPERLINK("https://www.suredividend.com/sure-analysis-research-database/","Transcat Inc")</f>
        <v>0</v>
      </c>
      <c r="C2806" t="s">
        <v>3183</v>
      </c>
      <c r="D2806">
        <v>89.02</v>
      </c>
      <c r="E2806">
        <v>0</v>
      </c>
      <c r="F2806" t="s">
        <v>3182</v>
      </c>
      <c r="G2806" t="s">
        <v>3182</v>
      </c>
      <c r="H2806">
        <v>0</v>
      </c>
      <c r="I2806">
        <v>709.566669</v>
      </c>
      <c r="J2806">
        <v>0</v>
      </c>
      <c r="K2806" t="s">
        <v>3182</v>
      </c>
      <c r="L2806">
        <v>0.9686786217543931</v>
      </c>
      <c r="M2806">
        <v>115.41</v>
      </c>
      <c r="N2806">
        <v>65.59999999999999</v>
      </c>
    </row>
    <row r="2807" spans="1:14">
      <c r="A2807" s="1" t="s">
        <v>2819</v>
      </c>
      <c r="B2807">
        <f>HYPERLINK("https://www.suredividend.com/sure-analysis-TROW/","T. Rowe Price Group Inc.")</f>
        <v>0</v>
      </c>
      <c r="C2807" t="s">
        <v>3184</v>
      </c>
      <c r="D2807">
        <v>94.29000000000001</v>
      </c>
      <c r="E2807">
        <v>0.05175522324742814</v>
      </c>
      <c r="F2807">
        <v>0.01666666666666661</v>
      </c>
      <c r="G2807">
        <v>0.09928233140826515</v>
      </c>
      <c r="H2807">
        <v>4.714539855831848</v>
      </c>
      <c r="I2807">
        <v>21071.01685</v>
      </c>
      <c r="J2807">
        <v>13.35383538244502</v>
      </c>
      <c r="K2807">
        <v>0.6715868740501209</v>
      </c>
      <c r="L2807">
        <v>1.797120522083865</v>
      </c>
      <c r="M2807">
        <v>129.81</v>
      </c>
      <c r="N2807">
        <v>87.43000000000001</v>
      </c>
    </row>
    <row r="2808" spans="1:14">
      <c r="A2808" s="1" t="s">
        <v>2820</v>
      </c>
      <c r="B2808">
        <f>HYPERLINK("https://www.suredividend.com/sure-analysis-research-database/","Tronox Holdings plc")</f>
        <v>0</v>
      </c>
      <c r="C2808" t="s">
        <v>3181</v>
      </c>
      <c r="D2808">
        <v>10.92</v>
      </c>
      <c r="E2808">
        <v>0.045028964764781</v>
      </c>
      <c r="F2808">
        <v>0</v>
      </c>
      <c r="G2808">
        <v>0.2267032046963888</v>
      </c>
      <c r="H2808">
        <v>0.491716295231417</v>
      </c>
      <c r="I2808">
        <v>1712.187805</v>
      </c>
      <c r="J2808">
        <v>0</v>
      </c>
      <c r="K2808" t="s">
        <v>3182</v>
      </c>
      <c r="L2808">
        <v>1.787908900967776</v>
      </c>
      <c r="M2808">
        <v>17.12</v>
      </c>
      <c r="N2808">
        <v>10.08</v>
      </c>
    </row>
    <row r="2809" spans="1:14">
      <c r="A2809" s="1" t="s">
        <v>2821</v>
      </c>
      <c r="B2809">
        <f>HYPERLINK("https://www.suredividend.com/sure-analysis-research-database/","Trimas Corporation")</f>
        <v>0</v>
      </c>
      <c r="C2809" t="s">
        <v>3183</v>
      </c>
      <c r="D2809">
        <v>24.1</v>
      </c>
      <c r="E2809">
        <v>0.006607144727878001</v>
      </c>
      <c r="F2809" t="s">
        <v>3182</v>
      </c>
      <c r="G2809" t="s">
        <v>3182</v>
      </c>
      <c r="H2809">
        <v>0.159232187941872</v>
      </c>
      <c r="I2809">
        <v>998.087522</v>
      </c>
      <c r="J2809">
        <v>19.47107924307452</v>
      </c>
      <c r="K2809">
        <v>0.1294570633673756</v>
      </c>
      <c r="L2809">
        <v>0.646144670119098</v>
      </c>
      <c r="M2809">
        <v>31.54</v>
      </c>
      <c r="N2809">
        <v>22.52</v>
      </c>
    </row>
    <row r="2810" spans="1:14">
      <c r="A2810" s="1" t="s">
        <v>2822</v>
      </c>
      <c r="B2810">
        <f>HYPERLINK("https://www.suredividend.com/sure-analysis-TRST/","Trustco Bank Corp.")</f>
        <v>0</v>
      </c>
      <c r="C2810" t="s">
        <v>3184</v>
      </c>
      <c r="D2810">
        <v>26.76</v>
      </c>
      <c r="E2810">
        <v>0.05381165919282511</v>
      </c>
      <c r="F2810">
        <v>0.02857142857142847</v>
      </c>
      <c r="G2810">
        <v>0.3950802711953256</v>
      </c>
      <c r="H2810">
        <v>1.391725945538961</v>
      </c>
      <c r="I2810">
        <v>509.093827</v>
      </c>
      <c r="J2810">
        <v>6.843394815033875</v>
      </c>
      <c r="K2810">
        <v>0.3568528065484515</v>
      </c>
      <c r="L2810">
        <v>0.742311767773002</v>
      </c>
      <c r="M2810">
        <v>36.69</v>
      </c>
      <c r="N2810">
        <v>23.78</v>
      </c>
    </row>
    <row r="2811" spans="1:14">
      <c r="A2811" s="1" t="s">
        <v>2823</v>
      </c>
      <c r="B2811">
        <f>HYPERLINK("https://www.suredividend.com/sure-analysis-research-database/","Trio-Tech International")</f>
        <v>0</v>
      </c>
      <c r="C2811" t="s">
        <v>3185</v>
      </c>
      <c r="D2811">
        <v>6.42</v>
      </c>
      <c r="E2811">
        <v>0</v>
      </c>
      <c r="F2811" t="s">
        <v>3182</v>
      </c>
      <c r="G2811" t="s">
        <v>3182</v>
      </c>
      <c r="H2811">
        <v>0</v>
      </c>
      <c r="I2811">
        <v>26.300686</v>
      </c>
      <c r="J2811">
        <v>0</v>
      </c>
      <c r="K2811" t="s">
        <v>3182</v>
      </c>
      <c r="L2811">
        <v>0.4616585533902061</v>
      </c>
      <c r="M2811">
        <v>8.619999999999999</v>
      </c>
      <c r="N2811">
        <v>4.19</v>
      </c>
    </row>
    <row r="2812" spans="1:14">
      <c r="A2812" s="1" t="s">
        <v>2824</v>
      </c>
      <c r="B2812">
        <f>HYPERLINK("https://www.suredividend.com/sure-analysis-research-database/","Triton International Ltd")</f>
        <v>0</v>
      </c>
      <c r="C2812" t="s">
        <v>3183</v>
      </c>
      <c r="D2812">
        <v>79.55</v>
      </c>
      <c r="E2812">
        <v>0.03473892859339901</v>
      </c>
      <c r="F2812">
        <v>0.07692307692307709</v>
      </c>
      <c r="G2812">
        <v>0.06125302037503699</v>
      </c>
      <c r="H2812">
        <v>2.763481769604919</v>
      </c>
      <c r="I2812">
        <v>4380.115278</v>
      </c>
      <c r="J2812">
        <v>7.367630507915789</v>
      </c>
      <c r="K2812">
        <v>0.2680389689238525</v>
      </c>
      <c r="L2812">
        <v>0.576009585777389</v>
      </c>
      <c r="M2812">
        <v>84</v>
      </c>
      <c r="N2812">
        <v>51.32</v>
      </c>
    </row>
    <row r="2813" spans="1:14">
      <c r="A2813" s="1" t="s">
        <v>2825</v>
      </c>
      <c r="B2813">
        <f>HYPERLINK("https://www.suredividend.com/sure-analysis-research-database/","TPG RE Finance Trust Inc")</f>
        <v>0</v>
      </c>
      <c r="C2813" t="s">
        <v>3187</v>
      </c>
      <c r="D2813">
        <v>5.42</v>
      </c>
      <c r="E2813">
        <v>0.168423435515963</v>
      </c>
      <c r="F2813">
        <v>0</v>
      </c>
      <c r="G2813">
        <v>-0.1100849382703697</v>
      </c>
      <c r="H2813">
        <v>0.9128550204965221</v>
      </c>
      <c r="I2813">
        <v>421.32254</v>
      </c>
      <c r="J2813" t="s">
        <v>3182</v>
      </c>
      <c r="K2813" t="s">
        <v>3182</v>
      </c>
      <c r="L2813">
        <v>1.511634274396105</v>
      </c>
      <c r="M2813">
        <v>8.34</v>
      </c>
      <c r="N2813">
        <v>4.64</v>
      </c>
    </row>
    <row r="2814" spans="1:14">
      <c r="A2814" s="1" t="s">
        <v>2826</v>
      </c>
      <c r="B2814">
        <f>HYPERLINK("https://www.suredividend.com/sure-analysis-research-database/","TransUnion")</f>
        <v>0</v>
      </c>
      <c r="C2814" t="s">
        <v>3183</v>
      </c>
      <c r="D2814">
        <v>48</v>
      </c>
      <c r="E2814">
        <v>0.008730840210497</v>
      </c>
      <c r="F2814">
        <v>0</v>
      </c>
      <c r="G2814">
        <v>0.06961037572506878</v>
      </c>
      <c r="H2814">
        <v>0.419080330103868</v>
      </c>
      <c r="I2814">
        <v>9297.6</v>
      </c>
      <c r="J2814" t="s">
        <v>3182</v>
      </c>
      <c r="K2814" t="s">
        <v>3182</v>
      </c>
      <c r="L2814">
        <v>1.72258737632987</v>
      </c>
      <c r="M2814">
        <v>82.75</v>
      </c>
      <c r="N2814">
        <v>42.09</v>
      </c>
    </row>
    <row r="2815" spans="1:14">
      <c r="A2815" s="1" t="s">
        <v>2827</v>
      </c>
      <c r="B2815">
        <f>HYPERLINK("https://www.suredividend.com/sure-analysis-research-database/","Trupanion Inc")</f>
        <v>0</v>
      </c>
      <c r="C2815" t="s">
        <v>3184</v>
      </c>
      <c r="D2815">
        <v>22.87</v>
      </c>
      <c r="E2815">
        <v>0</v>
      </c>
      <c r="F2815" t="s">
        <v>3182</v>
      </c>
      <c r="G2815" t="s">
        <v>3182</v>
      </c>
      <c r="H2815">
        <v>0</v>
      </c>
      <c r="I2815">
        <v>946.818</v>
      </c>
      <c r="J2815" t="s">
        <v>3182</v>
      </c>
      <c r="K2815">
        <v>-0</v>
      </c>
      <c r="L2815">
        <v>2.380631257555481</v>
      </c>
      <c r="M2815">
        <v>69.15000000000001</v>
      </c>
      <c r="N2815">
        <v>18.45</v>
      </c>
    </row>
    <row r="2816" spans="1:14">
      <c r="A2816" s="1" t="s">
        <v>2828</v>
      </c>
      <c r="B2816">
        <f>HYPERLINK("https://www.suredividend.com/sure-analysis-TRV/","Travelers Companies Inc.")</f>
        <v>0</v>
      </c>
      <c r="C2816" t="s">
        <v>3184</v>
      </c>
      <c r="D2816">
        <v>168.95</v>
      </c>
      <c r="E2816">
        <v>0.02367564368156259</v>
      </c>
      <c r="F2816">
        <v>0.07526881720430101</v>
      </c>
      <c r="G2816">
        <v>0.05366330364357852</v>
      </c>
      <c r="H2816">
        <v>3.826870051380769</v>
      </c>
      <c r="I2816">
        <v>38588.086402</v>
      </c>
      <c r="J2816">
        <v>17.79893284211255</v>
      </c>
      <c r="K2816">
        <v>0.4110494147562587</v>
      </c>
      <c r="L2816">
        <v>0.486874561365815</v>
      </c>
      <c r="M2816">
        <v>191.19</v>
      </c>
      <c r="N2816">
        <v>157.33</v>
      </c>
    </row>
    <row r="2817" spans="1:14">
      <c r="A2817" s="1" t="s">
        <v>2829</v>
      </c>
      <c r="B2817">
        <f>HYPERLINK("https://www.suredividend.com/sure-analysis-research-database/","Trevena Inc")</f>
        <v>0</v>
      </c>
      <c r="C2817" t="s">
        <v>3180</v>
      </c>
      <c r="D2817">
        <v>0.5692</v>
      </c>
      <c r="E2817">
        <v>0</v>
      </c>
      <c r="F2817" t="s">
        <v>3182</v>
      </c>
      <c r="G2817" t="s">
        <v>3182</v>
      </c>
      <c r="H2817">
        <v>0</v>
      </c>
      <c r="I2817">
        <v>7.80495</v>
      </c>
      <c r="J2817">
        <v>0</v>
      </c>
      <c r="K2817" t="s">
        <v>3182</v>
      </c>
      <c r="L2817">
        <v>0.5520850659527831</v>
      </c>
      <c r="M2817">
        <v>4.7</v>
      </c>
      <c r="N2817">
        <v>0.5111</v>
      </c>
    </row>
    <row r="2818" spans="1:14">
      <c r="A2818" s="1" t="s">
        <v>2830</v>
      </c>
      <c r="B2818">
        <f>HYPERLINK("https://www.suredividend.com/sure-analysis-research-database/","TransEnterix Inc")</f>
        <v>0</v>
      </c>
      <c r="C2818" t="s">
        <v>3180</v>
      </c>
      <c r="D2818">
        <v>4.08</v>
      </c>
      <c r="E2818">
        <v>0</v>
      </c>
      <c r="F2818" t="s">
        <v>3182</v>
      </c>
      <c r="G2818" t="s">
        <v>3182</v>
      </c>
      <c r="H2818">
        <v>0</v>
      </c>
      <c r="I2818">
        <v>582.529768</v>
      </c>
      <c r="J2818">
        <v>0</v>
      </c>
      <c r="K2818" t="s">
        <v>3182</v>
      </c>
      <c r="L2818">
        <v>0.427552673763591</v>
      </c>
      <c r="M2818">
        <v>6.95</v>
      </c>
      <c r="N2818">
        <v>0.28</v>
      </c>
    </row>
    <row r="2819" spans="1:14">
      <c r="A2819" s="1" t="s">
        <v>2831</v>
      </c>
      <c r="B2819">
        <f>HYPERLINK("https://www.suredividend.com/sure-analysis-research-database/","Timberland Bancorp, Inc.")</f>
        <v>0</v>
      </c>
      <c r="C2819" t="s">
        <v>3184</v>
      </c>
      <c r="D2819">
        <v>28.47</v>
      </c>
      <c r="E2819">
        <v>0.031397628244104</v>
      </c>
      <c r="F2819">
        <v>1.3</v>
      </c>
      <c r="G2819">
        <v>0.08924936491294377</v>
      </c>
      <c r="H2819">
        <v>0.8938904761096421</v>
      </c>
      <c r="I2819">
        <v>230.469604</v>
      </c>
      <c r="J2819">
        <v>0</v>
      </c>
      <c r="K2819" t="s">
        <v>3182</v>
      </c>
      <c r="L2819">
        <v>0.409777340394232</v>
      </c>
      <c r="M2819">
        <v>34.62</v>
      </c>
      <c r="N2819">
        <v>21.56</v>
      </c>
    </row>
    <row r="2820" spans="1:14">
      <c r="A2820" s="1" t="s">
        <v>2832</v>
      </c>
      <c r="B2820">
        <f>HYPERLINK("https://www.suredividend.com/sure-analysis-research-database/","Tristate Capital Holdings Inc")</f>
        <v>0</v>
      </c>
      <c r="C2820" t="s">
        <v>3184</v>
      </c>
      <c r="D2820">
        <v>30.58</v>
      </c>
      <c r="E2820">
        <v>0</v>
      </c>
      <c r="F2820" t="s">
        <v>3182</v>
      </c>
      <c r="G2820" t="s">
        <v>3182</v>
      </c>
      <c r="H2820">
        <v>0</v>
      </c>
      <c r="I2820">
        <v>0</v>
      </c>
      <c r="J2820">
        <v>0</v>
      </c>
      <c r="K2820">
        <v>0</v>
      </c>
    </row>
    <row r="2821" spans="1:14">
      <c r="A2821" s="1" t="s">
        <v>2833</v>
      </c>
      <c r="B2821">
        <f>HYPERLINK("https://www.suredividend.com/sure-analysis-TSCO/","Tractor Supply Co.")</f>
        <v>0</v>
      </c>
      <c r="C2821" t="s">
        <v>3186</v>
      </c>
      <c r="D2821">
        <v>195.16</v>
      </c>
      <c r="E2821">
        <v>0.02111088337774134</v>
      </c>
      <c r="F2821">
        <v>0.1195652173913044</v>
      </c>
      <c r="G2821">
        <v>0.2714377627029996</v>
      </c>
      <c r="H2821">
        <v>3.958538549265427</v>
      </c>
      <c r="I2821">
        <v>21234.943519</v>
      </c>
      <c r="J2821">
        <v>19.14215126340337</v>
      </c>
      <c r="K2821">
        <v>0.3958538549265427</v>
      </c>
      <c r="L2821">
        <v>0.7297942310621811</v>
      </c>
      <c r="M2821">
        <v>246.34</v>
      </c>
      <c r="N2821">
        <v>185</v>
      </c>
    </row>
    <row r="2822" spans="1:14">
      <c r="A2822" s="1" t="s">
        <v>2834</v>
      </c>
      <c r="B2822">
        <f>HYPERLINK("https://www.suredividend.com/sure-analysis-research-database/","Trinseo PLC")</f>
        <v>0</v>
      </c>
      <c r="C2822" t="s">
        <v>3181</v>
      </c>
      <c r="D2822">
        <v>6.27</v>
      </c>
      <c r="E2822">
        <v>0.076069976584258</v>
      </c>
      <c r="F2822">
        <v>-0.96875</v>
      </c>
      <c r="G2822">
        <v>-0.5218237501049816</v>
      </c>
      <c r="H2822">
        <v>0.4769587531833001</v>
      </c>
      <c r="I2822">
        <v>220.635864</v>
      </c>
      <c r="J2822" t="s">
        <v>3182</v>
      </c>
      <c r="K2822" t="s">
        <v>3182</v>
      </c>
      <c r="L2822">
        <v>2.006494520463428</v>
      </c>
      <c r="M2822">
        <v>30.27</v>
      </c>
      <c r="N2822">
        <v>5.48</v>
      </c>
    </row>
    <row r="2823" spans="1:14">
      <c r="A2823" s="1" t="s">
        <v>2835</v>
      </c>
      <c r="B2823">
        <f>HYPERLINK("https://www.suredividend.com/sure-analysis-research-database/","Tesla Inc")</f>
        <v>0</v>
      </c>
      <c r="C2823" t="s">
        <v>3186</v>
      </c>
      <c r="D2823">
        <v>218.51</v>
      </c>
      <c r="E2823">
        <v>0</v>
      </c>
      <c r="F2823" t="s">
        <v>3182</v>
      </c>
      <c r="G2823" t="s">
        <v>3182</v>
      </c>
      <c r="H2823">
        <v>0</v>
      </c>
      <c r="I2823">
        <v>684694.539533</v>
      </c>
      <c r="J2823">
        <v>64.4007151073067</v>
      </c>
      <c r="K2823">
        <v>0</v>
      </c>
      <c r="L2823">
        <v>2.03785881706765</v>
      </c>
      <c r="M2823">
        <v>299.29</v>
      </c>
      <c r="N2823">
        <v>101.81</v>
      </c>
    </row>
    <row r="2824" spans="1:14">
      <c r="A2824" s="1" t="s">
        <v>2836</v>
      </c>
      <c r="B2824">
        <f>HYPERLINK("https://www.suredividend.com/sure-analysis-TSN/","Tyson Foods, Inc.")</f>
        <v>0</v>
      </c>
      <c r="C2824" t="s">
        <v>3188</v>
      </c>
      <c r="D2824">
        <v>47.56</v>
      </c>
      <c r="E2824">
        <v>0.04037005887300252</v>
      </c>
      <c r="F2824">
        <v>0.04347826086956519</v>
      </c>
      <c r="G2824">
        <v>0.05061112176150684</v>
      </c>
      <c r="H2824">
        <v>1.894821067729986</v>
      </c>
      <c r="I2824">
        <v>17104.0028</v>
      </c>
      <c r="J2824">
        <v>39.943403924</v>
      </c>
      <c r="K2824">
        <v>1.988269745781727</v>
      </c>
      <c r="L2824">
        <v>0.586663878232741</v>
      </c>
      <c r="M2824">
        <v>72.17</v>
      </c>
      <c r="N2824">
        <v>44.94</v>
      </c>
    </row>
    <row r="2825" spans="1:14">
      <c r="A2825" s="1" t="s">
        <v>2837</v>
      </c>
      <c r="B2825">
        <f>HYPERLINK("https://www.suredividend.com/sure-analysis-research-database/","Townsquare Media Inc")</f>
        <v>0</v>
      </c>
      <c r="C2825" t="s">
        <v>3191</v>
      </c>
      <c r="D2825">
        <v>8.710000000000001</v>
      </c>
      <c r="E2825">
        <v>0.063342373657283</v>
      </c>
      <c r="F2825" t="s">
        <v>3182</v>
      </c>
      <c r="G2825" t="s">
        <v>3182</v>
      </c>
      <c r="H2825">
        <v>0.5517120745549371</v>
      </c>
      <c r="I2825">
        <v>120.098157</v>
      </c>
      <c r="J2825">
        <v>1225.491400714286</v>
      </c>
      <c r="K2825">
        <v>96.79159202718195</v>
      </c>
      <c r="L2825">
        <v>0.502467035481574</v>
      </c>
      <c r="M2825">
        <v>12.38</v>
      </c>
      <c r="N2825">
        <v>6.64</v>
      </c>
    </row>
    <row r="2826" spans="1:14">
      <c r="A2826" s="1" t="s">
        <v>2838</v>
      </c>
      <c r="B2826">
        <f>HYPERLINK("https://www.suredividend.com/sure-analysis-TTC/","Toro Co.")</f>
        <v>0</v>
      </c>
      <c r="C2826" t="s">
        <v>3183</v>
      </c>
      <c r="D2826">
        <v>83.7</v>
      </c>
      <c r="E2826">
        <v>0.01624850657108722</v>
      </c>
      <c r="F2826">
        <v>0.1333333333333333</v>
      </c>
      <c r="G2826">
        <v>0.08607365672211231</v>
      </c>
      <c r="H2826">
        <v>1.35236238006503</v>
      </c>
      <c r="I2826">
        <v>8691.749496</v>
      </c>
      <c r="J2826">
        <v>23.05999298523025</v>
      </c>
      <c r="K2826">
        <v>0.3777548547667681</v>
      </c>
      <c r="L2826">
        <v>0.7732808316909081</v>
      </c>
      <c r="M2826">
        <v>116.39</v>
      </c>
      <c r="N2826">
        <v>78.03</v>
      </c>
    </row>
    <row r="2827" spans="1:14">
      <c r="A2827" s="1" t="s">
        <v>2839</v>
      </c>
      <c r="B2827">
        <f>HYPERLINK("https://www.suredividend.com/sure-analysis-research-database/","Trade Desk Inc")</f>
        <v>0</v>
      </c>
      <c r="C2827" t="s">
        <v>3185</v>
      </c>
      <c r="D2827">
        <v>75.68000000000001</v>
      </c>
      <c r="E2827">
        <v>0</v>
      </c>
      <c r="F2827" t="s">
        <v>3182</v>
      </c>
      <c r="G2827" t="s">
        <v>3182</v>
      </c>
      <c r="H2827">
        <v>0</v>
      </c>
      <c r="I2827">
        <v>37098.21529</v>
      </c>
      <c r="J2827">
        <v>286.8692268881311</v>
      </c>
      <c r="K2827">
        <v>0</v>
      </c>
      <c r="L2827">
        <v>2.462038048337006</v>
      </c>
      <c r="M2827">
        <v>91.84999999999999</v>
      </c>
      <c r="N2827">
        <v>39.43</v>
      </c>
    </row>
    <row r="2828" spans="1:14">
      <c r="A2828" s="1" t="s">
        <v>2840</v>
      </c>
      <c r="B2828">
        <f>HYPERLINK("https://www.suredividend.com/sure-analysis-research-database/","TTEC Holdings Inc")</f>
        <v>0</v>
      </c>
      <c r="C2828" t="s">
        <v>3185</v>
      </c>
      <c r="D2828">
        <v>21.26</v>
      </c>
      <c r="E2828">
        <v>0.047849728267176</v>
      </c>
      <c r="F2828" t="s">
        <v>3182</v>
      </c>
      <c r="G2828" t="s">
        <v>3182</v>
      </c>
      <c r="H2828">
        <v>1.017285222960171</v>
      </c>
      <c r="I2828">
        <v>1008.097326</v>
      </c>
      <c r="J2828">
        <v>15.63911457648154</v>
      </c>
      <c r="K2828">
        <v>0.7480038404118905</v>
      </c>
      <c r="L2828">
        <v>1.428702957150389</v>
      </c>
      <c r="M2828">
        <v>51.1</v>
      </c>
      <c r="N2828">
        <v>19.86</v>
      </c>
    </row>
    <row r="2829" spans="1:14">
      <c r="A2829" s="1" t="s">
        <v>2841</v>
      </c>
      <c r="B2829">
        <f>HYPERLINK("https://www.suredividend.com/sure-analysis-research-database/","Tetra Tech, Inc.")</f>
        <v>0</v>
      </c>
      <c r="C2829" t="s">
        <v>3183</v>
      </c>
      <c r="D2829">
        <v>152.31</v>
      </c>
      <c r="E2829">
        <v>0.006405481753183001</v>
      </c>
      <c r="F2829">
        <v>0.1304347826086956</v>
      </c>
      <c r="G2829">
        <v>0.1672353193296932</v>
      </c>
      <c r="H2829">
        <v>0.9756189258273191</v>
      </c>
      <c r="I2829">
        <v>8069.55789</v>
      </c>
      <c r="J2829">
        <v>26.65710181565621</v>
      </c>
      <c r="K2829">
        <v>0.172982079047397</v>
      </c>
      <c r="L2829">
        <v>1.280348839700794</v>
      </c>
      <c r="M2829">
        <v>172.7</v>
      </c>
      <c r="N2829">
        <v>130.19</v>
      </c>
    </row>
    <row r="2830" spans="1:14">
      <c r="A2830" s="1" t="s">
        <v>2842</v>
      </c>
      <c r="B2830">
        <f>HYPERLINK("https://www.suredividend.com/sure-analysis-research-database/","Techtarget Inc.")</f>
        <v>0</v>
      </c>
      <c r="C2830" t="s">
        <v>3191</v>
      </c>
      <c r="D2830">
        <v>25.25</v>
      </c>
      <c r="E2830">
        <v>0</v>
      </c>
      <c r="F2830" t="s">
        <v>3182</v>
      </c>
      <c r="G2830" t="s">
        <v>3182</v>
      </c>
      <c r="H2830">
        <v>0</v>
      </c>
      <c r="I2830">
        <v>702.473887</v>
      </c>
      <c r="J2830">
        <v>26.65935055028463</v>
      </c>
      <c r="K2830">
        <v>0</v>
      </c>
      <c r="L2830">
        <v>0.865741178797891</v>
      </c>
      <c r="M2830">
        <v>57.15</v>
      </c>
      <c r="N2830">
        <v>23.43</v>
      </c>
    </row>
    <row r="2831" spans="1:14">
      <c r="A2831" s="1" t="s">
        <v>2843</v>
      </c>
      <c r="B2831">
        <f>HYPERLINK("https://www.suredividend.com/sure-analysis-research-database/","Tetra Technologies, Inc.")</f>
        <v>0</v>
      </c>
      <c r="C2831" t="s">
        <v>3189</v>
      </c>
      <c r="D2831">
        <v>4.64</v>
      </c>
      <c r="E2831">
        <v>0</v>
      </c>
      <c r="F2831" t="s">
        <v>3182</v>
      </c>
      <c r="G2831" t="s">
        <v>3182</v>
      </c>
      <c r="H2831">
        <v>0</v>
      </c>
      <c r="I2831">
        <v>603.567363</v>
      </c>
      <c r="J2831">
        <v>21.73372808757336</v>
      </c>
      <c r="K2831">
        <v>0</v>
      </c>
      <c r="L2831">
        <v>1.318329148734682</v>
      </c>
      <c r="M2831">
        <v>6.77</v>
      </c>
      <c r="N2831">
        <v>2.43</v>
      </c>
    </row>
    <row r="2832" spans="1:14">
      <c r="A2832" s="1" t="s">
        <v>2844</v>
      </c>
      <c r="B2832">
        <f>HYPERLINK("https://www.suredividend.com/sure-analysis-research-database/","TTM Technologies Inc")</f>
        <v>0</v>
      </c>
      <c r="C2832" t="s">
        <v>3185</v>
      </c>
      <c r="D2832">
        <v>14.02</v>
      </c>
      <c r="E2832">
        <v>0</v>
      </c>
      <c r="F2832" t="s">
        <v>3182</v>
      </c>
      <c r="G2832" t="s">
        <v>3182</v>
      </c>
      <c r="H2832">
        <v>0</v>
      </c>
      <c r="I2832">
        <v>1456.274575</v>
      </c>
      <c r="J2832">
        <v>28.80574769063396</v>
      </c>
      <c r="K2832">
        <v>0</v>
      </c>
      <c r="L2832">
        <v>1.394766271031576</v>
      </c>
      <c r="M2832">
        <v>17.46</v>
      </c>
      <c r="N2832">
        <v>11.13</v>
      </c>
    </row>
    <row r="2833" spans="1:14">
      <c r="A2833" s="1" t="s">
        <v>2845</v>
      </c>
      <c r="B2833">
        <f>HYPERLINK("https://www.suredividend.com/sure-analysis-research-database/","Titan Pharmaceuticals, Inc. (de)")</f>
        <v>0</v>
      </c>
      <c r="C2833" t="s">
        <v>3180</v>
      </c>
      <c r="D2833">
        <v>0.43</v>
      </c>
      <c r="E2833">
        <v>0</v>
      </c>
      <c r="F2833" t="s">
        <v>3182</v>
      </c>
      <c r="G2833" t="s">
        <v>3182</v>
      </c>
      <c r="H2833">
        <v>0</v>
      </c>
      <c r="I2833">
        <v>6.457007</v>
      </c>
      <c r="J2833" t="s">
        <v>3182</v>
      </c>
      <c r="K2833">
        <v>-0</v>
      </c>
      <c r="L2833">
        <v>-0.030074319575453</v>
      </c>
      <c r="M2833">
        <v>1.09</v>
      </c>
      <c r="N2833">
        <v>0.3127</v>
      </c>
    </row>
    <row r="2834" spans="1:14">
      <c r="A2834" s="1" t="s">
        <v>2846</v>
      </c>
      <c r="B2834">
        <f>HYPERLINK("https://www.suredividend.com/sure-analysis-research-database/","T2 Biosystems Inc")</f>
        <v>0</v>
      </c>
      <c r="C2834" t="s">
        <v>3180</v>
      </c>
      <c r="D2834">
        <v>5.88</v>
      </c>
      <c r="E2834">
        <v>0</v>
      </c>
      <c r="F2834" t="s">
        <v>3182</v>
      </c>
      <c r="G2834" t="s">
        <v>3182</v>
      </c>
      <c r="H2834">
        <v>0</v>
      </c>
      <c r="I2834">
        <v>1961.450459</v>
      </c>
      <c r="J2834" t="s">
        <v>3182</v>
      </c>
      <c r="K2834">
        <v>-0</v>
      </c>
      <c r="L2834">
        <v>1.359475414413389</v>
      </c>
      <c r="M2834">
        <v>234.76</v>
      </c>
      <c r="N2834">
        <v>5.07</v>
      </c>
    </row>
    <row r="2835" spans="1:14">
      <c r="A2835" s="1" t="s">
        <v>2847</v>
      </c>
      <c r="B2835">
        <f>HYPERLINK("https://www.suredividend.com/sure-analysis-research-database/","Tile Shop Holdings, Inc.")</f>
        <v>0</v>
      </c>
      <c r="C2835" t="s">
        <v>3182</v>
      </c>
      <c r="D2835">
        <v>1.46</v>
      </c>
      <c r="E2835">
        <v>0</v>
      </c>
      <c r="F2835" t="s">
        <v>3182</v>
      </c>
      <c r="G2835" t="s">
        <v>3182</v>
      </c>
      <c r="H2835">
        <v>0</v>
      </c>
      <c r="I2835">
        <v>0</v>
      </c>
      <c r="J2835">
        <v>0</v>
      </c>
      <c r="K2835">
        <v>0</v>
      </c>
    </row>
    <row r="2836" spans="1:14">
      <c r="A2836" s="1" t="s">
        <v>2848</v>
      </c>
      <c r="B2836">
        <f>HYPERLINK("https://www.suredividend.com/sure-analysis-research-database/","Take-Two Interactive Software, Inc.")</f>
        <v>0</v>
      </c>
      <c r="C2836" t="s">
        <v>3191</v>
      </c>
      <c r="D2836">
        <v>137.5</v>
      </c>
      <c r="E2836">
        <v>0</v>
      </c>
      <c r="F2836" t="s">
        <v>3182</v>
      </c>
      <c r="G2836" t="s">
        <v>3182</v>
      </c>
      <c r="H2836">
        <v>0</v>
      </c>
      <c r="I2836">
        <v>23351.730738</v>
      </c>
      <c r="J2836" t="s">
        <v>3182</v>
      </c>
      <c r="K2836">
        <v>-0</v>
      </c>
      <c r="L2836">
        <v>1.116834015823516</v>
      </c>
      <c r="M2836">
        <v>153.84</v>
      </c>
      <c r="N2836">
        <v>90</v>
      </c>
    </row>
    <row r="2837" spans="1:14">
      <c r="A2837" s="1" t="s">
        <v>2849</v>
      </c>
      <c r="B2837">
        <f>HYPERLINK("https://www.suredividend.com/sure-analysis-research-database/","Tupperware Brands Corporation")</f>
        <v>0</v>
      </c>
      <c r="C2837" t="s">
        <v>3186</v>
      </c>
      <c r="D2837">
        <v>1.9</v>
      </c>
      <c r="E2837">
        <v>0</v>
      </c>
      <c r="F2837" t="s">
        <v>3182</v>
      </c>
      <c r="G2837" t="s">
        <v>3182</v>
      </c>
      <c r="H2837">
        <v>0</v>
      </c>
      <c r="I2837">
        <v>87.911708</v>
      </c>
      <c r="J2837" t="s">
        <v>3182</v>
      </c>
      <c r="K2837">
        <v>-0</v>
      </c>
      <c r="L2837">
        <v>2.651797047082442</v>
      </c>
      <c r="M2837">
        <v>5.91</v>
      </c>
      <c r="N2837">
        <v>0.61</v>
      </c>
    </row>
    <row r="2838" spans="1:14">
      <c r="A2838" s="1" t="s">
        <v>2850</v>
      </c>
      <c r="B2838">
        <f>HYPERLINK("https://www.suredividend.com/sure-analysis-research-database/","Mammoth Energy Services Inc")</f>
        <v>0</v>
      </c>
      <c r="C2838" t="s">
        <v>3189</v>
      </c>
      <c r="D2838">
        <v>4.4</v>
      </c>
      <c r="E2838">
        <v>0</v>
      </c>
      <c r="F2838" t="s">
        <v>3182</v>
      </c>
      <c r="G2838" t="s">
        <v>3182</v>
      </c>
      <c r="H2838">
        <v>0</v>
      </c>
      <c r="I2838">
        <v>210.943269</v>
      </c>
      <c r="J2838">
        <v>12.88124504152418</v>
      </c>
      <c r="K2838">
        <v>0</v>
      </c>
      <c r="L2838">
        <v>1.456238836571471</v>
      </c>
      <c r="M2838">
        <v>8.789999999999999</v>
      </c>
      <c r="N2838">
        <v>3.41</v>
      </c>
    </row>
    <row r="2839" spans="1:14">
      <c r="A2839" s="1" t="s">
        <v>2851</v>
      </c>
      <c r="B2839">
        <f>HYPERLINK("https://www.suredividend.com/sure-analysis-research-database/","Tivity Health Inc")</f>
        <v>0</v>
      </c>
      <c r="C2839" t="s">
        <v>3180</v>
      </c>
      <c r="D2839">
        <v>32.5</v>
      </c>
      <c r="E2839">
        <v>0</v>
      </c>
      <c r="F2839" t="s">
        <v>3182</v>
      </c>
      <c r="G2839" t="s">
        <v>3182</v>
      </c>
      <c r="H2839">
        <v>0</v>
      </c>
      <c r="I2839">
        <v>0</v>
      </c>
      <c r="J2839">
        <v>0</v>
      </c>
      <c r="K2839">
        <v>0</v>
      </c>
    </row>
    <row r="2840" spans="1:14">
      <c r="A2840" s="1" t="s">
        <v>2852</v>
      </c>
      <c r="B2840">
        <f>HYPERLINK("https://www.suredividend.com/sure-analysis-research-database/","Tradeweb Markets Inc")</f>
        <v>0</v>
      </c>
      <c r="C2840" t="s">
        <v>3184</v>
      </c>
      <c r="D2840">
        <v>91.53</v>
      </c>
      <c r="E2840">
        <v>0.003812027374889</v>
      </c>
      <c r="F2840" t="s">
        <v>3182</v>
      </c>
      <c r="G2840" t="s">
        <v>3182</v>
      </c>
      <c r="H2840">
        <v>0.348914865623669</v>
      </c>
      <c r="I2840">
        <v>10500.842863</v>
      </c>
      <c r="J2840">
        <v>28.84569578021344</v>
      </c>
      <c r="K2840">
        <v>0.2028574800137611</v>
      </c>
      <c r="L2840">
        <v>0.6860839020332741</v>
      </c>
      <c r="M2840">
        <v>92.03</v>
      </c>
      <c r="N2840">
        <v>53.72</v>
      </c>
    </row>
    <row r="2841" spans="1:14">
      <c r="A2841" s="1" t="s">
        <v>2853</v>
      </c>
      <c r="B2841">
        <f>HYPERLINK("https://www.suredividend.com/sure-analysis-research-database/","Titan International, Inc.")</f>
        <v>0</v>
      </c>
      <c r="C2841" t="s">
        <v>3183</v>
      </c>
      <c r="D2841">
        <v>11.71</v>
      </c>
      <c r="E2841">
        <v>0</v>
      </c>
      <c r="F2841" t="s">
        <v>3182</v>
      </c>
      <c r="G2841" t="s">
        <v>3182</v>
      </c>
      <c r="H2841">
        <v>0</v>
      </c>
      <c r="I2841">
        <v>734.533556</v>
      </c>
      <c r="J2841">
        <v>4.988207834286335</v>
      </c>
      <c r="K2841">
        <v>0</v>
      </c>
      <c r="L2841">
        <v>1.07556168169651</v>
      </c>
      <c r="M2841">
        <v>17.29</v>
      </c>
      <c r="N2841">
        <v>9.23</v>
      </c>
    </row>
    <row r="2842" spans="1:14">
      <c r="A2842" s="1" t="s">
        <v>2854</v>
      </c>
      <c r="B2842">
        <f>HYPERLINK("https://www.suredividend.com/sure-analysis-research-database/","Twin Disc Incorporated")</f>
        <v>0</v>
      </c>
      <c r="C2842" t="s">
        <v>3183</v>
      </c>
      <c r="D2842">
        <v>13.29</v>
      </c>
      <c r="E2842">
        <v>0</v>
      </c>
      <c r="F2842" t="s">
        <v>3182</v>
      </c>
      <c r="G2842" t="s">
        <v>3182</v>
      </c>
      <c r="H2842">
        <v>0</v>
      </c>
      <c r="I2842">
        <v>185.563326</v>
      </c>
      <c r="J2842">
        <v>17.87700636994219</v>
      </c>
      <c r="K2842">
        <v>0</v>
      </c>
      <c r="L2842">
        <v>0.538838778254349</v>
      </c>
      <c r="M2842">
        <v>14.7</v>
      </c>
      <c r="N2842">
        <v>8.6</v>
      </c>
    </row>
    <row r="2843" spans="1:14">
      <c r="A2843" s="1" t="s">
        <v>2855</v>
      </c>
      <c r="B2843">
        <f>HYPERLINK("https://www.suredividend.com/sure-analysis-research-database/","Twilio Inc")</f>
        <v>0</v>
      </c>
      <c r="C2843" t="s">
        <v>3191</v>
      </c>
      <c r="D2843">
        <v>52.19</v>
      </c>
      <c r="E2843">
        <v>0</v>
      </c>
      <c r="F2843" t="s">
        <v>3182</v>
      </c>
      <c r="G2843" t="s">
        <v>3182</v>
      </c>
      <c r="H2843">
        <v>0</v>
      </c>
      <c r="I2843">
        <v>9452.470708999999</v>
      </c>
      <c r="J2843" t="s">
        <v>3182</v>
      </c>
      <c r="K2843">
        <v>-0</v>
      </c>
      <c r="L2843">
        <v>1.895008377658026</v>
      </c>
      <c r="M2843">
        <v>79.7</v>
      </c>
      <c r="N2843">
        <v>41</v>
      </c>
    </row>
    <row r="2844" spans="1:14">
      <c r="A2844" s="1" t="s">
        <v>2856</v>
      </c>
      <c r="B2844">
        <f>HYPERLINK("https://www.suredividend.com/sure-analysis-research-database/","Hostess Brands Inc")</f>
        <v>0</v>
      </c>
      <c r="C2844" t="s">
        <v>3188</v>
      </c>
      <c r="D2844">
        <v>33.37</v>
      </c>
      <c r="E2844">
        <v>0</v>
      </c>
      <c r="F2844" t="s">
        <v>3182</v>
      </c>
      <c r="G2844" t="s">
        <v>3182</v>
      </c>
      <c r="H2844">
        <v>0</v>
      </c>
      <c r="I2844">
        <v>4434.252185</v>
      </c>
      <c r="J2844">
        <v>26.09365987501177</v>
      </c>
      <c r="K2844">
        <v>0</v>
      </c>
      <c r="L2844">
        <v>0.4277978357781561</v>
      </c>
      <c r="M2844">
        <v>33.74</v>
      </c>
      <c r="N2844">
        <v>21.59</v>
      </c>
    </row>
    <row r="2845" spans="1:14">
      <c r="A2845" s="1" t="s">
        <v>2857</v>
      </c>
      <c r="B2845">
        <f>HYPERLINK("https://www.suredividend.com/sure-analysis-TWO/","Two Harbors Investment Corp")</f>
        <v>0</v>
      </c>
      <c r="C2845" t="s">
        <v>3187</v>
      </c>
      <c r="D2845">
        <v>12.81</v>
      </c>
      <c r="E2845">
        <v>0.1405152224824356</v>
      </c>
      <c r="F2845">
        <v>1.647058823529412</v>
      </c>
      <c r="G2845">
        <v>-0.008659312688623744</v>
      </c>
      <c r="H2845">
        <v>1.983461797643532</v>
      </c>
      <c r="I2845">
        <v>1232.16664</v>
      </c>
      <c r="J2845">
        <v>43.23088345800295</v>
      </c>
      <c r="K2845">
        <v>7.134754667782489</v>
      </c>
      <c r="L2845">
        <v>1.172149068981049</v>
      </c>
      <c r="M2845">
        <v>16.74</v>
      </c>
      <c r="N2845">
        <v>9.83</v>
      </c>
    </row>
    <row r="2846" spans="1:14">
      <c r="A2846" s="1" t="s">
        <v>2858</v>
      </c>
      <c r="B2846">
        <f>HYPERLINK("https://www.suredividend.com/sure-analysis-research-database/","2U Inc")</f>
        <v>0</v>
      </c>
      <c r="C2846" t="s">
        <v>3188</v>
      </c>
      <c r="D2846">
        <v>2.26</v>
      </c>
      <c r="E2846">
        <v>0</v>
      </c>
      <c r="F2846" t="s">
        <v>3182</v>
      </c>
      <c r="G2846" t="s">
        <v>3182</v>
      </c>
      <c r="H2846">
        <v>0</v>
      </c>
      <c r="I2846">
        <v>184.009128</v>
      </c>
      <c r="J2846" t="s">
        <v>3182</v>
      </c>
      <c r="K2846">
        <v>-0</v>
      </c>
      <c r="L2846">
        <v>3.404219656954393</v>
      </c>
      <c r="M2846">
        <v>13.15</v>
      </c>
      <c r="N2846">
        <v>1.85</v>
      </c>
    </row>
    <row r="2847" spans="1:14">
      <c r="A2847" s="1" t="s">
        <v>2859</v>
      </c>
      <c r="B2847">
        <f>HYPERLINK("https://www.suredividend.com/sure-analysis-research-database/","Twist Bioscience Corp")</f>
        <v>0</v>
      </c>
      <c r="C2847" t="s">
        <v>3180</v>
      </c>
      <c r="D2847">
        <v>17.31</v>
      </c>
      <c r="E2847">
        <v>0</v>
      </c>
      <c r="F2847" t="s">
        <v>3182</v>
      </c>
      <c r="G2847" t="s">
        <v>3182</v>
      </c>
      <c r="H2847">
        <v>0</v>
      </c>
      <c r="I2847">
        <v>993.527028</v>
      </c>
      <c r="J2847" t="s">
        <v>3182</v>
      </c>
      <c r="K2847">
        <v>-0</v>
      </c>
      <c r="L2847">
        <v>2.751932232927253</v>
      </c>
      <c r="M2847">
        <v>40.5</v>
      </c>
      <c r="N2847">
        <v>11.46</v>
      </c>
    </row>
    <row r="2848" spans="1:14">
      <c r="A2848" s="1" t="s">
        <v>2860</v>
      </c>
      <c r="B2848">
        <f>HYPERLINK("https://www.suredividend.com/sure-analysis-research-database/","Twitter Inc")</f>
        <v>0</v>
      </c>
      <c r="C2848" t="s">
        <v>3191</v>
      </c>
      <c r="D2848">
        <v>53.7</v>
      </c>
      <c r="E2848">
        <v>0</v>
      </c>
      <c r="F2848" t="s">
        <v>3182</v>
      </c>
      <c r="G2848" t="s">
        <v>3182</v>
      </c>
      <c r="H2848">
        <v>0</v>
      </c>
      <c r="I2848">
        <v>41093.718362</v>
      </c>
      <c r="J2848" t="s">
        <v>3182</v>
      </c>
      <c r="K2848">
        <v>-0</v>
      </c>
      <c r="L2848">
        <v>0.8659565146811</v>
      </c>
      <c r="M2848">
        <v>55.33</v>
      </c>
      <c r="N2848">
        <v>31.3</v>
      </c>
    </row>
    <row r="2849" spans="1:14">
      <c r="A2849" s="1" t="s">
        <v>2861</v>
      </c>
      <c r="B2849">
        <f>HYPERLINK("https://www.suredividend.com/sure-analysis-research-database/","TherapeuticsMD Inc")</f>
        <v>0</v>
      </c>
      <c r="C2849" t="s">
        <v>3180</v>
      </c>
      <c r="D2849">
        <v>2.2</v>
      </c>
      <c r="E2849">
        <v>0</v>
      </c>
      <c r="F2849" t="s">
        <v>3182</v>
      </c>
      <c r="G2849" t="s">
        <v>3182</v>
      </c>
      <c r="H2849">
        <v>0</v>
      </c>
      <c r="I2849">
        <v>23.265528</v>
      </c>
      <c r="J2849">
        <v>0.5446050561797751</v>
      </c>
      <c r="K2849">
        <v>0</v>
      </c>
      <c r="L2849">
        <v>0.679994608903416</v>
      </c>
      <c r="M2849">
        <v>7.18</v>
      </c>
      <c r="N2849">
        <v>1.95</v>
      </c>
    </row>
    <row r="2850" spans="1:14">
      <c r="A2850" s="1" t="s">
        <v>2862</v>
      </c>
      <c r="B2850">
        <f>HYPERLINK("https://www.suredividend.com/sure-analysis-TXN/","Texas Instruments Inc.")</f>
        <v>0</v>
      </c>
      <c r="C2850" t="s">
        <v>3185</v>
      </c>
      <c r="D2850">
        <v>147.31</v>
      </c>
      <c r="E2850">
        <v>0.03529970809856765</v>
      </c>
      <c r="F2850">
        <v>0.04838709677419351</v>
      </c>
      <c r="G2850">
        <v>0.110428309953333</v>
      </c>
      <c r="H2850">
        <v>4.900559800353793</v>
      </c>
      <c r="I2850">
        <v>133787.54494</v>
      </c>
      <c r="J2850">
        <v>18.93666595043595</v>
      </c>
      <c r="K2850">
        <v>0.6356108690471847</v>
      </c>
      <c r="L2850">
        <v>1.223098293098814</v>
      </c>
      <c r="M2850">
        <v>182.15</v>
      </c>
      <c r="N2850">
        <v>137.59</v>
      </c>
    </row>
    <row r="2851" spans="1:14">
      <c r="A2851" s="1" t="s">
        <v>2863</v>
      </c>
      <c r="B2851">
        <f>HYPERLINK("https://www.suredividend.com/sure-analysis-research-database/","Texas Roadhouse Inc")</f>
        <v>0</v>
      </c>
      <c r="C2851" t="s">
        <v>3186</v>
      </c>
      <c r="D2851">
        <v>102.42</v>
      </c>
      <c r="E2851">
        <v>0.020370396489087</v>
      </c>
      <c r="F2851" t="s">
        <v>3182</v>
      </c>
      <c r="G2851" t="s">
        <v>3182</v>
      </c>
      <c r="H2851">
        <v>2.086336008412358</v>
      </c>
      <c r="I2851">
        <v>6831.414</v>
      </c>
      <c r="J2851">
        <v>23.48735280466212</v>
      </c>
      <c r="K2851">
        <v>0.4818327964000827</v>
      </c>
      <c r="L2851">
        <v>0.480464847774572</v>
      </c>
      <c r="M2851">
        <v>116.92</v>
      </c>
      <c r="N2851">
        <v>88.52</v>
      </c>
    </row>
    <row r="2852" spans="1:14">
      <c r="A2852" s="1" t="s">
        <v>2864</v>
      </c>
      <c r="B2852">
        <f>HYPERLINK("https://www.suredividend.com/sure-analysis-research-database/","Textron Inc.")</f>
        <v>0</v>
      </c>
      <c r="C2852" t="s">
        <v>3183</v>
      </c>
      <c r="D2852">
        <v>77.47</v>
      </c>
      <c r="E2852">
        <v>0.001032225312429</v>
      </c>
      <c r="F2852">
        <v>0</v>
      </c>
      <c r="G2852">
        <v>0</v>
      </c>
      <c r="H2852">
        <v>0.079966494953951</v>
      </c>
      <c r="I2852">
        <v>15184.542754</v>
      </c>
      <c r="J2852">
        <v>16.0005719218019</v>
      </c>
      <c r="K2852">
        <v>0.01727138119955745</v>
      </c>
      <c r="L2852">
        <v>0.8310121219376521</v>
      </c>
      <c r="M2852">
        <v>81.39</v>
      </c>
      <c r="N2852">
        <v>61.24</v>
      </c>
    </row>
    <row r="2853" spans="1:14">
      <c r="A2853" s="1" t="s">
        <v>2865</v>
      </c>
      <c r="B2853">
        <f>HYPERLINK("https://www.suredividend.com/sure-analysis-research-database/","Tyler Technologies, Inc.")</f>
        <v>0</v>
      </c>
      <c r="C2853" t="s">
        <v>3185</v>
      </c>
      <c r="D2853">
        <v>405.75</v>
      </c>
      <c r="E2853">
        <v>0</v>
      </c>
      <c r="F2853" t="s">
        <v>3182</v>
      </c>
      <c r="G2853" t="s">
        <v>3182</v>
      </c>
      <c r="H2853">
        <v>0</v>
      </c>
      <c r="I2853">
        <v>17091.88847</v>
      </c>
      <c r="J2853">
        <v>104.0190394638347</v>
      </c>
      <c r="K2853">
        <v>0</v>
      </c>
      <c r="L2853">
        <v>1.390890622162424</v>
      </c>
      <c r="M2853">
        <v>426.83</v>
      </c>
      <c r="N2853">
        <v>281.11</v>
      </c>
    </row>
    <row r="2854" spans="1:14">
      <c r="A2854" s="1" t="s">
        <v>2866</v>
      </c>
      <c r="B2854">
        <f>HYPERLINK("https://www.suredividend.com/sure-analysis-research-database/","Tyme Technologies Inc")</f>
        <v>0</v>
      </c>
      <c r="C2854" t="s">
        <v>3180</v>
      </c>
      <c r="D2854">
        <v>0.3107</v>
      </c>
      <c r="E2854">
        <v>0</v>
      </c>
      <c r="F2854" t="s">
        <v>3182</v>
      </c>
      <c r="G2854" t="s">
        <v>3182</v>
      </c>
      <c r="H2854">
        <v>0</v>
      </c>
      <c r="I2854">
        <v>0</v>
      </c>
      <c r="J2854">
        <v>0</v>
      </c>
      <c r="K2854" t="s">
        <v>3182</v>
      </c>
    </row>
    <row r="2855" spans="1:14">
      <c r="A2855" s="1" t="s">
        <v>2867</v>
      </c>
      <c r="B2855">
        <f>HYPERLINK("https://www.suredividend.com/sure-analysis-research-database/","Travelzoo")</f>
        <v>0</v>
      </c>
      <c r="C2855" t="s">
        <v>3186</v>
      </c>
      <c r="D2855">
        <v>7.4</v>
      </c>
      <c r="E2855">
        <v>0</v>
      </c>
      <c r="F2855" t="s">
        <v>3182</v>
      </c>
      <c r="G2855" t="s">
        <v>3182</v>
      </c>
      <c r="H2855">
        <v>0</v>
      </c>
      <c r="I2855">
        <v>110.334725</v>
      </c>
      <c r="J2855">
        <v>11.55821550387597</v>
      </c>
      <c r="K2855">
        <v>0</v>
      </c>
      <c r="L2855">
        <v>0.8612401003665461</v>
      </c>
      <c r="M2855">
        <v>10.86</v>
      </c>
      <c r="N2855">
        <v>4.1</v>
      </c>
    </row>
    <row r="2856" spans="1:14">
      <c r="A2856" s="1" t="s">
        <v>2868</v>
      </c>
      <c r="B2856">
        <f>HYPERLINK("https://www.suredividend.com/sure-analysis-research-database/","Under Armour Inc")</f>
        <v>0</v>
      </c>
      <c r="C2856" t="s">
        <v>3186</v>
      </c>
      <c r="D2856">
        <v>6.59</v>
      </c>
      <c r="E2856">
        <v>0</v>
      </c>
      <c r="F2856" t="s">
        <v>3182</v>
      </c>
      <c r="G2856" t="s">
        <v>3182</v>
      </c>
      <c r="H2856">
        <v>0</v>
      </c>
      <c r="I2856">
        <v>2787.017056</v>
      </c>
      <c r="J2856">
        <v>7.189778699785365</v>
      </c>
      <c r="K2856">
        <v>0</v>
      </c>
      <c r="L2856">
        <v>1.634101706751909</v>
      </c>
      <c r="M2856">
        <v>11.42</v>
      </c>
      <c r="N2856">
        <v>5.86</v>
      </c>
    </row>
    <row r="2857" spans="1:14">
      <c r="A2857" s="1" t="s">
        <v>2869</v>
      </c>
      <c r="B2857">
        <f>HYPERLINK("https://www.suredividend.com/sure-analysis-research-database/","Under Armour Inc")</f>
        <v>0</v>
      </c>
      <c r="C2857" t="s">
        <v>3186</v>
      </c>
      <c r="D2857">
        <v>7.01</v>
      </c>
      <c r="E2857">
        <v>0</v>
      </c>
      <c r="F2857" t="s">
        <v>3182</v>
      </c>
      <c r="G2857" t="s">
        <v>3182</v>
      </c>
      <c r="H2857">
        <v>0</v>
      </c>
      <c r="I2857">
        <v>3109.555525</v>
      </c>
      <c r="J2857">
        <v>7.189778699785365</v>
      </c>
      <c r="K2857">
        <v>0</v>
      </c>
      <c r="L2857">
        <v>1.703027172511367</v>
      </c>
      <c r="M2857">
        <v>13.05</v>
      </c>
      <c r="N2857">
        <v>6.29</v>
      </c>
    </row>
    <row r="2858" spans="1:14">
      <c r="A2858" s="1" t="s">
        <v>2870</v>
      </c>
      <c r="B2858">
        <f>HYPERLINK("https://www.suredividend.com/sure-analysis-research-database/","United Airlines Holdings Inc")</f>
        <v>0</v>
      </c>
      <c r="C2858" t="s">
        <v>3183</v>
      </c>
      <c r="D2858">
        <v>35.82</v>
      </c>
      <c r="E2858">
        <v>0</v>
      </c>
      <c r="F2858" t="s">
        <v>3182</v>
      </c>
      <c r="G2858" t="s">
        <v>3182</v>
      </c>
      <c r="H2858">
        <v>0</v>
      </c>
      <c r="I2858">
        <v>11749.485838</v>
      </c>
      <c r="J2858">
        <v>4.106775895700804</v>
      </c>
      <c r="K2858">
        <v>0</v>
      </c>
      <c r="L2858">
        <v>1.037160253229647</v>
      </c>
      <c r="M2858">
        <v>58.23</v>
      </c>
      <c r="N2858">
        <v>33.68</v>
      </c>
    </row>
    <row r="2859" spans="1:14">
      <c r="A2859" s="1" t="s">
        <v>2871</v>
      </c>
      <c r="B2859">
        <f>HYPERLINK("https://www.suredividend.com/sure-analysis-research-database/","United States Antimony Corp.")</f>
        <v>0</v>
      </c>
      <c r="C2859" t="s">
        <v>3181</v>
      </c>
      <c r="D2859">
        <v>0.344</v>
      </c>
      <c r="E2859">
        <v>0</v>
      </c>
      <c r="F2859" t="s">
        <v>3182</v>
      </c>
      <c r="G2859" t="s">
        <v>3182</v>
      </c>
      <c r="H2859">
        <v>0</v>
      </c>
      <c r="I2859">
        <v>37.030677</v>
      </c>
      <c r="J2859">
        <v>0</v>
      </c>
      <c r="K2859" t="s">
        <v>3182</v>
      </c>
      <c r="L2859">
        <v>0.4871629878275691</v>
      </c>
      <c r="M2859">
        <v>0.5</v>
      </c>
      <c r="N2859">
        <v>0.29</v>
      </c>
    </row>
    <row r="2860" spans="1:14">
      <c r="A2860" s="1" t="s">
        <v>2872</v>
      </c>
      <c r="B2860">
        <f>HYPERLINK("https://www.suredividend.com/sure-analysis-research-database/","Urstadt Biddle Properties, Inc.")</f>
        <v>0</v>
      </c>
      <c r="C2860" t="s">
        <v>3187</v>
      </c>
      <c r="D2860">
        <v>21.14</v>
      </c>
      <c r="E2860">
        <v>0.055464129916136</v>
      </c>
      <c r="F2860" t="s">
        <v>3182</v>
      </c>
      <c r="G2860" t="s">
        <v>3182</v>
      </c>
      <c r="H2860">
        <v>1.172511706427133</v>
      </c>
      <c r="I2860">
        <v>832.174133</v>
      </c>
      <c r="J2860">
        <v>32.57296592101143</v>
      </c>
      <c r="K2860">
        <v>1.743771127940412</v>
      </c>
      <c r="L2860">
        <v>0.811919697943923</v>
      </c>
      <c r="M2860">
        <v>23.16</v>
      </c>
      <c r="N2860">
        <v>14.51</v>
      </c>
    </row>
    <row r="2861" spans="1:14">
      <c r="A2861" s="1" t="s">
        <v>2873</v>
      </c>
      <c r="B2861">
        <f>HYPERLINK("https://www.suredividend.com/sure-analysis-research-database/","United Bancorp, Inc. (Martins Ferry, OH)")</f>
        <v>0</v>
      </c>
      <c r="C2861" t="s">
        <v>3184</v>
      </c>
      <c r="D2861">
        <v>10.71</v>
      </c>
      <c r="E2861">
        <v>0.044994223535251</v>
      </c>
      <c r="F2861">
        <v>0.046875</v>
      </c>
      <c r="G2861">
        <v>0.04026125343417397</v>
      </c>
      <c r="H2861">
        <v>0.48188813406254</v>
      </c>
      <c r="I2861">
        <v>60.942588</v>
      </c>
      <c r="J2861">
        <v>0</v>
      </c>
      <c r="K2861" t="s">
        <v>3182</v>
      </c>
      <c r="M2861">
        <v>15.15</v>
      </c>
      <c r="N2861">
        <v>9.84</v>
      </c>
    </row>
    <row r="2862" spans="1:14">
      <c r="A2862" s="1" t="s">
        <v>2874</v>
      </c>
      <c r="B2862">
        <f>HYPERLINK("https://www.suredividend.com/sure-analysis-research-database/","Uber Technologies Inc")</f>
        <v>0</v>
      </c>
      <c r="C2862" t="s">
        <v>3185</v>
      </c>
      <c r="D2862">
        <v>46.48</v>
      </c>
      <c r="E2862">
        <v>0</v>
      </c>
      <c r="F2862" t="s">
        <v>3182</v>
      </c>
      <c r="G2862" t="s">
        <v>3182</v>
      </c>
      <c r="H2862">
        <v>0</v>
      </c>
      <c r="I2862">
        <v>86494.912879</v>
      </c>
      <c r="J2862" t="s">
        <v>3182</v>
      </c>
      <c r="K2862">
        <v>-0</v>
      </c>
      <c r="L2862">
        <v>1.466408349333948</v>
      </c>
      <c r="M2862">
        <v>49.49</v>
      </c>
      <c r="N2862">
        <v>23.9</v>
      </c>
    </row>
    <row r="2863" spans="1:14">
      <c r="A2863" s="1" t="s">
        <v>2875</v>
      </c>
      <c r="B2863">
        <f>HYPERLINK("https://www.suredividend.com/sure-analysis-research-database/","United Security Bancshares (CA)")</f>
        <v>0</v>
      </c>
      <c r="C2863" t="s">
        <v>3184</v>
      </c>
      <c r="D2863">
        <v>7.75</v>
      </c>
      <c r="E2863">
        <v>0.056497955754176</v>
      </c>
      <c r="F2863">
        <v>0.09090909090909083</v>
      </c>
      <c r="G2863">
        <v>0.01755457717558762</v>
      </c>
      <c r="H2863">
        <v>0.4378591570948711</v>
      </c>
      <c r="I2863">
        <v>132.48081</v>
      </c>
      <c r="J2863">
        <v>6.510113488943489</v>
      </c>
      <c r="K2863">
        <v>0.367948871508295</v>
      </c>
      <c r="L2863">
        <v>0.4033934284053861</v>
      </c>
      <c r="M2863">
        <v>7.8</v>
      </c>
      <c r="N2863">
        <v>5.13</v>
      </c>
    </row>
    <row r="2864" spans="1:14">
      <c r="A2864" s="1" t="s">
        <v>2876</v>
      </c>
      <c r="B2864">
        <f>HYPERLINK("https://www.suredividend.com/sure-analysis-research-database/","United Bancshares Inc. (OH)")</f>
        <v>0</v>
      </c>
      <c r="C2864" t="s">
        <v>3184</v>
      </c>
      <c r="D2864">
        <v>17.35</v>
      </c>
      <c r="E2864">
        <v>0</v>
      </c>
      <c r="F2864">
        <v>0.04761904761904767</v>
      </c>
      <c r="G2864">
        <v>0.1288813207301975</v>
      </c>
      <c r="H2864">
        <v>0</v>
      </c>
      <c r="I2864">
        <v>54.20723</v>
      </c>
      <c r="J2864">
        <v>0</v>
      </c>
      <c r="K2864" t="s">
        <v>3182</v>
      </c>
      <c r="M2864">
        <v>21.25</v>
      </c>
      <c r="N2864">
        <v>17</v>
      </c>
    </row>
    <row r="2865" spans="1:14">
      <c r="A2865" s="1" t="s">
        <v>2877</v>
      </c>
      <c r="B2865">
        <f>HYPERLINK("https://www.suredividend.com/sure-analysis-UBSI/","United Bankshares, Inc.")</f>
        <v>0</v>
      </c>
      <c r="C2865" t="s">
        <v>3184</v>
      </c>
      <c r="D2865">
        <v>29.76</v>
      </c>
      <c r="E2865">
        <v>0.04838709677419355</v>
      </c>
      <c r="F2865">
        <v>0</v>
      </c>
      <c r="G2865">
        <v>0.01149727415513624</v>
      </c>
      <c r="H2865">
        <v>1.395403349339931</v>
      </c>
      <c r="I2865">
        <v>4015.667058</v>
      </c>
      <c r="J2865">
        <v>10.21496723165681</v>
      </c>
      <c r="K2865">
        <v>0.4778778593629902</v>
      </c>
      <c r="L2865">
        <v>1.073575912510946</v>
      </c>
      <c r="M2865">
        <v>41.4</v>
      </c>
      <c r="N2865">
        <v>25.35</v>
      </c>
    </row>
    <row r="2866" spans="1:14">
      <c r="A2866" s="1" t="s">
        <v>2878</v>
      </c>
      <c r="B2866">
        <f>HYPERLINK("https://www.suredividend.com/sure-analysis-research-database/","United Community Banks Inc")</f>
        <v>0</v>
      </c>
      <c r="C2866" t="s">
        <v>3184</v>
      </c>
      <c r="D2866">
        <v>23.42</v>
      </c>
      <c r="E2866">
        <v>0.038096146390109</v>
      </c>
      <c r="F2866">
        <v>0.04545454545454541</v>
      </c>
      <c r="G2866">
        <v>0.07528000640556964</v>
      </c>
      <c r="H2866">
        <v>0.8922117484563631</v>
      </c>
      <c r="I2866">
        <v>2783.545715</v>
      </c>
      <c r="J2866">
        <v>9.949016247064669</v>
      </c>
      <c r="K2866">
        <v>0.3554628479905829</v>
      </c>
      <c r="L2866">
        <v>1.299699362611227</v>
      </c>
      <c r="M2866">
        <v>37.89</v>
      </c>
      <c r="N2866">
        <v>19.83</v>
      </c>
    </row>
    <row r="2867" spans="1:14">
      <c r="A2867" s="1" t="s">
        <v>2879</v>
      </c>
      <c r="B2867">
        <f>HYPERLINK("https://www.suredividend.com/sure-analysis-research-database/","Ultra Clean Hldgs Inc")</f>
        <v>0</v>
      </c>
      <c r="C2867" t="s">
        <v>3185</v>
      </c>
      <c r="D2867">
        <v>24.94</v>
      </c>
      <c r="E2867">
        <v>0</v>
      </c>
      <c r="F2867" t="s">
        <v>3182</v>
      </c>
      <c r="G2867" t="s">
        <v>3182</v>
      </c>
      <c r="H2867">
        <v>0</v>
      </c>
      <c r="I2867">
        <v>1117.401984</v>
      </c>
      <c r="J2867">
        <v>45.05653159354839</v>
      </c>
      <c r="K2867">
        <v>0</v>
      </c>
      <c r="L2867">
        <v>1.67052505998888</v>
      </c>
      <c r="M2867">
        <v>40.8</v>
      </c>
      <c r="N2867">
        <v>22.15</v>
      </c>
    </row>
    <row r="2868" spans="1:14">
      <c r="A2868" s="1" t="s">
        <v>2880</v>
      </c>
      <c r="B2868">
        <f>HYPERLINK("https://www.suredividend.com/sure-analysis-UDR/","UDR Inc")</f>
        <v>0</v>
      </c>
      <c r="C2868" t="s">
        <v>3187</v>
      </c>
      <c r="D2868">
        <v>32.26</v>
      </c>
      <c r="E2868">
        <v>0.05207687538747675</v>
      </c>
      <c r="F2868">
        <v>0.1052631578947367</v>
      </c>
      <c r="G2868">
        <v>0.04164022553847668</v>
      </c>
      <c r="H2868">
        <v>1.98218634288737</v>
      </c>
      <c r="I2868">
        <v>10611.221603</v>
      </c>
      <c r="J2868">
        <v>23.51955068165597</v>
      </c>
      <c r="K2868">
        <v>1.446851345173263</v>
      </c>
      <c r="L2868">
        <v>1.005726617183985</v>
      </c>
      <c r="M2868">
        <v>44.03</v>
      </c>
      <c r="N2868">
        <v>30.95</v>
      </c>
    </row>
    <row r="2869" spans="1:14">
      <c r="A2869" s="1" t="s">
        <v>2881</v>
      </c>
      <c r="B2869">
        <f>HYPERLINK("https://www.suredividend.com/sure-analysis-UE/","Urban Edge Properties")</f>
        <v>0</v>
      </c>
      <c r="C2869" t="s">
        <v>3187</v>
      </c>
      <c r="D2869">
        <v>16.72</v>
      </c>
      <c r="E2869">
        <v>0.03827751196172249</v>
      </c>
      <c r="F2869" t="s">
        <v>3182</v>
      </c>
      <c r="G2869" t="s">
        <v>3182</v>
      </c>
      <c r="H2869">
        <v>0.6301109412571551</v>
      </c>
      <c r="I2869">
        <v>1966.982299</v>
      </c>
      <c r="J2869">
        <v>48.08542265291155</v>
      </c>
      <c r="K2869">
        <v>1.87644711511958</v>
      </c>
      <c r="L2869">
        <v>1.112950968498707</v>
      </c>
      <c r="M2869">
        <v>17.51</v>
      </c>
      <c r="N2869">
        <v>12.86</v>
      </c>
    </row>
    <row r="2870" spans="1:14">
      <c r="A2870" s="1" t="s">
        <v>2882</v>
      </c>
      <c r="B2870">
        <f>HYPERLINK("https://www.suredividend.com/sure-analysis-research-database/","Uranium Energy Corp")</f>
        <v>0</v>
      </c>
      <c r="C2870" t="s">
        <v>3189</v>
      </c>
      <c r="D2870">
        <v>5.91</v>
      </c>
      <c r="E2870">
        <v>0</v>
      </c>
      <c r="F2870" t="s">
        <v>3182</v>
      </c>
      <c r="G2870" t="s">
        <v>3182</v>
      </c>
      <c r="H2870">
        <v>0</v>
      </c>
      <c r="I2870">
        <v>2280.364298</v>
      </c>
      <c r="J2870" t="s">
        <v>3182</v>
      </c>
      <c r="K2870">
        <v>-0</v>
      </c>
      <c r="L2870">
        <v>1.5928763002955</v>
      </c>
      <c r="M2870">
        <v>6.03</v>
      </c>
      <c r="N2870">
        <v>2.3</v>
      </c>
    </row>
    <row r="2871" spans="1:14">
      <c r="A2871" s="1" t="s">
        <v>2883</v>
      </c>
      <c r="B2871">
        <f>HYPERLINK("https://www.suredividend.com/sure-analysis-research-database/","Universal Electronics Inc.")</f>
        <v>0</v>
      </c>
      <c r="C2871" t="s">
        <v>3185</v>
      </c>
      <c r="D2871">
        <v>7.85</v>
      </c>
      <c r="E2871">
        <v>0</v>
      </c>
      <c r="F2871" t="s">
        <v>3182</v>
      </c>
      <c r="G2871" t="s">
        <v>3182</v>
      </c>
      <c r="H2871">
        <v>0</v>
      </c>
      <c r="I2871">
        <v>101.333413</v>
      </c>
      <c r="J2871" t="s">
        <v>3182</v>
      </c>
      <c r="K2871">
        <v>-0</v>
      </c>
      <c r="L2871">
        <v>0.9619043288882441</v>
      </c>
      <c r="M2871">
        <v>25.91</v>
      </c>
      <c r="N2871">
        <v>7.02</v>
      </c>
    </row>
    <row r="2872" spans="1:14">
      <c r="A2872" s="1" t="s">
        <v>2884</v>
      </c>
      <c r="B2872">
        <f>HYPERLINK("https://www.suredividend.com/sure-analysis-research-database/","Unique Fabricating Inc")</f>
        <v>0</v>
      </c>
      <c r="C2872" t="s">
        <v>3186</v>
      </c>
      <c r="D2872">
        <v>0.2222</v>
      </c>
      <c r="E2872">
        <v>0</v>
      </c>
      <c r="F2872" t="s">
        <v>3182</v>
      </c>
      <c r="G2872" t="s">
        <v>3182</v>
      </c>
      <c r="H2872">
        <v>0</v>
      </c>
      <c r="I2872">
        <v>2.607105</v>
      </c>
      <c r="J2872">
        <v>0</v>
      </c>
      <c r="K2872" t="s">
        <v>3182</v>
      </c>
      <c r="L2872">
        <v>0.5305536681423231</v>
      </c>
      <c r="M2872">
        <v>1.09</v>
      </c>
      <c r="N2872">
        <v>0.14</v>
      </c>
    </row>
    <row r="2873" spans="1:14">
      <c r="A2873" s="1" t="s">
        <v>2885</v>
      </c>
      <c r="B2873">
        <f>HYPERLINK("https://www.suredividend.com/sure-analysis-research-database/","United Fire Group Inc")</f>
        <v>0</v>
      </c>
      <c r="C2873" t="s">
        <v>3184</v>
      </c>
      <c r="D2873">
        <v>19.64</v>
      </c>
      <c r="E2873">
        <v>0.031918173432639</v>
      </c>
      <c r="F2873">
        <v>0</v>
      </c>
      <c r="G2873">
        <v>-0.1239040801101997</v>
      </c>
      <c r="H2873">
        <v>0.6268729262170321</v>
      </c>
      <c r="I2873">
        <v>496.195919</v>
      </c>
      <c r="J2873" t="s">
        <v>3182</v>
      </c>
      <c r="K2873" t="s">
        <v>3182</v>
      </c>
      <c r="L2873">
        <v>0.534015272092027</v>
      </c>
      <c r="M2873">
        <v>31.37</v>
      </c>
      <c r="N2873">
        <v>18.41</v>
      </c>
    </row>
    <row r="2874" spans="1:14">
      <c r="A2874" s="1" t="s">
        <v>2886</v>
      </c>
      <c r="B2874">
        <f>HYPERLINK("https://www.suredividend.com/sure-analysis-research-database/","UNIFI, Inc.")</f>
        <v>0</v>
      </c>
      <c r="C2874" t="s">
        <v>3186</v>
      </c>
      <c r="D2874">
        <v>6.02</v>
      </c>
      <c r="E2874">
        <v>0</v>
      </c>
      <c r="F2874" t="s">
        <v>3182</v>
      </c>
      <c r="G2874" t="s">
        <v>3182</v>
      </c>
      <c r="H2874">
        <v>0</v>
      </c>
      <c r="I2874">
        <v>108.868822</v>
      </c>
      <c r="J2874" t="s">
        <v>3182</v>
      </c>
      <c r="K2874">
        <v>-0</v>
      </c>
      <c r="L2874">
        <v>1.279808495455716</v>
      </c>
      <c r="M2874">
        <v>10.54</v>
      </c>
      <c r="N2874">
        <v>5.85</v>
      </c>
    </row>
    <row r="2875" spans="1:14">
      <c r="A2875" s="1" t="s">
        <v>2887</v>
      </c>
      <c r="B2875">
        <f>HYPERLINK("https://www.suredividend.com/sure-analysis-research-database/","UFP Industries Inc")</f>
        <v>0</v>
      </c>
      <c r="C2875" t="s">
        <v>3181</v>
      </c>
      <c r="D2875">
        <v>98.5</v>
      </c>
      <c r="E2875">
        <v>0.010593263335704</v>
      </c>
      <c r="F2875" t="s">
        <v>3182</v>
      </c>
      <c r="G2875" t="s">
        <v>3182</v>
      </c>
      <c r="H2875">
        <v>1.043436438566876</v>
      </c>
      <c r="I2875">
        <v>6116.85</v>
      </c>
      <c r="J2875">
        <v>11.09976972448596</v>
      </c>
      <c r="K2875">
        <v>0.1147894871910755</v>
      </c>
      <c r="L2875">
        <v>1.377327183810271</v>
      </c>
      <c r="M2875">
        <v>107.57</v>
      </c>
      <c r="N2875">
        <v>66.62</v>
      </c>
    </row>
    <row r="2876" spans="1:14">
      <c r="A2876" s="1" t="s">
        <v>2888</v>
      </c>
      <c r="B2876">
        <f>HYPERLINK("https://www.suredividend.com/sure-analysis-research-database/","UFP Technologies Inc.")</f>
        <v>0</v>
      </c>
      <c r="C2876" t="s">
        <v>3186</v>
      </c>
      <c r="D2876">
        <v>137.9</v>
      </c>
      <c r="E2876">
        <v>0</v>
      </c>
      <c r="F2876" t="s">
        <v>3182</v>
      </c>
      <c r="G2876" t="s">
        <v>3182</v>
      </c>
      <c r="H2876">
        <v>0</v>
      </c>
      <c r="I2876">
        <v>1053.392175</v>
      </c>
      <c r="J2876">
        <v>21.22747410124133</v>
      </c>
      <c r="K2876">
        <v>0</v>
      </c>
      <c r="L2876">
        <v>0.8477744505701761</v>
      </c>
      <c r="M2876">
        <v>205.08</v>
      </c>
      <c r="N2876">
        <v>103.64</v>
      </c>
    </row>
    <row r="2877" spans="1:14">
      <c r="A2877" s="1" t="s">
        <v>2889</v>
      </c>
      <c r="B2877">
        <f>HYPERLINK("https://www.suredividend.com/sure-analysis-research-database/","Domtar Corporation")</f>
        <v>0</v>
      </c>
      <c r="C2877" t="s">
        <v>3181</v>
      </c>
      <c r="D2877">
        <v>55.49</v>
      </c>
      <c r="E2877">
        <v>0</v>
      </c>
      <c r="F2877" t="s">
        <v>3182</v>
      </c>
      <c r="G2877" t="s">
        <v>3182</v>
      </c>
      <c r="H2877">
        <v>0</v>
      </c>
      <c r="I2877">
        <v>2795.535704</v>
      </c>
      <c r="J2877">
        <v>121.5450306130435</v>
      </c>
      <c r="K2877">
        <v>0</v>
      </c>
      <c r="L2877">
        <v>0.297009864263881</v>
      </c>
      <c r="M2877">
        <v>55.5</v>
      </c>
      <c r="N2877">
        <v>29.07</v>
      </c>
    </row>
    <row r="2878" spans="1:14">
      <c r="A2878" s="1" t="s">
        <v>2890</v>
      </c>
      <c r="B2878">
        <f>HYPERLINK("https://www.suredividend.com/sure-analysis-research-database/","United-Guardian, Inc.")</f>
        <v>0</v>
      </c>
      <c r="C2878" t="s">
        <v>3188</v>
      </c>
      <c r="D2878">
        <v>5.9</v>
      </c>
      <c r="E2878">
        <v>0.06831311868414401</v>
      </c>
      <c r="F2878" t="s">
        <v>3182</v>
      </c>
      <c r="G2878" t="s">
        <v>3182</v>
      </c>
      <c r="H2878">
        <v>0.403047400236454</v>
      </c>
      <c r="I2878">
        <v>27.106482</v>
      </c>
      <c r="J2878">
        <v>0</v>
      </c>
      <c r="K2878" t="s">
        <v>3182</v>
      </c>
      <c r="L2878">
        <v>-0.019422410017301</v>
      </c>
      <c r="M2878">
        <v>13.64</v>
      </c>
      <c r="N2878">
        <v>5.83</v>
      </c>
    </row>
    <row r="2879" spans="1:14">
      <c r="A2879" s="1" t="s">
        <v>2891</v>
      </c>
      <c r="B2879">
        <f>HYPERLINK("https://www.suredividend.com/sure-analysis-UGI/","UGI Corp.")</f>
        <v>0</v>
      </c>
      <c r="C2879" t="s">
        <v>3190</v>
      </c>
      <c r="D2879">
        <v>21.89</v>
      </c>
      <c r="E2879">
        <v>0.06852444038373687</v>
      </c>
      <c r="F2879">
        <v>0.04166666666666674</v>
      </c>
      <c r="G2879">
        <v>0.07599829696383686</v>
      </c>
      <c r="H2879">
        <v>1.439812048991169</v>
      </c>
      <c r="I2879">
        <v>4585.490363</v>
      </c>
      <c r="J2879" t="s">
        <v>3182</v>
      </c>
      <c r="K2879" t="s">
        <v>3182</v>
      </c>
      <c r="L2879">
        <v>1.033743077837467</v>
      </c>
      <c r="M2879">
        <v>41.52</v>
      </c>
      <c r="N2879">
        <v>20.19</v>
      </c>
    </row>
    <row r="2880" spans="1:14">
      <c r="A2880" s="1" t="s">
        <v>2892</v>
      </c>
      <c r="B2880">
        <f>HYPERLINK("https://www.suredividend.com/sure-analysis-research-database/","U-Haul Holding Company")</f>
        <v>0</v>
      </c>
      <c r="C2880" t="s">
        <v>3183</v>
      </c>
      <c r="D2880">
        <v>49.89</v>
      </c>
      <c r="E2880">
        <v>0</v>
      </c>
      <c r="F2880" t="s">
        <v>3182</v>
      </c>
      <c r="G2880" t="s">
        <v>3182</v>
      </c>
      <c r="H2880">
        <v>0</v>
      </c>
      <c r="I2880">
        <v>9311.150288000001</v>
      </c>
      <c r="J2880">
        <v>11.0082478211564</v>
      </c>
      <c r="K2880">
        <v>0</v>
      </c>
      <c r="L2880">
        <v>-1.050379425660065</v>
      </c>
      <c r="M2880">
        <v>543.5</v>
      </c>
      <c r="N2880">
        <v>48.07</v>
      </c>
    </row>
    <row r="2881" spans="1:14">
      <c r="A2881" s="1" t="s">
        <v>2893</v>
      </c>
      <c r="B2881">
        <f>HYPERLINK("https://www.suredividend.com/sure-analysis-research-database/","Universal Health Services, Inc.")</f>
        <v>0</v>
      </c>
      <c r="C2881" t="s">
        <v>3180</v>
      </c>
      <c r="D2881">
        <v>126.11</v>
      </c>
      <c r="E2881">
        <v>0.006329633950781</v>
      </c>
      <c r="F2881" t="s">
        <v>3182</v>
      </c>
      <c r="G2881" t="s">
        <v>3182</v>
      </c>
      <c r="H2881">
        <v>0.798230137533068</v>
      </c>
      <c r="I2881">
        <v>9202.278480000001</v>
      </c>
      <c r="J2881">
        <v>11.33202470437591</v>
      </c>
      <c r="K2881">
        <v>0.08288994159221889</v>
      </c>
      <c r="L2881">
        <v>0.8491516492438921</v>
      </c>
      <c r="M2881">
        <v>158.34</v>
      </c>
      <c r="N2881">
        <v>108.7</v>
      </c>
    </row>
    <row r="2882" spans="1:14">
      <c r="A2882" s="1" t="s">
        <v>2894</v>
      </c>
      <c r="B2882">
        <f>HYPERLINK("https://www.suredividend.com/sure-analysis-UHT/","Universal Health Realty Income Trust")</f>
        <v>0</v>
      </c>
      <c r="C2882" t="s">
        <v>3187</v>
      </c>
      <c r="D2882">
        <v>40.55</v>
      </c>
      <c r="E2882">
        <v>0.07102342786683108</v>
      </c>
      <c r="F2882">
        <v>0.0140845070422535</v>
      </c>
      <c r="G2882">
        <v>0.01299136822423641</v>
      </c>
      <c r="H2882">
        <v>2.805060588042368</v>
      </c>
      <c r="I2882">
        <v>560.486236</v>
      </c>
      <c r="J2882">
        <v>30.438049098512</v>
      </c>
      <c r="K2882">
        <v>2.109068111310051</v>
      </c>
      <c r="L2882">
        <v>0.767891036297486</v>
      </c>
      <c r="M2882">
        <v>54.97</v>
      </c>
      <c r="N2882">
        <v>37</v>
      </c>
    </row>
    <row r="2883" spans="1:14">
      <c r="A2883" s="1" t="s">
        <v>2895</v>
      </c>
      <c r="B2883">
        <f>HYPERLINK("https://www.suredividend.com/sure-analysis-research-database/","Ubiquiti Inc")</f>
        <v>0</v>
      </c>
      <c r="C2883" t="s">
        <v>3185</v>
      </c>
      <c r="D2883">
        <v>124.62</v>
      </c>
      <c r="E2883">
        <v>0.019156869188612</v>
      </c>
      <c r="F2883">
        <v>0</v>
      </c>
      <c r="G2883">
        <v>0.1913578981670916</v>
      </c>
      <c r="H2883">
        <v>2.387329038284949</v>
      </c>
      <c r="I2883">
        <v>7533.02328</v>
      </c>
      <c r="J2883">
        <v>18.47955254687336</v>
      </c>
      <c r="K2883">
        <v>0.3542031214072624</v>
      </c>
      <c r="L2883">
        <v>1.267220384983915</v>
      </c>
      <c r="M2883">
        <v>319.42</v>
      </c>
      <c r="N2883">
        <v>112.29</v>
      </c>
    </row>
    <row r="2884" spans="1:14">
      <c r="A2884" s="1" t="s">
        <v>2896</v>
      </c>
      <c r="B2884">
        <f>HYPERLINK("https://www.suredividend.com/sure-analysis-research-database/","American Coastal Insurance Corp")</f>
        <v>0</v>
      </c>
      <c r="C2884" t="s">
        <v>3184</v>
      </c>
      <c r="D2884">
        <v>7.93</v>
      </c>
      <c r="E2884">
        <v>0</v>
      </c>
      <c r="F2884" t="s">
        <v>3182</v>
      </c>
      <c r="G2884" t="s">
        <v>3182</v>
      </c>
      <c r="H2884">
        <v>0</v>
      </c>
      <c r="I2884">
        <v>343.270454</v>
      </c>
      <c r="J2884">
        <v>0</v>
      </c>
      <c r="K2884" t="s">
        <v>3182</v>
      </c>
      <c r="L2884">
        <v>0.358978190818018</v>
      </c>
      <c r="M2884">
        <v>8.75</v>
      </c>
      <c r="N2884">
        <v>0.2921</v>
      </c>
    </row>
    <row r="2885" spans="1:14">
      <c r="A2885" s="1" t="s">
        <v>2897</v>
      </c>
      <c r="B2885">
        <f>HYPERLINK("https://www.suredividend.com/sure-analysis-research-database/","Unisys Corp.")</f>
        <v>0</v>
      </c>
      <c r="C2885" t="s">
        <v>3185</v>
      </c>
      <c r="D2885">
        <v>2.8</v>
      </c>
      <c r="E2885">
        <v>0</v>
      </c>
      <c r="F2885" t="s">
        <v>3182</v>
      </c>
      <c r="G2885" t="s">
        <v>3182</v>
      </c>
      <c r="H2885">
        <v>0</v>
      </c>
      <c r="I2885">
        <v>191.24138</v>
      </c>
      <c r="J2885" t="s">
        <v>3182</v>
      </c>
      <c r="K2885">
        <v>-0</v>
      </c>
      <c r="L2885">
        <v>1.674302529494313</v>
      </c>
      <c r="M2885">
        <v>9.18</v>
      </c>
      <c r="N2885">
        <v>2.6</v>
      </c>
    </row>
    <row r="2886" spans="1:14">
      <c r="A2886" s="1" t="s">
        <v>2898</v>
      </c>
      <c r="B2886">
        <f>HYPERLINK("https://www.suredividend.com/sure-analysis-research-database/","Ultralife Corp")</f>
        <v>0</v>
      </c>
      <c r="C2886" t="s">
        <v>3183</v>
      </c>
      <c r="D2886">
        <v>8.15</v>
      </c>
      <c r="E2886">
        <v>0</v>
      </c>
      <c r="F2886" t="s">
        <v>3182</v>
      </c>
      <c r="G2886" t="s">
        <v>3182</v>
      </c>
      <c r="H2886">
        <v>0</v>
      </c>
      <c r="I2886">
        <v>133.171921</v>
      </c>
      <c r="J2886">
        <v>32.4809563292683</v>
      </c>
      <c r="K2886">
        <v>0</v>
      </c>
      <c r="L2886">
        <v>0.751036445982315</v>
      </c>
      <c r="M2886">
        <v>11.85</v>
      </c>
      <c r="N2886">
        <v>3.67</v>
      </c>
    </row>
    <row r="2887" spans="1:14">
      <c r="A2887" s="1" t="s">
        <v>2899</v>
      </c>
      <c r="B2887">
        <f>HYPERLINK("https://www.suredividend.com/sure-analysis-research-database/","Universal Logistics Holdings Inc")</f>
        <v>0</v>
      </c>
      <c r="C2887" t="s">
        <v>3183</v>
      </c>
      <c r="D2887">
        <v>22.77</v>
      </c>
      <c r="E2887">
        <v>0.018253584024962</v>
      </c>
      <c r="F2887">
        <v>0</v>
      </c>
      <c r="G2887">
        <v>-0.009260854810929642</v>
      </c>
      <c r="H2887">
        <v>0.415634108248393</v>
      </c>
      <c r="I2887">
        <v>598.577145</v>
      </c>
      <c r="J2887">
        <v>4.591477484409397</v>
      </c>
      <c r="K2887">
        <v>0.08396648651482687</v>
      </c>
      <c r="L2887">
        <v>1.077314615441577</v>
      </c>
      <c r="M2887">
        <v>44.16</v>
      </c>
      <c r="N2887">
        <v>20.85</v>
      </c>
    </row>
    <row r="2888" spans="1:14">
      <c r="A2888" s="1" t="s">
        <v>2900</v>
      </c>
      <c r="B2888">
        <f>HYPERLINK("https://www.suredividend.com/sure-analysis-research-database/","Ulta Beauty Inc")</f>
        <v>0</v>
      </c>
      <c r="C2888" t="s">
        <v>3186</v>
      </c>
      <c r="D2888">
        <v>380.32</v>
      </c>
      <c r="E2888">
        <v>0</v>
      </c>
      <c r="F2888" t="s">
        <v>3182</v>
      </c>
      <c r="G2888" t="s">
        <v>3182</v>
      </c>
      <c r="H2888">
        <v>0</v>
      </c>
      <c r="I2888">
        <v>18722.639788</v>
      </c>
      <c r="J2888">
        <v>14.8299429045956</v>
      </c>
      <c r="K2888">
        <v>0</v>
      </c>
      <c r="L2888">
        <v>0.494561602006251</v>
      </c>
      <c r="M2888">
        <v>556.6</v>
      </c>
      <c r="N2888">
        <v>368.02</v>
      </c>
    </row>
    <row r="2889" spans="1:14">
      <c r="A2889" s="1" t="s">
        <v>2901</v>
      </c>
      <c r="B2889">
        <f>HYPERLINK("https://www.suredividend.com/sure-analysis-UMBF/","UMB Financial Corp.")</f>
        <v>0</v>
      </c>
      <c r="C2889" t="s">
        <v>3184</v>
      </c>
      <c r="D2889">
        <v>66.93000000000001</v>
      </c>
      <c r="E2889">
        <v>0.02330793366203496</v>
      </c>
      <c r="F2889">
        <v>0.02702702702702697</v>
      </c>
      <c r="G2889">
        <v>0.04841317128472133</v>
      </c>
      <c r="H2889">
        <v>1.495691812112873</v>
      </c>
      <c r="I2889">
        <v>3248.16631</v>
      </c>
      <c r="J2889">
        <v>8.564168147935266</v>
      </c>
      <c r="K2889">
        <v>0.1922483048988269</v>
      </c>
      <c r="L2889">
        <v>1.216334760147011</v>
      </c>
      <c r="M2889">
        <v>90.09</v>
      </c>
      <c r="N2889">
        <v>49.48</v>
      </c>
    </row>
    <row r="2890" spans="1:14">
      <c r="A2890" s="1" t="s">
        <v>2902</v>
      </c>
      <c r="B2890">
        <f>HYPERLINK("https://www.suredividend.com/sure-analysis-UMH/","UMH Properties Inc")</f>
        <v>0</v>
      </c>
      <c r="C2890" t="s">
        <v>3187</v>
      </c>
      <c r="D2890">
        <v>14.52</v>
      </c>
      <c r="E2890">
        <v>0.05647382920110193</v>
      </c>
      <c r="F2890">
        <v>0.02499999999999991</v>
      </c>
      <c r="G2890">
        <v>0.02635185407071083</v>
      </c>
      <c r="H2890">
        <v>0.799851142795671</v>
      </c>
      <c r="I2890">
        <v>947.709525</v>
      </c>
      <c r="J2890" t="s">
        <v>3182</v>
      </c>
      <c r="K2890" t="s">
        <v>3182</v>
      </c>
      <c r="L2890">
        <v>1.064180941176166</v>
      </c>
      <c r="M2890">
        <v>18.18</v>
      </c>
      <c r="N2890">
        <v>13.26</v>
      </c>
    </row>
    <row r="2891" spans="1:14">
      <c r="A2891" s="1" t="s">
        <v>2903</v>
      </c>
      <c r="B2891">
        <f>HYPERLINK("https://www.suredividend.com/sure-analysis-research-database/","Umpqua Holdings Corp")</f>
        <v>0</v>
      </c>
      <c r="C2891" t="s">
        <v>3184</v>
      </c>
      <c r="D2891">
        <v>17.66</v>
      </c>
      <c r="E2891">
        <v>0</v>
      </c>
      <c r="F2891" t="s">
        <v>3182</v>
      </c>
      <c r="G2891" t="s">
        <v>3182</v>
      </c>
      <c r="H2891">
        <v>0.8399999737739561</v>
      </c>
      <c r="I2891">
        <v>0</v>
      </c>
      <c r="J2891">
        <v>0</v>
      </c>
      <c r="K2891">
        <v>0.5419354669509394</v>
      </c>
    </row>
    <row r="2892" spans="1:14">
      <c r="A2892" s="1" t="s">
        <v>2904</v>
      </c>
      <c r="B2892">
        <f>HYPERLINK("https://www.suredividend.com/sure-analysis-research-database/","Unico American Corp.")</f>
        <v>0</v>
      </c>
      <c r="C2892" t="s">
        <v>3184</v>
      </c>
      <c r="D2892">
        <v>0.0021</v>
      </c>
      <c r="E2892">
        <v>0</v>
      </c>
      <c r="F2892" t="s">
        <v>3182</v>
      </c>
      <c r="G2892" t="s">
        <v>3182</v>
      </c>
      <c r="H2892">
        <v>0</v>
      </c>
      <c r="I2892">
        <v>0.01114</v>
      </c>
      <c r="J2892">
        <v>0</v>
      </c>
      <c r="K2892" t="s">
        <v>3182</v>
      </c>
      <c r="M2892">
        <v>1.05</v>
      </c>
      <c r="N2892">
        <v>0.0015</v>
      </c>
    </row>
    <row r="2893" spans="1:14">
      <c r="A2893" s="1" t="s">
        <v>2905</v>
      </c>
      <c r="B2893">
        <f>HYPERLINK("https://www.suredividend.com/sure-analysis-research-database/","Union Bankshares, Inc.")</f>
        <v>0</v>
      </c>
      <c r="C2893" t="s">
        <v>3184</v>
      </c>
      <c r="D2893">
        <v>26.975</v>
      </c>
      <c r="E2893">
        <v>0.05112456928704601</v>
      </c>
      <c r="F2893">
        <v>0.02857142857142847</v>
      </c>
      <c r="G2893">
        <v>0.03035803310185115</v>
      </c>
      <c r="H2893">
        <v>1.379085256518083</v>
      </c>
      <c r="I2893">
        <v>121.578969</v>
      </c>
      <c r="J2893">
        <v>0</v>
      </c>
      <c r="K2893" t="s">
        <v>3182</v>
      </c>
      <c r="M2893">
        <v>26.98</v>
      </c>
      <c r="N2893">
        <v>18.46</v>
      </c>
    </row>
    <row r="2894" spans="1:14">
      <c r="A2894" s="1" t="s">
        <v>2906</v>
      </c>
      <c r="B2894">
        <f>HYPERLINK("https://www.suredividend.com/sure-analysis-UNF/","Unifirst Corp.")</f>
        <v>0</v>
      </c>
      <c r="C2894" t="s">
        <v>3183</v>
      </c>
      <c r="D2894">
        <v>167.44</v>
      </c>
      <c r="E2894">
        <v>0.007883420926899188</v>
      </c>
      <c r="F2894">
        <v>0.03333333333333321</v>
      </c>
      <c r="G2894">
        <v>0.2247341685311497</v>
      </c>
      <c r="H2894">
        <v>1.236778606458944</v>
      </c>
      <c r="I2894">
        <v>2529.11121</v>
      </c>
      <c r="J2894">
        <v>24.39484547794047</v>
      </c>
      <c r="K2894">
        <v>0.2236489342602069</v>
      </c>
      <c r="L2894">
        <v>0.6973404026000991</v>
      </c>
      <c r="M2894">
        <v>204.54</v>
      </c>
      <c r="N2894">
        <v>150.23</v>
      </c>
    </row>
    <row r="2895" spans="1:14">
      <c r="A2895" s="1" t="s">
        <v>2907</v>
      </c>
      <c r="B2895">
        <f>HYPERLINK("https://www.suredividend.com/sure-analysis-research-database/","United Natural Foods Inc.")</f>
        <v>0</v>
      </c>
      <c r="C2895" t="s">
        <v>3188</v>
      </c>
      <c r="D2895">
        <v>15.11</v>
      </c>
      <c r="E2895">
        <v>0</v>
      </c>
      <c r="F2895" t="s">
        <v>3182</v>
      </c>
      <c r="G2895" t="s">
        <v>3182</v>
      </c>
      <c r="H2895">
        <v>0</v>
      </c>
      <c r="I2895">
        <v>883.934063</v>
      </c>
      <c r="J2895">
        <v>36.83058596583333</v>
      </c>
      <c r="K2895">
        <v>0</v>
      </c>
      <c r="L2895">
        <v>1.143267173600799</v>
      </c>
      <c r="M2895">
        <v>47.88</v>
      </c>
      <c r="N2895">
        <v>12.88</v>
      </c>
    </row>
    <row r="2896" spans="1:14">
      <c r="A2896" s="1" t="s">
        <v>2908</v>
      </c>
      <c r="B2896">
        <f>HYPERLINK("https://www.suredividend.com/sure-analysis-UNH/","Unitedhealth Group Inc")</f>
        <v>0</v>
      </c>
      <c r="C2896" t="s">
        <v>3180</v>
      </c>
      <c r="D2896">
        <v>536.13</v>
      </c>
      <c r="E2896">
        <v>0.0140264488090575</v>
      </c>
      <c r="F2896">
        <v>0.1393939393939394</v>
      </c>
      <c r="G2896">
        <v>0.1587321792596144</v>
      </c>
      <c r="H2896">
        <v>7.020664842431113</v>
      </c>
      <c r="I2896">
        <v>496619.974172</v>
      </c>
      <c r="J2896">
        <v>23.52757126075753</v>
      </c>
      <c r="K2896">
        <v>0.3142643170291456</v>
      </c>
      <c r="L2896">
        <v>0.342425838409918</v>
      </c>
      <c r="M2896">
        <v>546.78</v>
      </c>
      <c r="N2896">
        <v>442.14</v>
      </c>
    </row>
    <row r="2897" spans="1:14">
      <c r="A2897" s="1" t="s">
        <v>2909</v>
      </c>
      <c r="B2897">
        <f>HYPERLINK("https://www.suredividend.com/sure-analysis-UNIT/","Uniti Group Inc")</f>
        <v>0</v>
      </c>
      <c r="C2897" t="s">
        <v>3187</v>
      </c>
      <c r="D2897">
        <v>4.93</v>
      </c>
      <c r="E2897">
        <v>0.1217038539553753</v>
      </c>
      <c r="F2897">
        <v>0</v>
      </c>
      <c r="G2897">
        <v>-0.242141716744801</v>
      </c>
      <c r="H2897">
        <v>0.562851550861724</v>
      </c>
      <c r="I2897">
        <v>1176.734818</v>
      </c>
      <c r="J2897" t="s">
        <v>3182</v>
      </c>
      <c r="K2897" t="s">
        <v>3182</v>
      </c>
      <c r="L2897">
        <v>1.959654543425818</v>
      </c>
      <c r="M2897">
        <v>6.83</v>
      </c>
      <c r="N2897">
        <v>2.67</v>
      </c>
    </row>
    <row r="2898" spans="1:14">
      <c r="A2898" s="1" t="s">
        <v>2910</v>
      </c>
      <c r="B2898">
        <f>HYPERLINK("https://www.suredividend.com/sure-analysis-UNM/","Unum Group")</f>
        <v>0</v>
      </c>
      <c r="C2898" t="s">
        <v>3184</v>
      </c>
      <c r="D2898">
        <v>42.7</v>
      </c>
      <c r="E2898">
        <v>0.03419203747072599</v>
      </c>
      <c r="F2898">
        <v>0.106060606060606</v>
      </c>
      <c r="G2898">
        <v>0.07019742897422021</v>
      </c>
      <c r="H2898">
        <v>1.374686781617559</v>
      </c>
      <c r="I2898">
        <v>8353.174091999999</v>
      </c>
      <c r="J2898">
        <v>5.794779113562262</v>
      </c>
      <c r="K2898">
        <v>0.1906639086848209</v>
      </c>
      <c r="L2898">
        <v>0.479777489894593</v>
      </c>
      <c r="M2898">
        <v>51.75</v>
      </c>
      <c r="N2898">
        <v>35.43</v>
      </c>
    </row>
    <row r="2899" spans="1:14">
      <c r="A2899" s="1" t="s">
        <v>2911</v>
      </c>
      <c r="B2899">
        <f>HYPERLINK("https://www.suredividend.com/sure-analysis-UNP/","Union Pacific Corp.")</f>
        <v>0</v>
      </c>
      <c r="C2899" t="s">
        <v>3183</v>
      </c>
      <c r="D2899">
        <v>211.39</v>
      </c>
      <c r="E2899">
        <v>0.02459908226500781</v>
      </c>
      <c r="F2899">
        <v>0</v>
      </c>
      <c r="G2899">
        <v>0.1019722877214801</v>
      </c>
      <c r="H2899">
        <v>5.151305760955881</v>
      </c>
      <c r="I2899">
        <v>128862.814468</v>
      </c>
      <c r="J2899">
        <v>20.24553251658288</v>
      </c>
      <c r="K2899">
        <v>0.4948420519650222</v>
      </c>
      <c r="L2899">
        <v>0.8166343624093231</v>
      </c>
      <c r="M2899">
        <v>239.08</v>
      </c>
      <c r="N2899">
        <v>181.39</v>
      </c>
    </row>
    <row r="2900" spans="1:14">
      <c r="A2900" s="1" t="s">
        <v>2912</v>
      </c>
      <c r="B2900">
        <f>HYPERLINK("https://www.suredividend.com/sure-analysis-research-database/","Unity Bancorp, Inc.")</f>
        <v>0</v>
      </c>
      <c r="C2900" t="s">
        <v>3184</v>
      </c>
      <c r="D2900">
        <v>24.73</v>
      </c>
      <c r="E2900">
        <v>0.018750223906153</v>
      </c>
      <c r="F2900">
        <v>0.09090909090909083</v>
      </c>
      <c r="G2900">
        <v>0.1138241786028789</v>
      </c>
      <c r="H2900">
        <v>0.463693037199178</v>
      </c>
      <c r="I2900">
        <v>250.647601</v>
      </c>
      <c r="J2900">
        <v>0</v>
      </c>
      <c r="K2900" t="s">
        <v>3182</v>
      </c>
      <c r="L2900">
        <v>0.6121480426182201</v>
      </c>
      <c r="M2900">
        <v>29.03</v>
      </c>
      <c r="N2900">
        <v>19.61</v>
      </c>
    </row>
    <row r="2901" spans="1:14">
      <c r="A2901" s="1" t="s">
        <v>2913</v>
      </c>
      <c r="B2901">
        <f>HYPERLINK("https://www.suredividend.com/sure-analysis-research-database/","Univar Solutions Inc")</f>
        <v>0</v>
      </c>
      <c r="C2901" t="s">
        <v>3181</v>
      </c>
      <c r="D2901">
        <v>36.14</v>
      </c>
      <c r="E2901">
        <v>0</v>
      </c>
      <c r="F2901" t="s">
        <v>3182</v>
      </c>
      <c r="G2901" t="s">
        <v>3182</v>
      </c>
      <c r="H2901">
        <v>0</v>
      </c>
      <c r="I2901">
        <v>5700.922081</v>
      </c>
      <c r="J2901">
        <v>12.73664450598749</v>
      </c>
      <c r="K2901">
        <v>0</v>
      </c>
      <c r="L2901">
        <v>0.8892692148045541</v>
      </c>
      <c r="M2901">
        <v>36.15</v>
      </c>
      <c r="N2901">
        <v>21.49</v>
      </c>
    </row>
    <row r="2902" spans="1:14">
      <c r="A2902" s="1" t="s">
        <v>2914</v>
      </c>
      <c r="B2902">
        <f>HYPERLINK("https://www.suredividend.com/sure-analysis-research-database/","Urban One Inc")</f>
        <v>0</v>
      </c>
      <c r="C2902" t="s">
        <v>3191</v>
      </c>
      <c r="D2902">
        <v>5.78</v>
      </c>
      <c r="E2902">
        <v>0</v>
      </c>
      <c r="F2902" t="s">
        <v>3182</v>
      </c>
      <c r="G2902" t="s">
        <v>3182</v>
      </c>
      <c r="H2902">
        <v>0</v>
      </c>
      <c r="I2902">
        <v>253.000923</v>
      </c>
      <c r="J2902">
        <v>6.777597121808781</v>
      </c>
      <c r="K2902">
        <v>0</v>
      </c>
      <c r="L2902">
        <v>0.978341041782769</v>
      </c>
      <c r="M2902">
        <v>8.039999999999999</v>
      </c>
      <c r="N2902">
        <v>4.33</v>
      </c>
    </row>
    <row r="2903" spans="1:14">
      <c r="A2903" s="1" t="s">
        <v>2915</v>
      </c>
      <c r="B2903">
        <f>HYPERLINK("https://www.suredividend.com/sure-analysis-research-database/","Urban One Inc")</f>
        <v>0</v>
      </c>
      <c r="C2903" t="s">
        <v>3191</v>
      </c>
      <c r="D2903">
        <v>5.75</v>
      </c>
      <c r="E2903">
        <v>0</v>
      </c>
      <c r="F2903" t="s">
        <v>3182</v>
      </c>
      <c r="G2903" t="s">
        <v>3182</v>
      </c>
      <c r="H2903">
        <v>0</v>
      </c>
      <c r="I2903">
        <v>253.000923</v>
      </c>
      <c r="J2903">
        <v>6.777597121808781</v>
      </c>
      <c r="K2903">
        <v>0</v>
      </c>
      <c r="L2903">
        <v>0.9369505497227101</v>
      </c>
      <c r="M2903">
        <v>6.34</v>
      </c>
      <c r="N2903">
        <v>3.67</v>
      </c>
    </row>
    <row r="2904" spans="1:14">
      <c r="A2904" s="1" t="s">
        <v>2916</v>
      </c>
      <c r="B2904">
        <f>HYPERLINK("https://www.suredividend.com/sure-analysis-research-database/","Upland Software Inc")</f>
        <v>0</v>
      </c>
      <c r="C2904" t="s">
        <v>3185</v>
      </c>
      <c r="D2904">
        <v>3.72</v>
      </c>
      <c r="E2904">
        <v>0</v>
      </c>
      <c r="F2904" t="s">
        <v>3182</v>
      </c>
      <c r="G2904" t="s">
        <v>3182</v>
      </c>
      <c r="H2904">
        <v>0</v>
      </c>
      <c r="I2904">
        <v>121.475168</v>
      </c>
      <c r="J2904" t="s">
        <v>3182</v>
      </c>
      <c r="K2904">
        <v>-0</v>
      </c>
      <c r="L2904">
        <v>2.347386889825043</v>
      </c>
      <c r="M2904">
        <v>9.710000000000001</v>
      </c>
      <c r="N2904">
        <v>2.42</v>
      </c>
    </row>
    <row r="2905" spans="1:14">
      <c r="A2905" s="1" t="s">
        <v>2917</v>
      </c>
      <c r="B2905">
        <f>HYPERLINK("https://www.suredividend.com/sure-analysis-UPS/","United Parcel Service, Inc.")</f>
        <v>0</v>
      </c>
      <c r="C2905" t="s">
        <v>3183</v>
      </c>
      <c r="D2905">
        <v>141.99</v>
      </c>
      <c r="E2905">
        <v>0.04563701669131629</v>
      </c>
      <c r="F2905">
        <v>0.06578947368421062</v>
      </c>
      <c r="G2905">
        <v>0.11032151746146</v>
      </c>
      <c r="H2905">
        <v>6.281563844172836</v>
      </c>
      <c r="I2905">
        <v>122809.729254</v>
      </c>
      <c r="J2905">
        <v>10.25618686671228</v>
      </c>
      <c r="K2905">
        <v>0.5443296225453065</v>
      </c>
      <c r="L2905">
        <v>1.133647296080695</v>
      </c>
      <c r="M2905">
        <v>194.16</v>
      </c>
      <c r="N2905">
        <v>133.68</v>
      </c>
    </row>
    <row r="2906" spans="1:14">
      <c r="A2906" s="1" t="s">
        <v>2918</v>
      </c>
      <c r="B2906">
        <f>HYPERLINK("https://www.suredividend.com/sure-analysis-research-database/","Upwork Inc")</f>
        <v>0</v>
      </c>
      <c r="C2906" t="s">
        <v>3183</v>
      </c>
      <c r="D2906">
        <v>10.87</v>
      </c>
      <c r="E2906">
        <v>0</v>
      </c>
      <c r="F2906" t="s">
        <v>3182</v>
      </c>
      <c r="G2906" t="s">
        <v>3182</v>
      </c>
      <c r="H2906">
        <v>0</v>
      </c>
      <c r="I2906">
        <v>1466.184699</v>
      </c>
      <c r="J2906" t="s">
        <v>3182</v>
      </c>
      <c r="K2906">
        <v>-0</v>
      </c>
      <c r="L2906">
        <v>2.147142527328309</v>
      </c>
      <c r="M2906">
        <v>15.88</v>
      </c>
      <c r="N2906">
        <v>6.56</v>
      </c>
    </row>
    <row r="2907" spans="1:14">
      <c r="A2907" s="1" t="s">
        <v>2919</v>
      </c>
      <c r="B2907">
        <f>HYPERLINK("https://www.suredividend.com/sure-analysis-research-database/","Urban Outfitters, Inc.")</f>
        <v>0</v>
      </c>
      <c r="C2907" t="s">
        <v>3186</v>
      </c>
      <c r="D2907">
        <v>34.93</v>
      </c>
      <c r="E2907">
        <v>0</v>
      </c>
      <c r="F2907" t="s">
        <v>3182</v>
      </c>
      <c r="G2907" t="s">
        <v>3182</v>
      </c>
      <c r="H2907">
        <v>0</v>
      </c>
      <c r="I2907">
        <v>3240.609617</v>
      </c>
      <c r="J2907">
        <v>14.36427698934407</v>
      </c>
      <c r="K2907">
        <v>0</v>
      </c>
      <c r="L2907">
        <v>1.121683929811989</v>
      </c>
      <c r="M2907">
        <v>37.82</v>
      </c>
      <c r="N2907">
        <v>22.37</v>
      </c>
    </row>
    <row r="2908" spans="1:14">
      <c r="A2908" s="1" t="s">
        <v>2920</v>
      </c>
      <c r="B2908">
        <f>HYPERLINK("https://www.suredividend.com/sure-analysis-research-database/","United Rentals, Inc.")</f>
        <v>0</v>
      </c>
      <c r="C2908" t="s">
        <v>3183</v>
      </c>
      <c r="D2908">
        <v>432.95</v>
      </c>
      <c r="E2908">
        <v>0.010219634496083</v>
      </c>
      <c r="F2908" t="s">
        <v>3182</v>
      </c>
      <c r="G2908" t="s">
        <v>3182</v>
      </c>
      <c r="H2908">
        <v>4.424590755079406</v>
      </c>
      <c r="I2908">
        <v>29345.978778</v>
      </c>
      <c r="J2908">
        <v>12.30955485633389</v>
      </c>
      <c r="K2908">
        <v>0.1283606253286744</v>
      </c>
      <c r="L2908">
        <v>1.522512393633318</v>
      </c>
      <c r="M2908">
        <v>492.33</v>
      </c>
      <c r="N2908">
        <v>313.23</v>
      </c>
    </row>
    <row r="2909" spans="1:14">
      <c r="A2909" s="1" t="s">
        <v>2921</v>
      </c>
      <c r="B2909">
        <f>HYPERLINK("https://www.suredividend.com/sure-analysis-research-database/","Urovant Sciences Ltd")</f>
        <v>0</v>
      </c>
      <c r="C2909" t="s">
        <v>3180</v>
      </c>
      <c r="D2909">
        <v>16.24</v>
      </c>
      <c r="E2909">
        <v>0</v>
      </c>
      <c r="F2909" t="s">
        <v>3182</v>
      </c>
      <c r="G2909" t="s">
        <v>3182</v>
      </c>
      <c r="H2909">
        <v>0</v>
      </c>
      <c r="I2909">
        <v>0</v>
      </c>
      <c r="J2909">
        <v>0</v>
      </c>
      <c r="K2909" t="s">
        <v>3182</v>
      </c>
    </row>
    <row r="2910" spans="1:14">
      <c r="A2910" s="1" t="s">
        <v>2922</v>
      </c>
      <c r="B2910">
        <f>HYPERLINK("https://www.suredividend.com/sure-analysis-research-database/","USA Truck, Inc.")</f>
        <v>0</v>
      </c>
      <c r="C2910" t="s">
        <v>3183</v>
      </c>
      <c r="D2910">
        <v>31.71</v>
      </c>
      <c r="E2910">
        <v>0</v>
      </c>
      <c r="F2910" t="s">
        <v>3182</v>
      </c>
      <c r="G2910" t="s">
        <v>3182</v>
      </c>
      <c r="H2910">
        <v>0</v>
      </c>
      <c r="I2910">
        <v>0</v>
      </c>
      <c r="J2910">
        <v>0</v>
      </c>
      <c r="K2910">
        <v>0</v>
      </c>
    </row>
    <row r="2911" spans="1:14">
      <c r="A2911" s="1" t="s">
        <v>2923</v>
      </c>
      <c r="B2911">
        <f>HYPERLINK("https://www.suredividend.com/sure-analysis-research-database/","Universal Stainless &amp; Alloy Products, Inc.")</f>
        <v>0</v>
      </c>
      <c r="C2911" t="s">
        <v>3181</v>
      </c>
      <c r="D2911">
        <v>14.67</v>
      </c>
      <c r="E2911">
        <v>0</v>
      </c>
      <c r="F2911" t="s">
        <v>3182</v>
      </c>
      <c r="G2911" t="s">
        <v>3182</v>
      </c>
      <c r="H2911">
        <v>0</v>
      </c>
      <c r="I2911">
        <v>133.311718</v>
      </c>
      <c r="J2911" t="s">
        <v>3182</v>
      </c>
      <c r="K2911">
        <v>-0</v>
      </c>
      <c r="L2911">
        <v>0.471335356751851</v>
      </c>
      <c r="M2911">
        <v>16.99</v>
      </c>
      <c r="N2911">
        <v>6.8</v>
      </c>
    </row>
    <row r="2912" spans="1:14">
      <c r="A2912" s="1" t="s">
        <v>2924</v>
      </c>
      <c r="B2912">
        <f>HYPERLINK("https://www.suredividend.com/sure-analysis-research-database/","Cantaloupe Inc")</f>
        <v>0</v>
      </c>
      <c r="C2912" t="s">
        <v>3185</v>
      </c>
      <c r="D2912">
        <v>12.16</v>
      </c>
      <c r="E2912">
        <v>0</v>
      </c>
      <c r="F2912" t="s">
        <v>3182</v>
      </c>
      <c r="G2912" t="s">
        <v>3182</v>
      </c>
      <c r="H2912">
        <v>0</v>
      </c>
      <c r="I2912">
        <v>864.315265</v>
      </c>
      <c r="J2912">
        <v>0</v>
      </c>
      <c r="K2912" t="s">
        <v>3182</v>
      </c>
      <c r="M2912">
        <v>12.94</v>
      </c>
      <c r="N2912">
        <v>7.75</v>
      </c>
    </row>
    <row r="2913" spans="1:14">
      <c r="A2913" s="1" t="s">
        <v>2925</v>
      </c>
      <c r="B2913">
        <f>HYPERLINK("https://www.suredividend.com/sure-analysis-USB/","U.S. Bancorp.")</f>
        <v>0</v>
      </c>
      <c r="C2913" t="s">
        <v>3184</v>
      </c>
      <c r="D2913">
        <v>34.34</v>
      </c>
      <c r="E2913">
        <v>0.0559114735002912</v>
      </c>
      <c r="F2913">
        <v>0</v>
      </c>
      <c r="G2913">
        <v>0.05343538597058362</v>
      </c>
      <c r="H2913">
        <v>1.878523876191016</v>
      </c>
      <c r="I2913">
        <v>52642.033965</v>
      </c>
      <c r="J2913">
        <v>9.66973438006613</v>
      </c>
      <c r="K2913">
        <v>0.5218121878308378</v>
      </c>
      <c r="L2913">
        <v>1.364401248212143</v>
      </c>
      <c r="M2913">
        <v>47.84</v>
      </c>
      <c r="N2913">
        <v>26.47</v>
      </c>
    </row>
    <row r="2914" spans="1:14">
      <c r="A2914" s="1" t="s">
        <v>2926</v>
      </c>
      <c r="B2914">
        <f>HYPERLINK("https://www.suredividend.com/sure-analysis-research-database/","U.S. Concrete, Inc.")</f>
        <v>0</v>
      </c>
      <c r="C2914" t="s">
        <v>3181</v>
      </c>
      <c r="D2914">
        <v>73.98999999999999</v>
      </c>
      <c r="E2914">
        <v>0</v>
      </c>
      <c r="F2914" t="s">
        <v>3182</v>
      </c>
      <c r="G2914" t="s">
        <v>3182</v>
      </c>
      <c r="H2914">
        <v>0</v>
      </c>
      <c r="I2914">
        <v>0</v>
      </c>
      <c r="J2914">
        <v>0</v>
      </c>
      <c r="K2914">
        <v>-0</v>
      </c>
    </row>
    <row r="2915" spans="1:14">
      <c r="A2915" s="1" t="s">
        <v>2927</v>
      </c>
      <c r="B2915">
        <f>HYPERLINK("https://www.suredividend.com/sure-analysis-research-database/","ProShares Trust")</f>
        <v>0</v>
      </c>
      <c r="D2915">
        <v>37.53</v>
      </c>
      <c r="E2915">
        <v>0.001313429263284</v>
      </c>
      <c r="F2915" t="s">
        <v>3182</v>
      </c>
      <c r="G2915" t="s">
        <v>3182</v>
      </c>
      <c r="H2915">
        <v>0.049293000251054</v>
      </c>
      <c r="I2915">
        <v>271.3419</v>
      </c>
      <c r="J2915">
        <v>0</v>
      </c>
      <c r="K2915" t="s">
        <v>3182</v>
      </c>
      <c r="L2915">
        <v>3.469778040139771</v>
      </c>
      <c r="M2915">
        <v>48.32</v>
      </c>
      <c r="N2915">
        <v>14.96</v>
      </c>
    </row>
    <row r="2916" spans="1:14">
      <c r="A2916" s="1" t="s">
        <v>2928</v>
      </c>
      <c r="B2916">
        <f>HYPERLINK("https://www.suredividend.com/sure-analysis-research-database/","U.S. Energy Corp.")</f>
        <v>0</v>
      </c>
      <c r="C2916" t="s">
        <v>3189</v>
      </c>
      <c r="D2916">
        <v>1.4</v>
      </c>
      <c r="E2916">
        <v>0.046991692130943</v>
      </c>
      <c r="F2916" t="s">
        <v>3182</v>
      </c>
      <c r="G2916" t="s">
        <v>3182</v>
      </c>
      <c r="H2916">
        <v>0.06578836898332001</v>
      </c>
      <c r="I2916">
        <v>35.709198</v>
      </c>
      <c r="J2916" t="s">
        <v>3182</v>
      </c>
      <c r="K2916" t="s">
        <v>3182</v>
      </c>
      <c r="L2916">
        <v>0.7473522359408881</v>
      </c>
      <c r="M2916">
        <v>2.94</v>
      </c>
      <c r="N2916">
        <v>1.18</v>
      </c>
    </row>
    <row r="2917" spans="1:14">
      <c r="A2917" s="1" t="s">
        <v>2929</v>
      </c>
      <c r="B2917">
        <f>HYPERLINK("https://www.suredividend.com/sure-analysis-research-database/","US Foods Holding Corp")</f>
        <v>0</v>
      </c>
      <c r="C2917" t="s">
        <v>3188</v>
      </c>
      <c r="D2917">
        <v>40.16</v>
      </c>
      <c r="E2917">
        <v>0</v>
      </c>
      <c r="F2917" t="s">
        <v>3182</v>
      </c>
      <c r="G2917" t="s">
        <v>3182</v>
      </c>
      <c r="H2917">
        <v>0</v>
      </c>
      <c r="I2917">
        <v>9915.607814000001</v>
      </c>
      <c r="J2917">
        <v>22.53547230363636</v>
      </c>
      <c r="K2917">
        <v>0</v>
      </c>
      <c r="L2917">
        <v>0.92360519869861</v>
      </c>
      <c r="M2917">
        <v>44.52</v>
      </c>
      <c r="N2917">
        <v>28.58</v>
      </c>
    </row>
    <row r="2918" spans="1:14">
      <c r="A2918" s="1" t="s">
        <v>2930</v>
      </c>
      <c r="B2918">
        <f>HYPERLINK("https://www.suredividend.com/sure-analysis-research-database/","Usio Inc")</f>
        <v>0</v>
      </c>
      <c r="C2918" t="s">
        <v>3185</v>
      </c>
      <c r="D2918">
        <v>2.0329</v>
      </c>
      <c r="E2918">
        <v>0</v>
      </c>
      <c r="F2918" t="s">
        <v>3182</v>
      </c>
      <c r="G2918" t="s">
        <v>3182</v>
      </c>
      <c r="H2918">
        <v>0</v>
      </c>
      <c r="I2918">
        <v>53.638739</v>
      </c>
      <c r="J2918">
        <v>0</v>
      </c>
      <c r="K2918" t="s">
        <v>3182</v>
      </c>
      <c r="L2918">
        <v>1.077601444267867</v>
      </c>
      <c r="M2918">
        <v>2.56</v>
      </c>
      <c r="N2918">
        <v>1.32</v>
      </c>
    </row>
    <row r="2919" spans="1:14">
      <c r="A2919" s="1" t="s">
        <v>2931</v>
      </c>
      <c r="B2919">
        <f>HYPERLINK("https://www.suredividend.com/sure-analysis-research-database/","United States Lime &amp; Minerals Inc.")</f>
        <v>0</v>
      </c>
      <c r="C2919" t="s">
        <v>3181</v>
      </c>
      <c r="D2919">
        <v>197.14</v>
      </c>
      <c r="E2919">
        <v>0.004046431037284</v>
      </c>
      <c r="F2919">
        <v>0</v>
      </c>
      <c r="G2919">
        <v>0.08178074106640287</v>
      </c>
      <c r="H2919">
        <v>0.79771341469027</v>
      </c>
      <c r="I2919">
        <v>1121.7266</v>
      </c>
      <c r="J2919">
        <v>17.70988806264702</v>
      </c>
      <c r="K2919">
        <v>0.07167236430280952</v>
      </c>
      <c r="L2919">
        <v>0.727598196487218</v>
      </c>
      <c r="M2919">
        <v>226.47</v>
      </c>
      <c r="N2919">
        <v>126.54</v>
      </c>
    </row>
    <row r="2920" spans="1:14">
      <c r="A2920" s="1" t="s">
        <v>2932</v>
      </c>
      <c r="B2920">
        <f>HYPERLINK("https://www.suredividend.com/sure-analysis-research-database/","United States Cellular Corporation")</f>
        <v>0</v>
      </c>
      <c r="C2920" t="s">
        <v>3191</v>
      </c>
      <c r="D2920">
        <v>43.04</v>
      </c>
      <c r="E2920">
        <v>0</v>
      </c>
      <c r="F2920" t="s">
        <v>3182</v>
      </c>
      <c r="G2920" t="s">
        <v>3182</v>
      </c>
      <c r="H2920">
        <v>0</v>
      </c>
      <c r="I2920">
        <v>2249.55016</v>
      </c>
      <c r="J2920" t="s">
        <v>3182</v>
      </c>
      <c r="K2920">
        <v>-0</v>
      </c>
      <c r="L2920">
        <v>0.417436557691545</v>
      </c>
      <c r="M2920">
        <v>46.86</v>
      </c>
      <c r="N2920">
        <v>13.79</v>
      </c>
    </row>
    <row r="2921" spans="1:14">
      <c r="A2921" s="1" t="s">
        <v>2933</v>
      </c>
      <c r="B2921">
        <f>HYPERLINK("https://www.suredividend.com/sure-analysis-research-database/","Usana Health Sciences Inc")</f>
        <v>0</v>
      </c>
      <c r="C2921" t="s">
        <v>3188</v>
      </c>
      <c r="D2921">
        <v>45.05</v>
      </c>
      <c r="E2921">
        <v>0</v>
      </c>
      <c r="F2921" t="s">
        <v>3182</v>
      </c>
      <c r="G2921" t="s">
        <v>3182</v>
      </c>
      <c r="H2921">
        <v>0</v>
      </c>
      <c r="I2921">
        <v>869.5429370000001</v>
      </c>
      <c r="J2921">
        <v>13.71540460417357</v>
      </c>
      <c r="K2921">
        <v>0</v>
      </c>
      <c r="L2921">
        <v>0.703293196267964</v>
      </c>
      <c r="M2921">
        <v>69.59999999999999</v>
      </c>
      <c r="N2921">
        <v>44.01</v>
      </c>
    </row>
    <row r="2922" spans="1:14">
      <c r="A2922" s="1" t="s">
        <v>2934</v>
      </c>
      <c r="B2922">
        <f>HYPERLINK("https://www.suredividend.com/sure-analysis-research-database/","U.S. Physical Therapy, Inc.")</f>
        <v>0</v>
      </c>
      <c r="C2922" t="s">
        <v>3180</v>
      </c>
      <c r="D2922">
        <v>83.34</v>
      </c>
      <c r="E2922">
        <v>0.020272918642601</v>
      </c>
      <c r="F2922" t="s">
        <v>3182</v>
      </c>
      <c r="G2922" t="s">
        <v>3182</v>
      </c>
      <c r="H2922">
        <v>1.689545039674388</v>
      </c>
      <c r="I2922">
        <v>1249.042915</v>
      </c>
      <c r="J2922">
        <v>48.96095470346125</v>
      </c>
      <c r="K2922">
        <v>0.8754119376551233</v>
      </c>
      <c r="L2922">
        <v>0.8603771361151831</v>
      </c>
      <c r="M2922">
        <v>123.58</v>
      </c>
      <c r="N2922">
        <v>77.19</v>
      </c>
    </row>
    <row r="2923" spans="1:14">
      <c r="A2923" s="1" t="s">
        <v>2935</v>
      </c>
      <c r="B2923">
        <f>HYPERLINK("https://www.suredividend.com/sure-analysis-research-database/","U.S. Well Services Inc")</f>
        <v>0</v>
      </c>
      <c r="C2923" t="s">
        <v>3189</v>
      </c>
      <c r="D2923">
        <v>7.41</v>
      </c>
      <c r="E2923">
        <v>0</v>
      </c>
      <c r="F2923" t="s">
        <v>3182</v>
      </c>
      <c r="G2923" t="s">
        <v>3182</v>
      </c>
      <c r="H2923">
        <v>0</v>
      </c>
      <c r="I2923">
        <v>0</v>
      </c>
      <c r="J2923">
        <v>0</v>
      </c>
      <c r="K2923" t="s">
        <v>3182</v>
      </c>
    </row>
    <row r="2924" spans="1:14">
      <c r="A2924" s="1" t="s">
        <v>2936</v>
      </c>
      <c r="B2924">
        <f>HYPERLINK("https://www.suredividend.com/sure-analysis-research-database/","U.S. Xpress Enterprises Inc")</f>
        <v>0</v>
      </c>
      <c r="C2924" t="s">
        <v>3183</v>
      </c>
      <c r="D2924">
        <v>6.14</v>
      </c>
      <c r="E2924">
        <v>0</v>
      </c>
      <c r="F2924" t="s">
        <v>3182</v>
      </c>
      <c r="G2924" t="s">
        <v>3182</v>
      </c>
      <c r="H2924">
        <v>0</v>
      </c>
      <c r="I2924">
        <v>251.394729</v>
      </c>
      <c r="J2924">
        <v>0</v>
      </c>
      <c r="K2924" t="s">
        <v>3182</v>
      </c>
      <c r="M2924">
        <v>6.15</v>
      </c>
      <c r="N2924">
        <v>1.34</v>
      </c>
    </row>
    <row r="2925" spans="1:14">
      <c r="A2925" s="1" t="s">
        <v>2937</v>
      </c>
      <c r="B2925">
        <f>HYPERLINK("https://www.suredividend.com/sure-analysis-research-database/","United Therapeutics Corp")</f>
        <v>0</v>
      </c>
      <c r="C2925" t="s">
        <v>3180</v>
      </c>
      <c r="D2925">
        <v>228.18</v>
      </c>
      <c r="E2925">
        <v>0</v>
      </c>
      <c r="F2925" t="s">
        <v>3182</v>
      </c>
      <c r="G2925" t="s">
        <v>3182</v>
      </c>
      <c r="H2925">
        <v>0</v>
      </c>
      <c r="I2925">
        <v>10722.999876</v>
      </c>
      <c r="J2925">
        <v>12.30407329452668</v>
      </c>
      <c r="K2925">
        <v>0</v>
      </c>
      <c r="L2925">
        <v>0.3393577182795181</v>
      </c>
      <c r="M2925">
        <v>283.09</v>
      </c>
      <c r="N2925">
        <v>204.44</v>
      </c>
    </row>
    <row r="2926" spans="1:14">
      <c r="A2926" s="1" t="s">
        <v>2938</v>
      </c>
      <c r="B2926">
        <f>HYPERLINK("https://www.suredividend.com/sure-analysis-research-database/","Universal Technical Institute Inc")</f>
        <v>0</v>
      </c>
      <c r="C2926" t="s">
        <v>3188</v>
      </c>
      <c r="D2926">
        <v>9.390000000000001</v>
      </c>
      <c r="E2926">
        <v>0</v>
      </c>
      <c r="F2926" t="s">
        <v>3182</v>
      </c>
      <c r="G2926" t="s">
        <v>3182</v>
      </c>
      <c r="H2926">
        <v>0</v>
      </c>
      <c r="I2926">
        <v>319.909882</v>
      </c>
      <c r="J2926">
        <v>173.5810536625068</v>
      </c>
      <c r="K2926">
        <v>0</v>
      </c>
      <c r="L2926">
        <v>0.7181750887139611</v>
      </c>
      <c r="M2926">
        <v>9.41</v>
      </c>
      <c r="N2926">
        <v>5.57</v>
      </c>
    </row>
    <row r="2927" spans="1:14">
      <c r="A2927" s="1" t="s">
        <v>2939</v>
      </c>
      <c r="B2927">
        <f>HYPERLINK("https://www.suredividend.com/sure-analysis-research-database/","Unitil Corp.")</f>
        <v>0</v>
      </c>
      <c r="C2927" t="s">
        <v>3190</v>
      </c>
      <c r="D2927">
        <v>46.92</v>
      </c>
      <c r="E2927">
        <v>0.033757908853038</v>
      </c>
      <c r="F2927">
        <v>0.03846153846153855</v>
      </c>
      <c r="G2927">
        <v>0.01824118682704667</v>
      </c>
      <c r="H2927">
        <v>1.583921083384582</v>
      </c>
      <c r="I2927">
        <v>755.072393</v>
      </c>
      <c r="J2927">
        <v>17.43816150207853</v>
      </c>
      <c r="K2927">
        <v>0.5844727244961557</v>
      </c>
      <c r="L2927">
        <v>0.599834245524672</v>
      </c>
      <c r="M2927">
        <v>59.68</v>
      </c>
      <c r="N2927">
        <v>41.43</v>
      </c>
    </row>
    <row r="2928" spans="1:14">
      <c r="A2928" s="1" t="s">
        <v>2940</v>
      </c>
      <c r="B2928">
        <f>HYPERLINK("https://www.suredividend.com/sure-analysis-research-database/","Utah Medical Products, Inc.")</f>
        <v>0</v>
      </c>
      <c r="C2928" t="s">
        <v>3180</v>
      </c>
      <c r="D2928">
        <v>79.90000000000001</v>
      </c>
      <c r="E2928">
        <v>0.014637786463147</v>
      </c>
      <c r="F2928">
        <v>0.01724137931034475</v>
      </c>
      <c r="G2928">
        <v>0.01413988746585337</v>
      </c>
      <c r="H2928">
        <v>1.169559138405487</v>
      </c>
      <c r="I2928">
        <v>289.999048</v>
      </c>
      <c r="J2928">
        <v>0</v>
      </c>
      <c r="K2928" t="s">
        <v>3182</v>
      </c>
      <c r="L2928">
        <v>0.7616119273894111</v>
      </c>
      <c r="M2928">
        <v>107.41</v>
      </c>
      <c r="N2928">
        <v>75</v>
      </c>
    </row>
    <row r="2929" spans="1:14">
      <c r="A2929" s="1" t="s">
        <v>2941</v>
      </c>
      <c r="B2929">
        <f>HYPERLINK("https://www.suredividend.com/sure-analysis-research-database/","Universal Security Instruments, Inc.")</f>
        <v>0</v>
      </c>
      <c r="C2929" t="s">
        <v>3183</v>
      </c>
      <c r="D2929">
        <v>4.26</v>
      </c>
      <c r="E2929">
        <v>0</v>
      </c>
      <c r="F2929" t="s">
        <v>3182</v>
      </c>
      <c r="G2929" t="s">
        <v>3182</v>
      </c>
      <c r="H2929">
        <v>0</v>
      </c>
      <c r="I2929">
        <v>9.852899000000001</v>
      </c>
      <c r="J2929">
        <v>0</v>
      </c>
      <c r="K2929" t="s">
        <v>3182</v>
      </c>
      <c r="L2929">
        <v>0.183559637170966</v>
      </c>
      <c r="M2929">
        <v>4.92</v>
      </c>
      <c r="N2929">
        <v>1.5</v>
      </c>
    </row>
    <row r="2930" spans="1:14">
      <c r="A2930" s="1" t="s">
        <v>2942</v>
      </c>
      <c r="B2930">
        <f>HYPERLINK("https://www.suredividend.com/sure-analysis-research-database/","Universal Insurance Holdings Inc")</f>
        <v>0</v>
      </c>
      <c r="C2930" t="s">
        <v>3184</v>
      </c>
      <c r="D2930">
        <v>16.03</v>
      </c>
      <c r="E2930">
        <v>0.039325423314185</v>
      </c>
      <c r="F2930">
        <v>0.2307692307692308</v>
      </c>
      <c r="G2930">
        <v>0.0424022162772979</v>
      </c>
      <c r="H2930">
        <v>0.630386535726392</v>
      </c>
      <c r="I2930">
        <v>467.848502</v>
      </c>
      <c r="J2930">
        <v>6.504671563990269</v>
      </c>
      <c r="K2930">
        <v>0.26598588005333</v>
      </c>
      <c r="L2930">
        <v>0.725531598079852</v>
      </c>
      <c r="M2930">
        <v>19.74</v>
      </c>
      <c r="N2930">
        <v>8.869999999999999</v>
      </c>
    </row>
    <row r="2931" spans="1:14">
      <c r="A2931" s="1" t="s">
        <v>2943</v>
      </c>
      <c r="B2931">
        <f>HYPERLINK("https://www.suredividend.com/sure-analysis-research-database/","Univest Financial Corp")</f>
        <v>0</v>
      </c>
      <c r="C2931" t="s">
        <v>3184</v>
      </c>
      <c r="D2931">
        <v>17.53</v>
      </c>
      <c r="E2931">
        <v>0.046526269321245</v>
      </c>
      <c r="F2931" t="s">
        <v>3182</v>
      </c>
      <c r="G2931" t="s">
        <v>3182</v>
      </c>
      <c r="H2931">
        <v>0.8156055012014261</v>
      </c>
      <c r="I2931">
        <v>516.632976</v>
      </c>
      <c r="J2931">
        <v>6.264419927732173</v>
      </c>
      <c r="K2931">
        <v>0.2912876790005093</v>
      </c>
      <c r="L2931">
        <v>0.9558253824212981</v>
      </c>
      <c r="M2931">
        <v>27.77</v>
      </c>
      <c r="N2931">
        <v>15.77</v>
      </c>
    </row>
    <row r="2932" spans="1:14">
      <c r="A2932" s="1" t="s">
        <v>2944</v>
      </c>
      <c r="B2932">
        <f>HYPERLINK("https://www.suredividend.com/sure-analysis-UVV/","Universal Corp.")</f>
        <v>0</v>
      </c>
      <c r="C2932" t="s">
        <v>3188</v>
      </c>
      <c r="D2932">
        <v>45.44</v>
      </c>
      <c r="E2932">
        <v>0.07042253521126761</v>
      </c>
      <c r="F2932">
        <v>0.01265822784810133</v>
      </c>
      <c r="G2932">
        <v>0.01299136822423641</v>
      </c>
      <c r="H2932">
        <v>3.10350393487363</v>
      </c>
      <c r="I2932">
        <v>1119.487104</v>
      </c>
      <c r="J2932">
        <v>9.721314229146042</v>
      </c>
      <c r="K2932">
        <v>0.6717540984574957</v>
      </c>
      <c r="L2932">
        <v>0.447767173044827</v>
      </c>
      <c r="M2932">
        <v>54.29</v>
      </c>
      <c r="N2932">
        <v>44.4</v>
      </c>
    </row>
    <row r="2933" spans="1:14">
      <c r="A2933" s="1" t="s">
        <v>2945</v>
      </c>
      <c r="B2933">
        <f>HYPERLINK("https://www.suredividend.com/sure-analysis-V/","Visa Inc")</f>
        <v>0</v>
      </c>
      <c r="C2933" t="s">
        <v>3184</v>
      </c>
      <c r="D2933">
        <v>243.25</v>
      </c>
      <c r="E2933">
        <v>0.008550873586844809</v>
      </c>
      <c r="F2933">
        <v>0</v>
      </c>
      <c r="G2933">
        <v>0.1247461131420948</v>
      </c>
      <c r="H2933">
        <v>1.793803650229668</v>
      </c>
      <c r="I2933">
        <v>459843.344882</v>
      </c>
      <c r="J2933">
        <v>23.64209317866864</v>
      </c>
      <c r="K2933">
        <v>0.2276400571357447</v>
      </c>
      <c r="L2933">
        <v>0.875177555127405</v>
      </c>
      <c r="M2933">
        <v>250.06</v>
      </c>
      <c r="N2933">
        <v>191.76</v>
      </c>
    </row>
    <row r="2934" spans="1:14">
      <c r="A2934" s="1" t="s">
        <v>2946</v>
      </c>
      <c r="B2934">
        <f>HYPERLINK("https://www.suredividend.com/sure-analysis-research-database/","Marriott Vacations Worldwide Corp")</f>
        <v>0</v>
      </c>
      <c r="C2934" t="s">
        <v>3186</v>
      </c>
      <c r="D2934">
        <v>82.48</v>
      </c>
      <c r="E2934">
        <v>0.034590999392511</v>
      </c>
      <c r="F2934" t="s">
        <v>3182</v>
      </c>
      <c r="G2934" t="s">
        <v>3182</v>
      </c>
      <c r="H2934">
        <v>2.853065629894334</v>
      </c>
      <c r="I2934">
        <v>3008.003783</v>
      </c>
      <c r="J2934">
        <v>8.042790862673797</v>
      </c>
      <c r="K2934">
        <v>0.3329131423447297</v>
      </c>
      <c r="L2934">
        <v>1.008687924672806</v>
      </c>
      <c r="M2934">
        <v>162.95</v>
      </c>
      <c r="N2934">
        <v>79.06999999999999</v>
      </c>
    </row>
    <row r="2935" spans="1:14">
      <c r="A2935" s="1" t="s">
        <v>2947</v>
      </c>
      <c r="B2935">
        <f>HYPERLINK("https://www.suredividend.com/sure-analysis-research-database/","Valaris Ltd")</f>
        <v>0</v>
      </c>
      <c r="C2935" t="s">
        <v>3189</v>
      </c>
      <c r="D2935">
        <v>68.95</v>
      </c>
      <c r="E2935">
        <v>0</v>
      </c>
      <c r="F2935" t="s">
        <v>3182</v>
      </c>
      <c r="G2935" t="s">
        <v>3182</v>
      </c>
      <c r="H2935">
        <v>0</v>
      </c>
      <c r="I2935">
        <v>5101.449984</v>
      </c>
      <c r="J2935">
        <v>42.23054622847683</v>
      </c>
      <c r="K2935">
        <v>0</v>
      </c>
      <c r="L2935">
        <v>1.202508941812795</v>
      </c>
      <c r="M2935">
        <v>80</v>
      </c>
      <c r="N2935">
        <v>54.13</v>
      </c>
    </row>
    <row r="2936" spans="1:14">
      <c r="A2936" s="1" t="s">
        <v>2948</v>
      </c>
      <c r="B2936">
        <f>HYPERLINK("https://www.suredividend.com/sure-analysis-research-database/","Value Line, Inc.")</f>
        <v>0</v>
      </c>
      <c r="C2936" t="s">
        <v>3184</v>
      </c>
      <c r="D2936">
        <v>39.63</v>
      </c>
      <c r="E2936">
        <v>0.026970859030007</v>
      </c>
      <c r="F2936">
        <v>0.1200000000000001</v>
      </c>
      <c r="G2936">
        <v>0.08063961960040023</v>
      </c>
      <c r="H2936">
        <v>1.068855143359204</v>
      </c>
      <c r="I2936">
        <v>373.715497</v>
      </c>
      <c r="J2936">
        <v>20.2336490027071</v>
      </c>
      <c r="K2936">
        <v>0.5453342568159204</v>
      </c>
      <c r="M2936">
        <v>66.94</v>
      </c>
      <c r="N2936">
        <v>31.57</v>
      </c>
    </row>
    <row r="2937" spans="1:14">
      <c r="A2937" s="1" t="s">
        <v>2949</v>
      </c>
      <c r="B2937">
        <f>HYPERLINK("https://www.suredividend.com/sure-analysis-research-database/","Vapotherm Inc")</f>
        <v>0</v>
      </c>
      <c r="C2937" t="s">
        <v>3180</v>
      </c>
      <c r="D2937">
        <v>2.66</v>
      </c>
      <c r="E2937">
        <v>0</v>
      </c>
      <c r="F2937" t="s">
        <v>3182</v>
      </c>
      <c r="G2937" t="s">
        <v>3182</v>
      </c>
      <c r="H2937">
        <v>0</v>
      </c>
      <c r="I2937">
        <v>130.530674</v>
      </c>
      <c r="J2937" t="s">
        <v>3182</v>
      </c>
      <c r="K2937">
        <v>-0</v>
      </c>
      <c r="L2937">
        <v>1.020747451596514</v>
      </c>
      <c r="M2937">
        <v>23.65</v>
      </c>
      <c r="N2937">
        <v>2.2</v>
      </c>
    </row>
    <row r="2938" spans="1:14">
      <c r="A2938" s="1" t="s">
        <v>2950</v>
      </c>
      <c r="B2938">
        <f>HYPERLINK("https://www.suredividend.com/sure-analysis-research-database/","Varian Medical Systems, Inc.")</f>
        <v>0</v>
      </c>
      <c r="C2938" t="s">
        <v>3180</v>
      </c>
      <c r="D2938">
        <v>177.07</v>
      </c>
      <c r="E2938">
        <v>0</v>
      </c>
      <c r="F2938" t="s">
        <v>3182</v>
      </c>
      <c r="G2938" t="s">
        <v>3182</v>
      </c>
      <c r="H2938">
        <v>0</v>
      </c>
      <c r="I2938">
        <v>16261.898618</v>
      </c>
      <c r="J2938">
        <v>58.60143646093693</v>
      </c>
      <c r="K2938">
        <v>0</v>
      </c>
      <c r="L2938">
        <v>0.7412058348407721</v>
      </c>
      <c r="M2938">
        <v>177.38</v>
      </c>
      <c r="N2938">
        <v>103.67</v>
      </c>
    </row>
    <row r="2939" spans="1:14">
      <c r="A2939" s="1" t="s">
        <v>2951</v>
      </c>
      <c r="B2939">
        <f>HYPERLINK("https://www.suredividend.com/sure-analysis-research-database/","Village Bank &amp; Trust Financial Corporation")</f>
        <v>0</v>
      </c>
      <c r="C2939" t="s">
        <v>3184</v>
      </c>
      <c r="D2939">
        <v>38.83</v>
      </c>
      <c r="E2939">
        <v>0.012333422208941</v>
      </c>
      <c r="F2939" t="s">
        <v>3182</v>
      </c>
      <c r="G2939" t="s">
        <v>3182</v>
      </c>
      <c r="H2939">
        <v>0.47890678437318</v>
      </c>
      <c r="I2939">
        <v>57.694119</v>
      </c>
      <c r="J2939">
        <v>0</v>
      </c>
      <c r="K2939" t="s">
        <v>3182</v>
      </c>
      <c r="M2939">
        <v>63.73</v>
      </c>
      <c r="N2939">
        <v>37.64</v>
      </c>
    </row>
    <row r="2940" spans="1:14">
      <c r="A2940" s="1" t="s">
        <v>2952</v>
      </c>
      <c r="B2940">
        <f>HYPERLINK("https://www.suredividend.com/sure-analysis-research-database/","VBI Vaccines Inc.")</f>
        <v>0</v>
      </c>
      <c r="C2940" t="s">
        <v>3180</v>
      </c>
      <c r="D2940">
        <v>0.5975</v>
      </c>
      <c r="E2940">
        <v>0</v>
      </c>
      <c r="F2940" t="s">
        <v>3182</v>
      </c>
      <c r="G2940" t="s">
        <v>3182</v>
      </c>
      <c r="H2940">
        <v>0</v>
      </c>
      <c r="I2940">
        <v>13.666125</v>
      </c>
      <c r="J2940" t="s">
        <v>3182</v>
      </c>
      <c r="K2940">
        <v>-0</v>
      </c>
      <c r="L2940">
        <v>1.834218795241889</v>
      </c>
      <c r="M2940">
        <v>21</v>
      </c>
      <c r="N2940">
        <v>0.45</v>
      </c>
    </row>
    <row r="2941" spans="1:14">
      <c r="A2941" s="1" t="s">
        <v>2953</v>
      </c>
      <c r="B2941">
        <f>HYPERLINK("https://www.suredividend.com/sure-analysis-research-database/","Veritex Holdings Inc")</f>
        <v>0</v>
      </c>
      <c r="C2941" t="s">
        <v>3184</v>
      </c>
      <c r="D2941">
        <v>18.63</v>
      </c>
      <c r="E2941">
        <v>0.041976914795511</v>
      </c>
      <c r="F2941">
        <v>0</v>
      </c>
      <c r="G2941">
        <v>0.09856054330611785</v>
      </c>
      <c r="H2941">
        <v>0.7820299226403801</v>
      </c>
      <c r="I2941">
        <v>1012.026834</v>
      </c>
      <c r="J2941">
        <v>6.995947944061552</v>
      </c>
      <c r="K2941">
        <v>0.2951056311850491</v>
      </c>
      <c r="L2941">
        <v>1.456182128293698</v>
      </c>
      <c r="M2941">
        <v>31.78</v>
      </c>
      <c r="N2941">
        <v>14.61</v>
      </c>
    </row>
    <row r="2942" spans="1:14">
      <c r="A2942" s="1" t="s">
        <v>2954</v>
      </c>
      <c r="B2942">
        <f>HYPERLINK("https://www.suredividend.com/sure-analysis-research-database/","Visteon Corp.")</f>
        <v>0</v>
      </c>
      <c r="C2942" t="s">
        <v>3186</v>
      </c>
      <c r="D2942">
        <v>111.3</v>
      </c>
      <c r="E2942">
        <v>0</v>
      </c>
      <c r="F2942" t="s">
        <v>3182</v>
      </c>
      <c r="G2942" t="s">
        <v>3182</v>
      </c>
      <c r="H2942">
        <v>0</v>
      </c>
      <c r="I2942">
        <v>3095.386894</v>
      </c>
      <c r="J2942">
        <v>20.09991489545454</v>
      </c>
      <c r="K2942">
        <v>0</v>
      </c>
      <c r="L2942">
        <v>1.111336412122547</v>
      </c>
      <c r="M2942">
        <v>171.66</v>
      </c>
      <c r="N2942">
        <v>108.66</v>
      </c>
    </row>
    <row r="2943" spans="1:14">
      <c r="A2943" s="1" t="s">
        <v>2955</v>
      </c>
      <c r="B2943">
        <f>HYPERLINK("https://www.suredividend.com/sure-analysis-research-database/","Vericel Corp")</f>
        <v>0</v>
      </c>
      <c r="C2943" t="s">
        <v>3180</v>
      </c>
      <c r="D2943">
        <v>35.53</v>
      </c>
      <c r="E2943">
        <v>0</v>
      </c>
      <c r="F2943" t="s">
        <v>3182</v>
      </c>
      <c r="G2943" t="s">
        <v>3182</v>
      </c>
      <c r="H2943">
        <v>0</v>
      </c>
      <c r="I2943">
        <v>1692.727153</v>
      </c>
      <c r="J2943" t="s">
        <v>3182</v>
      </c>
      <c r="K2943">
        <v>-0</v>
      </c>
      <c r="L2943">
        <v>2.02744450699718</v>
      </c>
      <c r="M2943">
        <v>39.9</v>
      </c>
      <c r="N2943">
        <v>17.3</v>
      </c>
    </row>
    <row r="2944" spans="1:14">
      <c r="A2944" s="1" t="s">
        <v>2956</v>
      </c>
      <c r="B2944">
        <f>HYPERLINK("https://www.suredividend.com/sure-analysis-research-database/","Vocera Communication Inc")</f>
        <v>0</v>
      </c>
      <c r="C2944" t="s">
        <v>3185</v>
      </c>
      <c r="D2944">
        <v>79.13</v>
      </c>
      <c r="E2944">
        <v>0</v>
      </c>
      <c r="F2944" t="s">
        <v>3182</v>
      </c>
      <c r="G2944" t="s">
        <v>3182</v>
      </c>
      <c r="H2944">
        <v>0</v>
      </c>
      <c r="I2944">
        <v>2772.781827</v>
      </c>
      <c r="J2944" t="s">
        <v>3182</v>
      </c>
      <c r="K2944">
        <v>-0</v>
      </c>
      <c r="M2944">
        <v>79.43000000000001</v>
      </c>
      <c r="N2944">
        <v>31.93</v>
      </c>
    </row>
    <row r="2945" spans="1:14">
      <c r="A2945" s="1" t="s">
        <v>2957</v>
      </c>
      <c r="B2945">
        <f>HYPERLINK("https://www.suredividend.com/sure-analysis-research-database/","Victory Capital Holdings Inc")</f>
        <v>0</v>
      </c>
      <c r="C2945" t="s">
        <v>3184</v>
      </c>
      <c r="D2945">
        <v>30.96</v>
      </c>
      <c r="E2945">
        <v>0.038112161503534</v>
      </c>
      <c r="F2945" t="s">
        <v>3182</v>
      </c>
      <c r="G2945" t="s">
        <v>3182</v>
      </c>
      <c r="H2945">
        <v>1.179952520149436</v>
      </c>
      <c r="I2945">
        <v>2036.162295</v>
      </c>
      <c r="J2945">
        <v>8.815433118275845</v>
      </c>
      <c r="K2945">
        <v>0.358648182416242</v>
      </c>
      <c r="L2945">
        <v>1.052363131520307</v>
      </c>
      <c r="M2945">
        <v>34.46</v>
      </c>
      <c r="N2945">
        <v>24.9</v>
      </c>
    </row>
    <row r="2946" spans="1:14">
      <c r="A2946" s="1" t="s">
        <v>2958</v>
      </c>
      <c r="B2946">
        <f>HYPERLINK("https://www.suredividend.com/sure-analysis-research-database/","Veracyte Inc")</f>
        <v>0</v>
      </c>
      <c r="C2946" t="s">
        <v>3180</v>
      </c>
      <c r="D2946">
        <v>22.35</v>
      </c>
      <c r="E2946">
        <v>0</v>
      </c>
      <c r="F2946" t="s">
        <v>3182</v>
      </c>
      <c r="G2946" t="s">
        <v>3182</v>
      </c>
      <c r="H2946">
        <v>0</v>
      </c>
      <c r="I2946">
        <v>1625.974636</v>
      </c>
      <c r="J2946">
        <v>0</v>
      </c>
      <c r="K2946" t="s">
        <v>3182</v>
      </c>
      <c r="L2946">
        <v>2.42586833104851</v>
      </c>
      <c r="M2946">
        <v>32.4</v>
      </c>
      <c r="N2946">
        <v>19.52</v>
      </c>
    </row>
    <row r="2947" spans="1:14">
      <c r="A2947" s="1" t="s">
        <v>2959</v>
      </c>
      <c r="B2947">
        <f>HYPERLINK("https://www.suredividend.com/sure-analysis-research-database/","Veeco Instruments Inc")</f>
        <v>0</v>
      </c>
      <c r="C2947" t="s">
        <v>3185</v>
      </c>
      <c r="D2947">
        <v>24.87</v>
      </c>
      <c r="E2947">
        <v>0</v>
      </c>
      <c r="F2947" t="s">
        <v>3182</v>
      </c>
      <c r="G2947" t="s">
        <v>3182</v>
      </c>
      <c r="H2947">
        <v>0</v>
      </c>
      <c r="I2947">
        <v>1401.313207</v>
      </c>
      <c r="J2947">
        <v>20.79778572753718</v>
      </c>
      <c r="K2947">
        <v>0</v>
      </c>
      <c r="L2947">
        <v>1.164858394173386</v>
      </c>
      <c r="M2947">
        <v>31.09</v>
      </c>
      <c r="N2947">
        <v>17.53</v>
      </c>
    </row>
    <row r="2948" spans="1:14">
      <c r="A2948" s="1" t="s">
        <v>2960</v>
      </c>
      <c r="B2948">
        <f>HYPERLINK("https://www.suredividend.com/sure-analysis-research-database/","Veeva Systems Inc")</f>
        <v>0</v>
      </c>
      <c r="C2948" t="s">
        <v>3180</v>
      </c>
      <c r="D2948">
        <v>189.91</v>
      </c>
      <c r="E2948">
        <v>0</v>
      </c>
      <c r="F2948" t="s">
        <v>3182</v>
      </c>
      <c r="G2948" t="s">
        <v>3182</v>
      </c>
      <c r="H2948">
        <v>0</v>
      </c>
      <c r="I2948">
        <v>27756.790386</v>
      </c>
      <c r="J2948">
        <v>51.38823596468686</v>
      </c>
      <c r="K2948">
        <v>0</v>
      </c>
      <c r="L2948">
        <v>1.272134028887857</v>
      </c>
      <c r="M2948">
        <v>225.49</v>
      </c>
      <c r="N2948">
        <v>157</v>
      </c>
    </row>
    <row r="2949" spans="1:14">
      <c r="A2949" s="1" t="s">
        <v>2961</v>
      </c>
      <c r="B2949">
        <f>HYPERLINK("https://www.suredividend.com/sure-analysis-research-database/","VEREIT Inc")</f>
        <v>0</v>
      </c>
      <c r="C2949" t="s">
        <v>3187</v>
      </c>
      <c r="D2949">
        <v>50.146</v>
      </c>
      <c r="E2949">
        <v>0.034690257484615</v>
      </c>
      <c r="F2949" t="s">
        <v>3182</v>
      </c>
      <c r="G2949" t="s">
        <v>3182</v>
      </c>
      <c r="H2949">
        <v>1.739577651823514</v>
      </c>
      <c r="I2949">
        <v>11490.936644</v>
      </c>
      <c r="J2949">
        <v>50.53404566575487</v>
      </c>
      <c r="K2949">
        <v>8.387548948040086</v>
      </c>
      <c r="M2949">
        <v>52.37</v>
      </c>
      <c r="N2949">
        <v>30.62</v>
      </c>
    </row>
    <row r="2950" spans="1:14">
      <c r="A2950" s="1" t="s">
        <v>2962</v>
      </c>
      <c r="B2950">
        <f>HYPERLINK("https://www.suredividend.com/sure-analysis-research-database/","Veritone Inc")</f>
        <v>0</v>
      </c>
      <c r="C2950" t="s">
        <v>3185</v>
      </c>
      <c r="D2950">
        <v>2.57</v>
      </c>
      <c r="E2950">
        <v>0</v>
      </c>
      <c r="F2950" t="s">
        <v>3182</v>
      </c>
      <c r="G2950" t="s">
        <v>3182</v>
      </c>
      <c r="H2950">
        <v>0</v>
      </c>
      <c r="I2950">
        <v>95.085446</v>
      </c>
      <c r="J2950" t="s">
        <v>3182</v>
      </c>
      <c r="K2950">
        <v>-0</v>
      </c>
      <c r="L2950">
        <v>3.215690753282716</v>
      </c>
      <c r="M2950">
        <v>10.99</v>
      </c>
      <c r="N2950">
        <v>2.17</v>
      </c>
    </row>
    <row r="2951" spans="1:14">
      <c r="A2951" s="1" t="s">
        <v>2963</v>
      </c>
      <c r="B2951">
        <f>HYPERLINK("https://www.suredividend.com/sure-analysis-research-database/","Veru Inc")</f>
        <v>0</v>
      </c>
      <c r="C2951" t="s">
        <v>3180</v>
      </c>
      <c r="D2951">
        <v>0.9736</v>
      </c>
      <c r="E2951">
        <v>0</v>
      </c>
      <c r="F2951" t="s">
        <v>3182</v>
      </c>
      <c r="G2951" t="s">
        <v>3182</v>
      </c>
      <c r="H2951">
        <v>0</v>
      </c>
      <c r="I2951">
        <v>87.897035</v>
      </c>
      <c r="J2951" t="s">
        <v>3182</v>
      </c>
      <c r="K2951">
        <v>-0</v>
      </c>
      <c r="M2951">
        <v>15.9</v>
      </c>
      <c r="N2951">
        <v>0.6606000000000001</v>
      </c>
    </row>
    <row r="2952" spans="1:14">
      <c r="A2952" s="1" t="s">
        <v>2964</v>
      </c>
      <c r="B2952">
        <f>HYPERLINK("https://www.suredividend.com/sure-analysis-VFC/","VF Corp.")</f>
        <v>0</v>
      </c>
      <c r="C2952" t="s">
        <v>3186</v>
      </c>
      <c r="D2952">
        <v>14.81</v>
      </c>
      <c r="E2952">
        <v>0.02430790006752194</v>
      </c>
      <c r="F2952">
        <v>-0.3999999999999999</v>
      </c>
      <c r="G2952">
        <v>-0.1006883577224251</v>
      </c>
      <c r="H2952">
        <v>1.374276642040097</v>
      </c>
      <c r="I2952">
        <v>5759.141211</v>
      </c>
      <c r="J2952">
        <v>49.17341517038226</v>
      </c>
      <c r="K2952">
        <v>4.559643802389174</v>
      </c>
      <c r="L2952">
        <v>1.551704773068537</v>
      </c>
      <c r="M2952">
        <v>32.81</v>
      </c>
      <c r="N2952">
        <v>12.85</v>
      </c>
    </row>
    <row r="2953" spans="1:14">
      <c r="A2953" s="1" t="s">
        <v>2965</v>
      </c>
      <c r="B2953">
        <f>HYPERLINK("https://www.suredividend.com/sure-analysis-research-database/","Vonage Holdings Corp")</f>
        <v>0</v>
      </c>
      <c r="C2953" t="s">
        <v>3191</v>
      </c>
      <c r="D2953">
        <v>20.99</v>
      </c>
      <c r="E2953">
        <v>0</v>
      </c>
      <c r="F2953" t="s">
        <v>3182</v>
      </c>
      <c r="G2953" t="s">
        <v>3182</v>
      </c>
      <c r="H2953">
        <v>0</v>
      </c>
      <c r="I2953">
        <v>0</v>
      </c>
      <c r="J2953">
        <v>0</v>
      </c>
      <c r="K2953">
        <v>-0</v>
      </c>
    </row>
    <row r="2954" spans="1:14">
      <c r="A2954" s="1" t="s">
        <v>2966</v>
      </c>
      <c r="B2954">
        <f>HYPERLINK("https://www.suredividend.com/sure-analysis-VGR/","Vector Group Ltd")</f>
        <v>0</v>
      </c>
      <c r="C2954" t="s">
        <v>3188</v>
      </c>
      <c r="D2954">
        <v>10.52</v>
      </c>
      <c r="E2954">
        <v>0.07604562737642587</v>
      </c>
      <c r="F2954">
        <v>0</v>
      </c>
      <c r="G2954">
        <v>-0.1294494367038759</v>
      </c>
      <c r="H2954">
        <v>0.7798689418291621</v>
      </c>
      <c r="I2954">
        <v>1640.41537</v>
      </c>
      <c r="J2954">
        <v>10.50618920698356</v>
      </c>
      <c r="K2954">
        <v>0.7645773939501589</v>
      </c>
      <c r="L2954">
        <v>0.7725741459953701</v>
      </c>
      <c r="M2954">
        <v>13.68</v>
      </c>
      <c r="N2954">
        <v>9.539999999999999</v>
      </c>
    </row>
    <row r="2955" spans="1:14">
      <c r="A2955" s="1" t="s">
        <v>2967</v>
      </c>
      <c r="B2955">
        <f>HYPERLINK("https://www.suredividend.com/sure-analysis-research-database/","Virnetx Holding Corp")</f>
        <v>0</v>
      </c>
      <c r="C2955" t="s">
        <v>3185</v>
      </c>
      <c r="D2955">
        <v>3.83</v>
      </c>
      <c r="E2955">
        <v>0</v>
      </c>
      <c r="F2955" t="s">
        <v>3182</v>
      </c>
      <c r="G2955" t="s">
        <v>3182</v>
      </c>
      <c r="H2955">
        <v>0</v>
      </c>
      <c r="I2955">
        <v>274.380836</v>
      </c>
      <c r="J2955" t="s">
        <v>3182</v>
      </c>
      <c r="K2955">
        <v>-0</v>
      </c>
      <c r="L2955">
        <v>0.228661296299294</v>
      </c>
      <c r="M2955">
        <v>18.34</v>
      </c>
      <c r="N2955">
        <v>3.5</v>
      </c>
    </row>
    <row r="2956" spans="1:14">
      <c r="A2956" s="1" t="s">
        <v>2968</v>
      </c>
      <c r="B2956">
        <f>HYPERLINK("https://www.suredividend.com/sure-analysis-research-database/","Via Renewables Inc")</f>
        <v>0</v>
      </c>
      <c r="C2956" t="s">
        <v>3182</v>
      </c>
      <c r="D2956">
        <v>7.27</v>
      </c>
      <c r="E2956">
        <v>0.246066173916145</v>
      </c>
      <c r="F2956">
        <v>0</v>
      </c>
      <c r="G2956">
        <v>0</v>
      </c>
      <c r="H2956">
        <v>1.78890108437038</v>
      </c>
      <c r="I2956">
        <v>23.490344</v>
      </c>
      <c r="J2956">
        <v>0</v>
      </c>
      <c r="K2956" t="s">
        <v>3182</v>
      </c>
      <c r="L2956">
        <v>1.24611421707251</v>
      </c>
      <c r="M2956">
        <v>36.11</v>
      </c>
      <c r="N2956">
        <v>5.22</v>
      </c>
    </row>
    <row r="2957" spans="1:14">
      <c r="A2957" s="1" t="s">
        <v>2969</v>
      </c>
      <c r="B2957">
        <f>HYPERLINK("https://www.suredividend.com/sure-analysis-research-database/","Viavi Solutions Inc")</f>
        <v>0</v>
      </c>
      <c r="C2957" t="s">
        <v>3185</v>
      </c>
      <c r="D2957">
        <v>7.84</v>
      </c>
      <c r="E2957">
        <v>0</v>
      </c>
      <c r="F2957" t="s">
        <v>3182</v>
      </c>
      <c r="G2957" t="s">
        <v>3182</v>
      </c>
      <c r="H2957">
        <v>0</v>
      </c>
      <c r="I2957">
        <v>1736.56</v>
      </c>
      <c r="J2957">
        <v>68.10039215686275</v>
      </c>
      <c r="K2957">
        <v>0</v>
      </c>
      <c r="L2957">
        <v>1.103088203320453</v>
      </c>
      <c r="M2957">
        <v>12.2</v>
      </c>
      <c r="N2957">
        <v>7.26</v>
      </c>
    </row>
    <row r="2958" spans="1:14">
      <c r="A2958" s="1" t="s">
        <v>2970</v>
      </c>
      <c r="B2958">
        <f>HYPERLINK("https://www.suredividend.com/sure-analysis-VICI/","VICI Properties Inc")</f>
        <v>0</v>
      </c>
      <c r="C2958" t="s">
        <v>3187</v>
      </c>
      <c r="D2958">
        <v>28.59</v>
      </c>
      <c r="E2958">
        <v>0.05806225953130465</v>
      </c>
      <c r="F2958">
        <v>0.0641025641025641</v>
      </c>
      <c r="G2958">
        <v>0.07617289508793235</v>
      </c>
      <c r="H2958">
        <v>1.555225803133582</v>
      </c>
      <c r="I2958">
        <v>29577.272882</v>
      </c>
      <c r="J2958">
        <v>12.48078881889541</v>
      </c>
      <c r="K2958">
        <v>0.6562134190437054</v>
      </c>
      <c r="L2958">
        <v>0.7016912227279051</v>
      </c>
      <c r="M2958">
        <v>33.75</v>
      </c>
      <c r="N2958">
        <v>26.63</v>
      </c>
    </row>
    <row r="2959" spans="1:14">
      <c r="A2959" s="1" t="s">
        <v>2971</v>
      </c>
      <c r="B2959">
        <f>HYPERLINK("https://www.suredividend.com/sure-analysis-research-database/","Vicor Corp.")</f>
        <v>0</v>
      </c>
      <c r="C2959" t="s">
        <v>3185</v>
      </c>
      <c r="D2959">
        <v>38.09</v>
      </c>
      <c r="E2959">
        <v>0</v>
      </c>
      <c r="F2959" t="s">
        <v>3182</v>
      </c>
      <c r="G2959" t="s">
        <v>3182</v>
      </c>
      <c r="H2959">
        <v>0</v>
      </c>
      <c r="I2959">
        <v>1238.430759</v>
      </c>
      <c r="J2959">
        <v>32.42050208172989</v>
      </c>
      <c r="K2959">
        <v>0</v>
      </c>
      <c r="L2959">
        <v>2.023999501756245</v>
      </c>
      <c r="M2959">
        <v>98.38</v>
      </c>
      <c r="N2959">
        <v>36.37</v>
      </c>
    </row>
    <row r="2960" spans="1:14">
      <c r="A2960" s="1" t="s">
        <v>2972</v>
      </c>
      <c r="B2960">
        <f>HYPERLINK("https://www.suredividend.com/sure-analysis-research-database/","Virco Manufacturing Corp.")</f>
        <v>0</v>
      </c>
      <c r="C2960" t="s">
        <v>3186</v>
      </c>
      <c r="D2960">
        <v>6.28</v>
      </c>
      <c r="E2960">
        <v>0</v>
      </c>
      <c r="F2960" t="s">
        <v>3182</v>
      </c>
      <c r="G2960" t="s">
        <v>3182</v>
      </c>
      <c r="H2960">
        <v>0</v>
      </c>
      <c r="I2960">
        <v>102.661132</v>
      </c>
      <c r="J2960">
        <v>0</v>
      </c>
      <c r="K2960" t="s">
        <v>3182</v>
      </c>
      <c r="L2960">
        <v>0.5887649883549041</v>
      </c>
      <c r="M2960">
        <v>8.24</v>
      </c>
      <c r="N2960">
        <v>3.54</v>
      </c>
    </row>
    <row r="2961" spans="1:14">
      <c r="A2961" s="1" t="s">
        <v>2973</v>
      </c>
      <c r="B2961">
        <f>HYPERLINK("https://www.suredividend.com/sure-analysis-research-database/","Virtu Financial Inc")</f>
        <v>0</v>
      </c>
      <c r="C2961" t="s">
        <v>3184</v>
      </c>
      <c r="D2961">
        <v>17.83</v>
      </c>
      <c r="E2961">
        <v>0.05195861663631501</v>
      </c>
      <c r="F2961">
        <v>0</v>
      </c>
      <c r="G2961">
        <v>0</v>
      </c>
      <c r="H2961">
        <v>0.92642213462551</v>
      </c>
      <c r="I2961">
        <v>1676.908701</v>
      </c>
      <c r="J2961">
        <v>12.35883628028153</v>
      </c>
      <c r="K2961">
        <v>0.6762205362229999</v>
      </c>
      <c r="L2961">
        <v>0.6041564164252911</v>
      </c>
      <c r="M2961">
        <v>21.65</v>
      </c>
      <c r="N2961">
        <v>15.43</v>
      </c>
    </row>
    <row r="2962" spans="1:14">
      <c r="A2962" s="1" t="s">
        <v>2974</v>
      </c>
      <c r="B2962">
        <f>HYPERLINK("https://www.suredividend.com/sure-analysis-research-database/","Vislink Technologies Inc")</f>
        <v>0</v>
      </c>
      <c r="C2962" t="s">
        <v>3185</v>
      </c>
      <c r="D2962">
        <v>3.085</v>
      </c>
      <c r="E2962">
        <v>0</v>
      </c>
      <c r="F2962" t="s">
        <v>3182</v>
      </c>
      <c r="G2962" t="s">
        <v>3182</v>
      </c>
      <c r="H2962">
        <v>0</v>
      </c>
      <c r="I2962">
        <v>7.334162</v>
      </c>
      <c r="J2962">
        <v>0</v>
      </c>
      <c r="K2962" t="s">
        <v>3182</v>
      </c>
      <c r="L2962">
        <v>0.198070404142403</v>
      </c>
      <c r="M2962">
        <v>14.4</v>
      </c>
      <c r="N2962">
        <v>3.01</v>
      </c>
    </row>
    <row r="2963" spans="1:14">
      <c r="A2963" s="1" t="s">
        <v>2975</v>
      </c>
      <c r="B2963">
        <f>HYPERLINK("https://www.suredividend.com/sure-analysis-research-database/","Meridian Bioscience Inc.")</f>
        <v>0</v>
      </c>
      <c r="C2963" t="s">
        <v>3180</v>
      </c>
      <c r="D2963">
        <v>33.97</v>
      </c>
      <c r="E2963">
        <v>0</v>
      </c>
      <c r="F2963" t="s">
        <v>3182</v>
      </c>
      <c r="G2963" t="s">
        <v>3182</v>
      </c>
      <c r="H2963">
        <v>0</v>
      </c>
      <c r="I2963">
        <v>0</v>
      </c>
      <c r="J2963">
        <v>0</v>
      </c>
      <c r="K2963">
        <v>0</v>
      </c>
    </row>
    <row r="2964" spans="1:14">
      <c r="A2964" s="1" t="s">
        <v>2976</v>
      </c>
      <c r="B2964">
        <f>HYPERLINK("https://www.suredividend.com/sure-analysis-research-database/","Viking Therapeutics Inc")</f>
        <v>0</v>
      </c>
      <c r="C2964" t="s">
        <v>3180</v>
      </c>
      <c r="D2964">
        <v>9.779999999999999</v>
      </c>
      <c r="E2964">
        <v>0</v>
      </c>
      <c r="F2964" t="s">
        <v>3182</v>
      </c>
      <c r="G2964" t="s">
        <v>3182</v>
      </c>
      <c r="H2964">
        <v>0</v>
      </c>
      <c r="I2964">
        <v>978.28316</v>
      </c>
      <c r="J2964">
        <v>0</v>
      </c>
      <c r="K2964" t="s">
        <v>3182</v>
      </c>
      <c r="L2964">
        <v>0.152516543453129</v>
      </c>
      <c r="M2964">
        <v>25.72</v>
      </c>
      <c r="N2964">
        <v>3.54</v>
      </c>
    </row>
    <row r="2965" spans="1:14">
      <c r="A2965" s="1" t="s">
        <v>2977</v>
      </c>
      <c r="B2965">
        <f>HYPERLINK("https://www.suredividend.com/sure-analysis-research-database/","Village Super Market, Inc.")</f>
        <v>0</v>
      </c>
      <c r="C2965" t="s">
        <v>3188</v>
      </c>
      <c r="D2965">
        <v>24.3</v>
      </c>
      <c r="E2965">
        <v>0.039927718159233</v>
      </c>
      <c r="F2965">
        <v>0</v>
      </c>
      <c r="G2965">
        <v>0</v>
      </c>
      <c r="H2965">
        <v>0.9702435512693831</v>
      </c>
      <c r="I2965">
        <v>258.822799</v>
      </c>
      <c r="J2965">
        <v>0</v>
      </c>
      <c r="K2965" t="s">
        <v>3182</v>
      </c>
      <c r="L2965">
        <v>0.3881581593157291</v>
      </c>
      <c r="M2965">
        <v>24.7</v>
      </c>
      <c r="N2965">
        <v>19.24</v>
      </c>
    </row>
    <row r="2966" spans="1:14">
      <c r="A2966" s="1" t="s">
        <v>2978</v>
      </c>
      <c r="B2966">
        <f>HYPERLINK("https://www.suredividend.com/sure-analysis-VLO/","Valero Energy Corp.")</f>
        <v>0</v>
      </c>
      <c r="C2966" t="s">
        <v>3189</v>
      </c>
      <c r="D2966">
        <v>128.96</v>
      </c>
      <c r="E2966">
        <v>0.03163771712158809</v>
      </c>
      <c r="F2966">
        <v>0.04081632653061229</v>
      </c>
      <c r="G2966">
        <v>0.04978904632428516</v>
      </c>
      <c r="H2966">
        <v>3.990907335152793</v>
      </c>
      <c r="I2966">
        <v>43904.8114</v>
      </c>
      <c r="J2966">
        <v>4.099422166229692</v>
      </c>
      <c r="K2966">
        <v>0.1358375539534647</v>
      </c>
      <c r="L2966">
        <v>0.7158968015895051</v>
      </c>
      <c r="M2966">
        <v>156.29</v>
      </c>
      <c r="N2966">
        <v>102.41</v>
      </c>
    </row>
    <row r="2967" spans="1:14">
      <c r="A2967" s="1" t="s">
        <v>2979</v>
      </c>
      <c r="B2967">
        <f>HYPERLINK("https://www.suredividend.com/sure-analysis-research-database/","Valley National Bancorp")</f>
        <v>0</v>
      </c>
      <c r="C2967" t="s">
        <v>3184</v>
      </c>
      <c r="D2967">
        <v>8.26</v>
      </c>
      <c r="E2967">
        <v>0.05151100680140001</v>
      </c>
      <c r="F2967">
        <v>0</v>
      </c>
      <c r="G2967">
        <v>0</v>
      </c>
      <c r="H2967">
        <v>0.425480916179564</v>
      </c>
      <c r="I2967">
        <v>4193.062878</v>
      </c>
      <c r="J2967">
        <v>6.691609485984217</v>
      </c>
      <c r="K2967">
        <v>0.3459194440484261</v>
      </c>
      <c r="L2967">
        <v>1.438906796996711</v>
      </c>
      <c r="M2967">
        <v>12.18</v>
      </c>
      <c r="N2967">
        <v>6.07</v>
      </c>
    </row>
    <row r="2968" spans="1:14">
      <c r="A2968" s="1" t="s">
        <v>2980</v>
      </c>
      <c r="B2968">
        <f>HYPERLINK("https://www.suredividend.com/sure-analysis-VMC/","Vulcan Materials Co")</f>
        <v>0</v>
      </c>
      <c r="C2968" t="s">
        <v>3181</v>
      </c>
      <c r="D2968">
        <v>206.82</v>
      </c>
      <c r="E2968">
        <v>0.008316410405183251</v>
      </c>
      <c r="F2968">
        <v>0.07499999999999996</v>
      </c>
      <c r="G2968">
        <v>0.08958743119932766</v>
      </c>
      <c r="H2968">
        <v>1.684804524474129</v>
      </c>
      <c r="I2968">
        <v>27479.381279</v>
      </c>
      <c r="J2968">
        <v>33.30026815244789</v>
      </c>
      <c r="K2968">
        <v>0.2730639423783029</v>
      </c>
      <c r="L2968">
        <v>1.082769974979001</v>
      </c>
      <c r="M2968">
        <v>229.31</v>
      </c>
      <c r="N2968">
        <v>159.1</v>
      </c>
    </row>
    <row r="2969" spans="1:14">
      <c r="A2969" s="1" t="s">
        <v>2981</v>
      </c>
      <c r="B2969">
        <f>HYPERLINK("https://www.suredividend.com/sure-analysis-research-database/","Valmont Industries, Inc.")</f>
        <v>0</v>
      </c>
      <c r="C2969" t="s">
        <v>3183</v>
      </c>
      <c r="D2969">
        <v>200.13</v>
      </c>
      <c r="E2969">
        <v>0.011704006824</v>
      </c>
      <c r="F2969">
        <v>0.09090909090909105</v>
      </c>
      <c r="G2969">
        <v>0.09856054330611785</v>
      </c>
      <c r="H2969">
        <v>2.342322885687168</v>
      </c>
      <c r="I2969">
        <v>4205.287261</v>
      </c>
      <c r="J2969">
        <v>15.21670017781155</v>
      </c>
      <c r="K2969">
        <v>0.1822819366293516</v>
      </c>
      <c r="L2969">
        <v>0.9365042735057481</v>
      </c>
      <c r="M2969">
        <v>350.53</v>
      </c>
      <c r="N2969">
        <v>188.63</v>
      </c>
    </row>
    <row r="2970" spans="1:14">
      <c r="A2970" s="1" t="s">
        <v>2982</v>
      </c>
      <c r="B2970">
        <f>HYPERLINK("https://www.suredividend.com/sure-analysis-research-database/","Vmware Inc.")</f>
        <v>0</v>
      </c>
      <c r="C2970" t="s">
        <v>3185</v>
      </c>
      <c r="D2970">
        <v>144.76</v>
      </c>
      <c r="E2970">
        <v>0</v>
      </c>
      <c r="F2970" t="s">
        <v>3182</v>
      </c>
      <c r="G2970" t="s">
        <v>3182</v>
      </c>
      <c r="H2970">
        <v>0</v>
      </c>
      <c r="I2970">
        <v>62507.368</v>
      </c>
      <c r="J2970">
        <v>43.83405890603085</v>
      </c>
      <c r="K2970">
        <v>0</v>
      </c>
      <c r="M2970">
        <v>181.14</v>
      </c>
      <c r="N2970">
        <v>109</v>
      </c>
    </row>
    <row r="2971" spans="1:14">
      <c r="A2971" s="1" t="s">
        <v>2983</v>
      </c>
      <c r="B2971">
        <f>HYPERLINK("https://www.suredividend.com/sure-analysis-research-database/","Vince Holding Corp")</f>
        <v>0</v>
      </c>
      <c r="C2971" t="s">
        <v>3186</v>
      </c>
      <c r="D2971">
        <v>1.39</v>
      </c>
      <c r="E2971">
        <v>0</v>
      </c>
      <c r="F2971" t="s">
        <v>3182</v>
      </c>
      <c r="G2971" t="s">
        <v>3182</v>
      </c>
      <c r="H2971">
        <v>0</v>
      </c>
      <c r="I2971">
        <v>17.364054</v>
      </c>
      <c r="J2971">
        <v>0</v>
      </c>
      <c r="K2971" t="s">
        <v>3182</v>
      </c>
      <c r="M2971">
        <v>8.5</v>
      </c>
      <c r="N2971">
        <v>1</v>
      </c>
    </row>
    <row r="2972" spans="1:14">
      <c r="A2972" s="1" t="s">
        <v>2984</v>
      </c>
      <c r="B2972">
        <f>HYPERLINK("https://www.suredividend.com/sure-analysis-research-database/","Vanda Pharmaceuticals Inc")</f>
        <v>0</v>
      </c>
      <c r="C2972" t="s">
        <v>3180</v>
      </c>
      <c r="D2972">
        <v>4.47</v>
      </c>
      <c r="E2972">
        <v>0</v>
      </c>
      <c r="F2972" t="s">
        <v>3182</v>
      </c>
      <c r="G2972" t="s">
        <v>3182</v>
      </c>
      <c r="H2972">
        <v>0</v>
      </c>
      <c r="I2972">
        <v>257.063724</v>
      </c>
      <c r="J2972">
        <v>17.24912592162652</v>
      </c>
      <c r="K2972">
        <v>0</v>
      </c>
      <c r="L2972">
        <v>0.5099651612653711</v>
      </c>
      <c r="M2972">
        <v>11.04</v>
      </c>
      <c r="N2972">
        <v>4.11</v>
      </c>
    </row>
    <row r="2973" spans="1:14">
      <c r="A2973" s="1" t="s">
        <v>2985</v>
      </c>
      <c r="B2973">
        <f>HYPERLINK("https://www.suredividend.com/sure-analysis-research-database/","Veoneer Inc")</f>
        <v>0</v>
      </c>
      <c r="C2973" t="s">
        <v>3186</v>
      </c>
      <c r="D2973">
        <v>36.95</v>
      </c>
      <c r="E2973">
        <v>0</v>
      </c>
      <c r="F2973" t="s">
        <v>3182</v>
      </c>
      <c r="G2973" t="s">
        <v>3182</v>
      </c>
      <c r="H2973">
        <v>0</v>
      </c>
      <c r="I2973">
        <v>4139.111103</v>
      </c>
      <c r="J2973">
        <v>0</v>
      </c>
      <c r="K2973" t="s">
        <v>3182</v>
      </c>
      <c r="L2973">
        <v>0.737299370288464</v>
      </c>
      <c r="M2973">
        <v>40.46</v>
      </c>
      <c r="N2973">
        <v>19.28</v>
      </c>
    </row>
    <row r="2974" spans="1:14">
      <c r="A2974" s="1" t="s">
        <v>2986</v>
      </c>
      <c r="B2974">
        <f>HYPERLINK("https://www.suredividend.com/sure-analysis-VNO/","Vornado Realty Trust")</f>
        <v>0</v>
      </c>
      <c r="C2974" t="s">
        <v>3187</v>
      </c>
      <c r="D2974">
        <v>22.01</v>
      </c>
      <c r="E2974">
        <v>0.01726487960018173</v>
      </c>
      <c r="F2974" t="s">
        <v>3182</v>
      </c>
      <c r="G2974" t="s">
        <v>3182</v>
      </c>
      <c r="H2974">
        <v>0.896095605247009</v>
      </c>
      <c r="I2974">
        <v>4188.98185</v>
      </c>
      <c r="J2974" t="s">
        <v>3182</v>
      </c>
      <c r="K2974" t="s">
        <v>3182</v>
      </c>
      <c r="L2974">
        <v>1.769745511571572</v>
      </c>
      <c r="M2974">
        <v>26.76</v>
      </c>
      <c r="N2974">
        <v>12.31</v>
      </c>
    </row>
    <row r="2975" spans="1:14">
      <c r="A2975" s="1" t="s">
        <v>2987</v>
      </c>
      <c r="B2975">
        <f>HYPERLINK("https://www.suredividend.com/sure-analysis-research-database/","VolitionRX Ltd")</f>
        <v>0</v>
      </c>
      <c r="C2975" t="s">
        <v>3180</v>
      </c>
      <c r="D2975">
        <v>0.8290000000000001</v>
      </c>
      <c r="E2975">
        <v>0</v>
      </c>
      <c r="F2975" t="s">
        <v>3182</v>
      </c>
      <c r="G2975" t="s">
        <v>3182</v>
      </c>
      <c r="H2975">
        <v>0</v>
      </c>
      <c r="I2975">
        <v>64.775046</v>
      </c>
      <c r="J2975" t="s">
        <v>3182</v>
      </c>
      <c r="K2975">
        <v>-0</v>
      </c>
      <c r="L2975">
        <v>0.645476387447362</v>
      </c>
      <c r="M2975">
        <v>2.74</v>
      </c>
      <c r="N2975">
        <v>0.5813</v>
      </c>
    </row>
    <row r="2976" spans="1:14">
      <c r="A2976" s="1" t="s">
        <v>2988</v>
      </c>
      <c r="B2976">
        <f>HYPERLINK("https://www.suredividend.com/sure-analysis-research-database/","Venator Materials PLC")</f>
        <v>0</v>
      </c>
      <c r="C2976" t="s">
        <v>3181</v>
      </c>
      <c r="D2976">
        <v>0.2687</v>
      </c>
      <c r="E2976">
        <v>0</v>
      </c>
      <c r="F2976" t="s">
        <v>3182</v>
      </c>
      <c r="G2976" t="s">
        <v>3182</v>
      </c>
      <c r="H2976">
        <v>0</v>
      </c>
      <c r="I2976">
        <v>0</v>
      </c>
      <c r="J2976">
        <v>0</v>
      </c>
      <c r="K2976" t="s">
        <v>3182</v>
      </c>
    </row>
    <row r="2977" spans="1:14">
      <c r="A2977" s="1" t="s">
        <v>2989</v>
      </c>
      <c r="B2977">
        <f>HYPERLINK("https://www.suredividend.com/sure-analysis-research-database/","VOXX International Corp")</f>
        <v>0</v>
      </c>
      <c r="C2977" t="s">
        <v>3186</v>
      </c>
      <c r="D2977">
        <v>9.380000000000001</v>
      </c>
      <c r="E2977">
        <v>0</v>
      </c>
      <c r="F2977" t="s">
        <v>3182</v>
      </c>
      <c r="G2977" t="s">
        <v>3182</v>
      </c>
      <c r="H2977">
        <v>0</v>
      </c>
      <c r="I2977">
        <v>191.20373</v>
      </c>
      <c r="J2977" t="s">
        <v>3182</v>
      </c>
      <c r="K2977">
        <v>-0</v>
      </c>
      <c r="L2977">
        <v>1.302485012903523</v>
      </c>
      <c r="M2977">
        <v>14.75</v>
      </c>
      <c r="N2977">
        <v>7.25</v>
      </c>
    </row>
    <row r="2978" spans="1:14">
      <c r="A2978" s="1" t="s">
        <v>2990</v>
      </c>
      <c r="B2978">
        <f>HYPERLINK("https://www.suredividend.com/sure-analysis-research-database/","Voya Financial Inc")</f>
        <v>0</v>
      </c>
      <c r="C2978" t="s">
        <v>3184</v>
      </c>
      <c r="D2978">
        <v>68.34</v>
      </c>
      <c r="E2978">
        <v>0.014558097715027</v>
      </c>
      <c r="F2978">
        <v>1</v>
      </c>
      <c r="G2978">
        <v>0.2167286837864115</v>
      </c>
      <c r="H2978">
        <v>0.9949003978449741</v>
      </c>
      <c r="I2978">
        <v>7229.011897</v>
      </c>
      <c r="J2978">
        <v>11.92906253683168</v>
      </c>
      <c r="K2978">
        <v>0.1773440994376068</v>
      </c>
      <c r="L2978">
        <v>1.107513722045317</v>
      </c>
      <c r="M2978">
        <v>77.23</v>
      </c>
      <c r="N2978">
        <v>58.17</v>
      </c>
    </row>
    <row r="2979" spans="1:14">
      <c r="A2979" s="1" t="s">
        <v>2991</v>
      </c>
      <c r="B2979">
        <f>HYPERLINK("https://www.suredividend.com/sure-analysis-research-database/","Vishay Precision Group Inc")</f>
        <v>0</v>
      </c>
      <c r="C2979" t="s">
        <v>3185</v>
      </c>
      <c r="D2979">
        <v>30.67</v>
      </c>
      <c r="E2979">
        <v>0</v>
      </c>
      <c r="F2979" t="s">
        <v>3182</v>
      </c>
      <c r="G2979" t="s">
        <v>3182</v>
      </c>
      <c r="H2979">
        <v>0</v>
      </c>
      <c r="I2979">
        <v>385.866999</v>
      </c>
      <c r="J2979">
        <v>0</v>
      </c>
      <c r="K2979" t="s">
        <v>3182</v>
      </c>
      <c r="L2979">
        <v>0.7402729928793751</v>
      </c>
      <c r="M2979">
        <v>45.69</v>
      </c>
      <c r="N2979">
        <v>29.6</v>
      </c>
    </row>
    <row r="2980" spans="1:14">
      <c r="A2980" s="1" t="s">
        <v>2992</v>
      </c>
      <c r="B2980">
        <f>HYPERLINK("https://www.suredividend.com/sure-analysis-research-database/","Vera Bradley Inc")</f>
        <v>0</v>
      </c>
      <c r="C2980" t="s">
        <v>3186</v>
      </c>
      <c r="D2980">
        <v>7.25</v>
      </c>
      <c r="E2980">
        <v>0</v>
      </c>
      <c r="F2980" t="s">
        <v>3182</v>
      </c>
      <c r="G2980" t="s">
        <v>3182</v>
      </c>
      <c r="H2980">
        <v>0</v>
      </c>
      <c r="I2980">
        <v>223.466699</v>
      </c>
      <c r="J2980" t="s">
        <v>3182</v>
      </c>
      <c r="K2980">
        <v>-0</v>
      </c>
      <c r="L2980">
        <v>1.245789671886974</v>
      </c>
      <c r="M2980">
        <v>7.73</v>
      </c>
      <c r="N2980">
        <v>3.1</v>
      </c>
    </row>
    <row r="2981" spans="1:14">
      <c r="A2981" s="1" t="s">
        <v>2993</v>
      </c>
      <c r="B2981">
        <f>HYPERLINK("https://www.suredividend.com/sure-analysis-research-database/","ViewRay Inc.")</f>
        <v>0</v>
      </c>
      <c r="C2981" t="s">
        <v>3180</v>
      </c>
      <c r="D2981">
        <v>0.025</v>
      </c>
      <c r="E2981">
        <v>0</v>
      </c>
      <c r="F2981" t="s">
        <v>3182</v>
      </c>
      <c r="G2981" t="s">
        <v>3182</v>
      </c>
      <c r="H2981">
        <v>0</v>
      </c>
      <c r="I2981">
        <v>0</v>
      </c>
      <c r="J2981">
        <v>0</v>
      </c>
      <c r="K2981" t="s">
        <v>3182</v>
      </c>
    </row>
    <row r="2982" spans="1:14">
      <c r="A2982" s="1" t="s">
        <v>2994</v>
      </c>
      <c r="B2982">
        <f>HYPERLINK("https://www.suredividend.com/sure-analysis-research-database/","Varex Imaging Corp")</f>
        <v>0</v>
      </c>
      <c r="C2982" t="s">
        <v>3180</v>
      </c>
      <c r="D2982">
        <v>18.42</v>
      </c>
      <c r="E2982">
        <v>0</v>
      </c>
      <c r="F2982" t="s">
        <v>3182</v>
      </c>
      <c r="G2982" t="s">
        <v>3182</v>
      </c>
      <c r="H2982">
        <v>0</v>
      </c>
      <c r="I2982">
        <v>744.168</v>
      </c>
      <c r="J2982">
        <v>25.31183673469388</v>
      </c>
      <c r="K2982">
        <v>0</v>
      </c>
      <c r="L2982">
        <v>0.626749415889938</v>
      </c>
      <c r="M2982">
        <v>23.9</v>
      </c>
      <c r="N2982">
        <v>17.05</v>
      </c>
    </row>
    <row r="2983" spans="1:14">
      <c r="A2983" s="1" t="s">
        <v>2995</v>
      </c>
      <c r="B2983">
        <f>HYPERLINK("https://www.suredividend.com/sure-analysis-research-database/","Varonis Systems Inc")</f>
        <v>0</v>
      </c>
      <c r="C2983" t="s">
        <v>3185</v>
      </c>
      <c r="D2983">
        <v>33.34</v>
      </c>
      <c r="E2983">
        <v>0</v>
      </c>
      <c r="F2983" t="s">
        <v>3182</v>
      </c>
      <c r="G2983" t="s">
        <v>3182</v>
      </c>
      <c r="H2983">
        <v>0</v>
      </c>
      <c r="I2983">
        <v>3632.494954</v>
      </c>
      <c r="J2983" t="s">
        <v>3182</v>
      </c>
      <c r="K2983">
        <v>-0</v>
      </c>
      <c r="L2983">
        <v>1.582461770989819</v>
      </c>
      <c r="M2983">
        <v>34.61</v>
      </c>
      <c r="N2983">
        <v>15.61</v>
      </c>
    </row>
    <row r="2984" spans="1:14">
      <c r="A2984" s="1" t="s">
        <v>2996</v>
      </c>
      <c r="B2984">
        <f>HYPERLINK("https://www.suredividend.com/sure-analysis-research-database/","Verint Systems, Inc.")</f>
        <v>0</v>
      </c>
      <c r="C2984" t="s">
        <v>3185</v>
      </c>
      <c r="D2984">
        <v>19.77</v>
      </c>
      <c r="E2984">
        <v>0</v>
      </c>
      <c r="F2984" t="s">
        <v>3182</v>
      </c>
      <c r="G2984" t="s">
        <v>3182</v>
      </c>
      <c r="H2984">
        <v>0</v>
      </c>
      <c r="I2984">
        <v>1270.640201</v>
      </c>
      <c r="J2984" t="s">
        <v>3182</v>
      </c>
      <c r="K2984">
        <v>-0</v>
      </c>
      <c r="L2984">
        <v>1.416685332082134</v>
      </c>
      <c r="M2984">
        <v>40.71</v>
      </c>
      <c r="N2984">
        <v>18.41</v>
      </c>
    </row>
    <row r="2985" spans="1:14">
      <c r="A2985" s="1" t="s">
        <v>2997</v>
      </c>
      <c r="B2985">
        <f>HYPERLINK("https://www.suredividend.com/sure-analysis-research-database/","Verra Mobility Corp")</f>
        <v>0</v>
      </c>
      <c r="C2985" t="s">
        <v>3183</v>
      </c>
      <c r="D2985">
        <v>20.25</v>
      </c>
      <c r="E2985">
        <v>0</v>
      </c>
      <c r="F2985" t="s">
        <v>3182</v>
      </c>
      <c r="G2985" t="s">
        <v>3182</v>
      </c>
      <c r="H2985">
        <v>0</v>
      </c>
      <c r="I2985">
        <v>3436.425</v>
      </c>
      <c r="J2985">
        <v>44.93292276311144</v>
      </c>
      <c r="K2985">
        <v>0</v>
      </c>
      <c r="L2985">
        <v>0.7822196713568621</v>
      </c>
      <c r="M2985">
        <v>21.54</v>
      </c>
      <c r="N2985">
        <v>12.76</v>
      </c>
    </row>
    <row r="2986" spans="1:14">
      <c r="A2986" s="1" t="s">
        <v>2998</v>
      </c>
      <c r="B2986">
        <f>HYPERLINK("https://www.suredividend.com/sure-analysis-research-database/","Verso Corp")</f>
        <v>0</v>
      </c>
      <c r="C2986" t="s">
        <v>3181</v>
      </c>
      <c r="D2986">
        <v>26.99</v>
      </c>
      <c r="E2986">
        <v>0.011060929415307</v>
      </c>
      <c r="F2986" t="s">
        <v>3182</v>
      </c>
      <c r="G2986" t="s">
        <v>3182</v>
      </c>
      <c r="H2986">
        <v>0.298534484919161</v>
      </c>
      <c r="I2986">
        <v>786.882114</v>
      </c>
      <c r="J2986">
        <v>0</v>
      </c>
      <c r="K2986" t="s">
        <v>3182</v>
      </c>
      <c r="L2986">
        <v>0.239328693063605</v>
      </c>
      <c r="M2986">
        <v>27.29</v>
      </c>
      <c r="N2986">
        <v>14.28</v>
      </c>
    </row>
    <row r="2987" spans="1:14">
      <c r="A2987" s="1" t="s">
        <v>2999</v>
      </c>
      <c r="B2987">
        <f>HYPERLINK("https://www.suredividend.com/sure-analysis-VRSK/","Verisk Analytics Inc")</f>
        <v>0</v>
      </c>
      <c r="C2987" t="s">
        <v>3183</v>
      </c>
      <c r="D2987">
        <v>229.87</v>
      </c>
      <c r="E2987">
        <v>0.005916387523382782</v>
      </c>
      <c r="F2987" t="s">
        <v>3182</v>
      </c>
      <c r="G2987" t="s">
        <v>3182</v>
      </c>
      <c r="H2987">
        <v>1.324652409403872</v>
      </c>
      <c r="I2987">
        <v>33328.060087</v>
      </c>
      <c r="J2987">
        <v>66.16648816251738</v>
      </c>
      <c r="K2987">
        <v>0.4026299116729095</v>
      </c>
      <c r="L2987">
        <v>0.802612431199171</v>
      </c>
      <c r="M2987">
        <v>249.26</v>
      </c>
      <c r="N2987">
        <v>161.4</v>
      </c>
    </row>
    <row r="2988" spans="1:14">
      <c r="A2988" s="1" t="s">
        <v>3000</v>
      </c>
      <c r="B2988">
        <f>HYPERLINK("https://www.suredividend.com/sure-analysis-research-database/","Verisign Inc.")</f>
        <v>0</v>
      </c>
      <c r="C2988" t="s">
        <v>3185</v>
      </c>
      <c r="D2988">
        <v>200.35</v>
      </c>
      <c r="E2988">
        <v>0</v>
      </c>
      <c r="F2988" t="s">
        <v>3182</v>
      </c>
      <c r="G2988" t="s">
        <v>3182</v>
      </c>
      <c r="H2988">
        <v>0</v>
      </c>
      <c r="I2988">
        <v>20656.085</v>
      </c>
      <c r="J2988">
        <v>28.20328372474058</v>
      </c>
      <c r="K2988">
        <v>0</v>
      </c>
      <c r="L2988">
        <v>0.8633905581567111</v>
      </c>
      <c r="M2988">
        <v>229.72</v>
      </c>
      <c r="N2988">
        <v>175.2</v>
      </c>
    </row>
    <row r="2989" spans="1:14">
      <c r="A2989" s="1" t="s">
        <v>3001</v>
      </c>
      <c r="B2989">
        <f>HYPERLINK("https://www.suredividend.com/sure-analysis-research-database/","Virtus Investment Partners Inc")</f>
        <v>0</v>
      </c>
      <c r="C2989" t="s">
        <v>3184</v>
      </c>
      <c r="D2989">
        <v>194.31</v>
      </c>
      <c r="E2989">
        <v>0.034367645075379</v>
      </c>
      <c r="F2989">
        <v>0.1515151515151516</v>
      </c>
      <c r="G2989">
        <v>0.2813807114396103</v>
      </c>
      <c r="H2989">
        <v>6.677977114596955</v>
      </c>
      <c r="I2989">
        <v>1409.792111</v>
      </c>
      <c r="J2989">
        <v>10.3690919496032</v>
      </c>
      <c r="K2989">
        <v>0.3643195370756659</v>
      </c>
      <c r="L2989">
        <v>1.5246347772074</v>
      </c>
      <c r="M2989">
        <v>236.88</v>
      </c>
      <c r="N2989">
        <v>155.21</v>
      </c>
    </row>
    <row r="2990" spans="1:14">
      <c r="A2990" s="1" t="s">
        <v>3002</v>
      </c>
      <c r="B2990">
        <f>HYPERLINK("https://www.suredividend.com/sure-analysis-research-database/","Virtusa Corp")</f>
        <v>0</v>
      </c>
      <c r="C2990" t="s">
        <v>3185</v>
      </c>
      <c r="D2990">
        <v>51.325</v>
      </c>
      <c r="E2990">
        <v>0</v>
      </c>
      <c r="F2990" t="s">
        <v>3182</v>
      </c>
      <c r="G2990" t="s">
        <v>3182</v>
      </c>
      <c r="H2990">
        <v>0</v>
      </c>
      <c r="I2990">
        <v>0</v>
      </c>
      <c r="J2990">
        <v>0</v>
      </c>
      <c r="K2990">
        <v>0</v>
      </c>
    </row>
    <row r="2991" spans="1:14">
      <c r="A2991" s="1" t="s">
        <v>3003</v>
      </c>
      <c r="B2991">
        <f>HYPERLINK("https://www.suredividend.com/sure-analysis-research-database/","Veritiv Corp")</f>
        <v>0</v>
      </c>
      <c r="C2991" t="s">
        <v>3183</v>
      </c>
      <c r="D2991">
        <v>169.44</v>
      </c>
      <c r="E2991">
        <v>0.014768693879276</v>
      </c>
      <c r="F2991" t="s">
        <v>3182</v>
      </c>
      <c r="G2991" t="s">
        <v>3182</v>
      </c>
      <c r="H2991">
        <v>2.502407490904637</v>
      </c>
      <c r="I2991">
        <v>2296.095165</v>
      </c>
      <c r="J2991">
        <v>7.462122732011699</v>
      </c>
      <c r="K2991">
        <v>0.1124172278034428</v>
      </c>
      <c r="L2991">
        <v>0.895952364903961</v>
      </c>
      <c r="M2991">
        <v>169.84</v>
      </c>
      <c r="N2991">
        <v>101.12</v>
      </c>
    </row>
    <row r="2992" spans="1:14">
      <c r="A2992" s="1" t="s">
        <v>3004</v>
      </c>
      <c r="B2992">
        <f>HYPERLINK("https://www.suredividend.com/sure-analysis-research-database/","Vertex Pharmaceuticals, Inc.")</f>
        <v>0</v>
      </c>
      <c r="C2992" t="s">
        <v>3180</v>
      </c>
      <c r="D2992">
        <v>376.55</v>
      </c>
      <c r="E2992">
        <v>0</v>
      </c>
      <c r="F2992" t="s">
        <v>3182</v>
      </c>
      <c r="G2992" t="s">
        <v>3182</v>
      </c>
      <c r="H2992">
        <v>0</v>
      </c>
      <c r="I2992">
        <v>97185.60258799999</v>
      </c>
      <c r="J2992">
        <v>28.88216665822164</v>
      </c>
      <c r="K2992">
        <v>0</v>
      </c>
      <c r="L2992">
        <v>0.435255030367399</v>
      </c>
      <c r="M2992">
        <v>376.84</v>
      </c>
      <c r="N2992">
        <v>282.21</v>
      </c>
    </row>
    <row r="2993" spans="1:14">
      <c r="A2993" s="1" t="s">
        <v>3005</v>
      </c>
      <c r="B2993">
        <f>HYPERLINK("https://www.suredividend.com/sure-analysis-research-database/","Viasat, Inc.")</f>
        <v>0</v>
      </c>
      <c r="C2993" t="s">
        <v>3185</v>
      </c>
      <c r="D2993">
        <v>18.93</v>
      </c>
      <c r="E2993">
        <v>0</v>
      </c>
      <c r="F2993" t="s">
        <v>3182</v>
      </c>
      <c r="G2993" t="s">
        <v>3182</v>
      </c>
      <c r="H2993">
        <v>0</v>
      </c>
      <c r="I2993">
        <v>2348.36115</v>
      </c>
      <c r="J2993">
        <v>2.281366540181044</v>
      </c>
      <c r="K2993">
        <v>0</v>
      </c>
      <c r="L2993">
        <v>1.703017571853092</v>
      </c>
      <c r="M2993">
        <v>47.35</v>
      </c>
      <c r="N2993">
        <v>15.02</v>
      </c>
    </row>
    <row r="2994" spans="1:14">
      <c r="A2994" s="1" t="s">
        <v>3006</v>
      </c>
      <c r="B2994">
        <f>HYPERLINK("https://www.suredividend.com/sure-analysis-research-database/","VSE Corp.")</f>
        <v>0</v>
      </c>
      <c r="C2994" t="s">
        <v>3183</v>
      </c>
      <c r="D2994">
        <v>58.54</v>
      </c>
      <c r="E2994">
        <v>0.006796665449892001</v>
      </c>
      <c r="F2994">
        <v>0</v>
      </c>
      <c r="G2994">
        <v>0.04563955259127317</v>
      </c>
      <c r="H2994">
        <v>0.397876795436713</v>
      </c>
      <c r="I2994">
        <v>921.641701</v>
      </c>
      <c r="J2994">
        <v>28.58778810633084</v>
      </c>
      <c r="K2994">
        <v>0.1591507181746852</v>
      </c>
      <c r="L2994">
        <v>1.133355834626178</v>
      </c>
      <c r="M2994">
        <v>59.74</v>
      </c>
      <c r="N2994">
        <v>39.49</v>
      </c>
    </row>
    <row r="2995" spans="1:14">
      <c r="A2995" s="1" t="s">
        <v>3007</v>
      </c>
      <c r="B2995">
        <f>HYPERLINK("https://www.suredividend.com/sure-analysis-research-database/","Vishay Intertechnology, Inc.")</f>
        <v>0</v>
      </c>
      <c r="C2995" t="s">
        <v>3185</v>
      </c>
      <c r="D2995">
        <v>23.07</v>
      </c>
      <c r="E2995">
        <v>0.017237923928302</v>
      </c>
      <c r="F2995">
        <v>0</v>
      </c>
      <c r="G2995">
        <v>0.03303780411393231</v>
      </c>
      <c r="H2995">
        <v>0.397678905025949</v>
      </c>
      <c r="I2995">
        <v>2928.656793</v>
      </c>
      <c r="J2995">
        <v>6.978508709622846</v>
      </c>
      <c r="K2995">
        <v>0.1343509814276855</v>
      </c>
      <c r="L2995">
        <v>1.14864342581852</v>
      </c>
      <c r="M2995">
        <v>29.98</v>
      </c>
      <c r="N2995">
        <v>20.19</v>
      </c>
    </row>
    <row r="2996" spans="1:14">
      <c r="A2996" s="1" t="s">
        <v>3008</v>
      </c>
      <c r="B2996">
        <f>HYPERLINK("https://www.suredividend.com/sure-analysis-VST/","Vistra Corp")</f>
        <v>0</v>
      </c>
      <c r="C2996" t="s">
        <v>3190</v>
      </c>
      <c r="D2996">
        <v>34.66</v>
      </c>
      <c r="E2996">
        <v>0.02365839584535488</v>
      </c>
      <c r="F2996" t="s">
        <v>3182</v>
      </c>
      <c r="G2996" t="s">
        <v>3182</v>
      </c>
      <c r="H2996">
        <v>0.792186525890705</v>
      </c>
      <c r="I2996">
        <v>12739.984796</v>
      </c>
      <c r="J2996">
        <v>8.798332041215469</v>
      </c>
      <c r="K2996">
        <v>0.2152680776876916</v>
      </c>
      <c r="L2996">
        <v>0.7433976828811041</v>
      </c>
      <c r="M2996">
        <v>35.04</v>
      </c>
      <c r="N2996">
        <v>20.71</v>
      </c>
    </row>
    <row r="2997" spans="1:14">
      <c r="A2997" s="1" t="s">
        <v>3009</v>
      </c>
      <c r="B2997">
        <f>HYPERLINK("https://www.suredividend.com/sure-analysis-research-database/","Verastem Inc")</f>
        <v>0</v>
      </c>
      <c r="C2997" t="s">
        <v>3180</v>
      </c>
      <c r="D2997">
        <v>6.44</v>
      </c>
      <c r="E2997">
        <v>0</v>
      </c>
      <c r="F2997" t="s">
        <v>3182</v>
      </c>
      <c r="G2997" t="s">
        <v>3182</v>
      </c>
      <c r="H2997">
        <v>0</v>
      </c>
      <c r="I2997">
        <v>162.614579</v>
      </c>
      <c r="J2997">
        <v>0</v>
      </c>
      <c r="K2997" t="s">
        <v>3182</v>
      </c>
      <c r="M2997">
        <v>15.18</v>
      </c>
      <c r="N2997">
        <v>3.87</v>
      </c>
    </row>
    <row r="2998" spans="1:14">
      <c r="A2998" s="1" t="s">
        <v>3010</v>
      </c>
      <c r="B2998">
        <f>HYPERLINK("https://www.suredividend.com/sure-analysis-research-database/","Vista Outdoor Inc")</f>
        <v>0</v>
      </c>
      <c r="C2998" t="s">
        <v>3186</v>
      </c>
      <c r="D2998">
        <v>25.9</v>
      </c>
      <c r="E2998">
        <v>0</v>
      </c>
      <c r="F2998" t="s">
        <v>3182</v>
      </c>
      <c r="G2998" t="s">
        <v>3182</v>
      </c>
      <c r="H2998">
        <v>0</v>
      </c>
      <c r="I2998">
        <v>1502.321264</v>
      </c>
      <c r="J2998" t="s">
        <v>3182</v>
      </c>
      <c r="K2998">
        <v>-0</v>
      </c>
      <c r="L2998">
        <v>0.8001502934161731</v>
      </c>
      <c r="M2998">
        <v>33.78</v>
      </c>
      <c r="N2998">
        <v>22.97</v>
      </c>
    </row>
    <row r="2999" spans="1:14">
      <c r="A2999" s="1" t="s">
        <v>3011</v>
      </c>
      <c r="B2999">
        <f>HYPERLINK("https://www.suredividend.com/sure-analysis-research-database/","Vertex Energy Inc")</f>
        <v>0</v>
      </c>
      <c r="C2999" t="s">
        <v>3189</v>
      </c>
      <c r="D2999">
        <v>4.42</v>
      </c>
      <c r="E2999">
        <v>0</v>
      </c>
      <c r="F2999" t="s">
        <v>3182</v>
      </c>
      <c r="G2999" t="s">
        <v>3182</v>
      </c>
      <c r="H2999">
        <v>0</v>
      </c>
      <c r="I2999">
        <v>412.345296</v>
      </c>
      <c r="J2999">
        <v>0</v>
      </c>
      <c r="K2999" t="s">
        <v>3182</v>
      </c>
      <c r="L2999">
        <v>1.930419171713174</v>
      </c>
      <c r="M2999">
        <v>11.2</v>
      </c>
      <c r="N2999">
        <v>3.85</v>
      </c>
    </row>
    <row r="3000" spans="1:14">
      <c r="A3000" s="1" t="s">
        <v>3012</v>
      </c>
      <c r="B3000">
        <f>HYPERLINK("https://www.suredividend.com/sure-analysis-VTR/","Ventas Inc")</f>
        <v>0</v>
      </c>
      <c r="C3000" t="s">
        <v>3187</v>
      </c>
      <c r="D3000">
        <v>43.97</v>
      </c>
      <c r="E3000">
        <v>0.04093700250170571</v>
      </c>
      <c r="F3000">
        <v>0</v>
      </c>
      <c r="G3000">
        <v>-0.1070181156534039</v>
      </c>
      <c r="H3000">
        <v>1.77272680722954</v>
      </c>
      <c r="I3000">
        <v>17692.557626</v>
      </c>
      <c r="J3000">
        <v>229.1574290682192</v>
      </c>
      <c r="K3000">
        <v>9.27158371981977</v>
      </c>
      <c r="L3000">
        <v>0.9409972820957281</v>
      </c>
      <c r="M3000">
        <v>51.56</v>
      </c>
      <c r="N3000">
        <v>35.3</v>
      </c>
    </row>
    <row r="3001" spans="1:14">
      <c r="A3001" s="1" t="s">
        <v>3013</v>
      </c>
      <c r="B3001">
        <f>HYPERLINK("https://www.suredividend.com/sure-analysis-research-database/","vTv Therapeutics Inc")</f>
        <v>0</v>
      </c>
      <c r="C3001" t="s">
        <v>3180</v>
      </c>
      <c r="D3001">
        <v>0.4003</v>
      </c>
      <c r="E3001">
        <v>0</v>
      </c>
      <c r="F3001" t="s">
        <v>3182</v>
      </c>
      <c r="G3001" t="s">
        <v>3182</v>
      </c>
      <c r="H3001">
        <v>0</v>
      </c>
      <c r="I3001">
        <v>32.617885</v>
      </c>
      <c r="J3001">
        <v>0</v>
      </c>
      <c r="K3001" t="s">
        <v>3182</v>
      </c>
      <c r="L3001">
        <v>0.6930955026522091</v>
      </c>
      <c r="M3001">
        <v>1.05</v>
      </c>
      <c r="N3001">
        <v>0.3802</v>
      </c>
    </row>
    <row r="3002" spans="1:14">
      <c r="A3002" s="1" t="s">
        <v>3014</v>
      </c>
      <c r="B3002">
        <f>HYPERLINK("https://www.suredividend.com/sure-analysis-research-database/","Vuzix Corporation")</f>
        <v>0</v>
      </c>
      <c r="C3002" t="s">
        <v>3185</v>
      </c>
      <c r="D3002">
        <v>3.37</v>
      </c>
      <c r="E3002">
        <v>0</v>
      </c>
      <c r="F3002" t="s">
        <v>3182</v>
      </c>
      <c r="G3002" t="s">
        <v>3182</v>
      </c>
      <c r="H3002">
        <v>0</v>
      </c>
      <c r="I3002">
        <v>213.385761</v>
      </c>
      <c r="J3002">
        <v>0</v>
      </c>
      <c r="K3002" t="s">
        <v>3182</v>
      </c>
      <c r="L3002">
        <v>2.31835327512909</v>
      </c>
      <c r="M3002">
        <v>6.06</v>
      </c>
      <c r="N3002">
        <v>3.01</v>
      </c>
    </row>
    <row r="3003" spans="1:14">
      <c r="A3003" s="1" t="s">
        <v>3015</v>
      </c>
      <c r="B3003">
        <f>HYPERLINK("https://www.suredividend.com/sure-analysis-research-database/","Viad Corp.")</f>
        <v>0</v>
      </c>
      <c r="C3003" t="s">
        <v>3183</v>
      </c>
      <c r="D3003">
        <v>25.43</v>
      </c>
      <c r="E3003">
        <v>0</v>
      </c>
      <c r="F3003" t="s">
        <v>3182</v>
      </c>
      <c r="G3003" t="s">
        <v>3182</v>
      </c>
      <c r="H3003">
        <v>0</v>
      </c>
      <c r="I3003">
        <v>530.953199</v>
      </c>
      <c r="J3003">
        <v>40.28476470940819</v>
      </c>
      <c r="K3003">
        <v>0</v>
      </c>
      <c r="L3003">
        <v>1.111479155058247</v>
      </c>
      <c r="M3003">
        <v>34.64</v>
      </c>
      <c r="N3003">
        <v>17.1</v>
      </c>
    </row>
    <row r="3004" spans="1:14">
      <c r="A3004" s="1" t="s">
        <v>3016</v>
      </c>
      <c r="B3004">
        <f>HYPERLINK("https://www.suredividend.com/sure-analysis-research-database/","Valvoline Inc")</f>
        <v>0</v>
      </c>
      <c r="C3004" t="s">
        <v>3189</v>
      </c>
      <c r="D3004">
        <v>30.35</v>
      </c>
      <c r="E3004">
        <v>0.004118616144975</v>
      </c>
      <c r="F3004" t="s">
        <v>3182</v>
      </c>
      <c r="G3004" t="s">
        <v>3182</v>
      </c>
      <c r="H3004">
        <v>0.125</v>
      </c>
      <c r="I3004">
        <v>4208.413886</v>
      </c>
      <c r="J3004">
        <v>2.754017332537138</v>
      </c>
      <c r="K3004">
        <v>0.01410835214446953</v>
      </c>
      <c r="L3004">
        <v>0.7175737831280451</v>
      </c>
      <c r="M3004">
        <v>39.67</v>
      </c>
      <c r="N3004">
        <v>29.22</v>
      </c>
    </row>
    <row r="3005" spans="1:14">
      <c r="A3005" s="1" t="s">
        <v>3017</v>
      </c>
      <c r="B3005">
        <f>HYPERLINK("https://www.suredividend.com/sure-analysis-research-database/","Vaxart Inc")</f>
        <v>0</v>
      </c>
      <c r="C3005" t="s">
        <v>3180</v>
      </c>
      <c r="D3005">
        <v>0.6661</v>
      </c>
      <c r="E3005">
        <v>0</v>
      </c>
      <c r="F3005" t="s">
        <v>3182</v>
      </c>
      <c r="G3005" t="s">
        <v>3182</v>
      </c>
      <c r="H3005">
        <v>0</v>
      </c>
      <c r="I3005">
        <v>101.226092</v>
      </c>
      <c r="J3005" t="s">
        <v>3182</v>
      </c>
      <c r="K3005">
        <v>-0</v>
      </c>
      <c r="L3005">
        <v>2.390529752703465</v>
      </c>
      <c r="M3005">
        <v>1.73</v>
      </c>
      <c r="N3005">
        <v>0.5600000000000001</v>
      </c>
    </row>
    <row r="3006" spans="1:14">
      <c r="A3006" s="1" t="s">
        <v>3018</v>
      </c>
      <c r="B3006">
        <f>HYPERLINK("https://www.suredividend.com/sure-analysis-research-database/","Voyager Therapeutics Inc")</f>
        <v>0</v>
      </c>
      <c r="C3006" t="s">
        <v>3180</v>
      </c>
      <c r="D3006">
        <v>6.45</v>
      </c>
      <c r="E3006">
        <v>0</v>
      </c>
      <c r="F3006" t="s">
        <v>3182</v>
      </c>
      <c r="G3006" t="s">
        <v>3182</v>
      </c>
      <c r="H3006">
        <v>0</v>
      </c>
      <c r="I3006">
        <v>283.158348</v>
      </c>
      <c r="J3006">
        <v>2.954675246259157</v>
      </c>
      <c r="K3006">
        <v>0</v>
      </c>
      <c r="L3006">
        <v>1.15887438520059</v>
      </c>
      <c r="M3006">
        <v>14.34</v>
      </c>
      <c r="N3006">
        <v>4.77</v>
      </c>
    </row>
    <row r="3007" spans="1:14">
      <c r="A3007" s="1" t="s">
        <v>3019</v>
      </c>
      <c r="B3007">
        <f>HYPERLINK("https://www.suredividend.com/sure-analysis-VZ/","Verizon Communications Inc")</f>
        <v>0</v>
      </c>
      <c r="C3007" t="s">
        <v>3191</v>
      </c>
      <c r="D3007">
        <v>35.9</v>
      </c>
      <c r="E3007">
        <v>0.07409470752089137</v>
      </c>
      <c r="F3007">
        <v>0.0191570881226053</v>
      </c>
      <c r="G3007">
        <v>0.01993599472552776</v>
      </c>
      <c r="H3007">
        <v>2.548924685693697</v>
      </c>
      <c r="I3007">
        <v>150927.249558</v>
      </c>
      <c r="J3007">
        <v>7.222781850981049</v>
      </c>
      <c r="K3007">
        <v>0.5138961059866325</v>
      </c>
      <c r="L3007">
        <v>0.473490427853293</v>
      </c>
      <c r="M3007">
        <v>42.33</v>
      </c>
      <c r="N3007">
        <v>30.14</v>
      </c>
    </row>
    <row r="3008" spans="1:14">
      <c r="A3008" s="1" t="s">
        <v>3020</v>
      </c>
      <c r="B3008">
        <f>HYPERLINK("https://www.suredividend.com/sure-analysis-research-database/","Wayfair Inc")</f>
        <v>0</v>
      </c>
      <c r="C3008" t="s">
        <v>3186</v>
      </c>
      <c r="D3008">
        <v>46.69</v>
      </c>
      <c r="E3008">
        <v>0</v>
      </c>
      <c r="F3008" t="s">
        <v>3182</v>
      </c>
      <c r="G3008" t="s">
        <v>3182</v>
      </c>
      <c r="H3008">
        <v>0</v>
      </c>
      <c r="I3008">
        <v>4214.299163</v>
      </c>
      <c r="J3008" t="s">
        <v>3182</v>
      </c>
      <c r="K3008">
        <v>-0</v>
      </c>
      <c r="L3008">
        <v>3.39317284122995</v>
      </c>
      <c r="M3008">
        <v>90.70999999999999</v>
      </c>
      <c r="N3008">
        <v>28.7</v>
      </c>
    </row>
    <row r="3009" spans="1:14">
      <c r="A3009" s="1" t="s">
        <v>3021</v>
      </c>
      <c r="B3009">
        <f>HYPERLINK("https://www.suredividend.com/sure-analysis-research-database/","Westinghouse Air Brake Technologies Corp")</f>
        <v>0</v>
      </c>
      <c r="C3009" t="s">
        <v>3183</v>
      </c>
      <c r="D3009">
        <v>109.35</v>
      </c>
      <c r="E3009">
        <v>0.006019407219142001</v>
      </c>
      <c r="F3009">
        <v>0.1333333333333335</v>
      </c>
      <c r="G3009">
        <v>0.07214502590085092</v>
      </c>
      <c r="H3009">
        <v>0.658222179413243</v>
      </c>
      <c r="I3009">
        <v>19591.054146</v>
      </c>
      <c r="J3009">
        <v>25.8457178707124</v>
      </c>
      <c r="K3009">
        <v>0.1567195665269626</v>
      </c>
      <c r="L3009">
        <v>0.8948288667304021</v>
      </c>
      <c r="M3009">
        <v>119.52</v>
      </c>
      <c r="N3009">
        <v>91.75</v>
      </c>
    </row>
    <row r="3010" spans="1:14">
      <c r="A3010" s="1" t="s">
        <v>3022</v>
      </c>
      <c r="B3010">
        <f>HYPERLINK("https://www.suredividend.com/sure-analysis-WABC/","Westamerica Bancorporation")</f>
        <v>0</v>
      </c>
      <c r="C3010" t="s">
        <v>3184</v>
      </c>
      <c r="D3010">
        <v>48.32</v>
      </c>
      <c r="E3010">
        <v>0.03642384105960265</v>
      </c>
      <c r="F3010">
        <v>0.04761904761904767</v>
      </c>
      <c r="G3010">
        <v>0.01924487649145656</v>
      </c>
      <c r="H3010">
        <v>1.656078562747689</v>
      </c>
      <c r="I3010">
        <v>1287.658709</v>
      </c>
      <c r="J3010">
        <v>8.318047512774299</v>
      </c>
      <c r="K3010">
        <v>0.2870153488297555</v>
      </c>
      <c r="L3010">
        <v>0.8284417442950971</v>
      </c>
      <c r="M3010">
        <v>60.87</v>
      </c>
      <c r="N3010">
        <v>34.11</v>
      </c>
    </row>
    <row r="3011" spans="1:14">
      <c r="A3011" s="1" t="s">
        <v>3023</v>
      </c>
      <c r="B3011">
        <f>HYPERLINK("https://www.suredividend.com/sure-analysis-WAFD/","WaFd Inc")</f>
        <v>0</v>
      </c>
      <c r="C3011" t="s">
        <v>3184</v>
      </c>
      <c r="D3011">
        <v>26</v>
      </c>
      <c r="E3011">
        <v>0.03846153846153846</v>
      </c>
      <c r="F3011">
        <v>0.04166666666666674</v>
      </c>
      <c r="G3011">
        <v>0.06790716584560208</v>
      </c>
      <c r="H3011">
        <v>0.9703334752805141</v>
      </c>
      <c r="I3011">
        <v>1682.967728</v>
      </c>
      <c r="J3011">
        <v>6.327231784892552</v>
      </c>
      <c r="K3011">
        <v>0.2384111732875956</v>
      </c>
      <c r="L3011">
        <v>1.222638238362989</v>
      </c>
      <c r="M3011">
        <v>37.57</v>
      </c>
      <c r="N3011">
        <v>23.25</v>
      </c>
    </row>
    <row r="3012" spans="1:14">
      <c r="A3012" s="1" t="s">
        <v>3024</v>
      </c>
      <c r="B3012">
        <f>HYPERLINK("https://www.suredividend.com/sure-analysis-research-database/","Western Alliance Bancorp")</f>
        <v>0</v>
      </c>
      <c r="C3012" t="s">
        <v>3184</v>
      </c>
      <c r="D3012">
        <v>45.87</v>
      </c>
      <c r="E3012">
        <v>0.030986400340157</v>
      </c>
      <c r="F3012" t="s">
        <v>3182</v>
      </c>
      <c r="G3012" t="s">
        <v>3182</v>
      </c>
      <c r="H3012">
        <v>1.421346183603034</v>
      </c>
      <c r="I3012">
        <v>5021.558757</v>
      </c>
      <c r="J3012">
        <v>5.87522962046332</v>
      </c>
      <c r="K3012">
        <v>0.1801452704186355</v>
      </c>
      <c r="L3012">
        <v>2.973775455763407</v>
      </c>
      <c r="M3012">
        <v>79.16</v>
      </c>
      <c r="N3012">
        <v>7.31</v>
      </c>
    </row>
    <row r="3013" spans="1:14">
      <c r="A3013" s="1" t="s">
        <v>3025</v>
      </c>
      <c r="B3013">
        <f>HYPERLINK("https://www.suredividend.com/sure-analysis-WASH/","Washington Trust Bancorp, Inc.")</f>
        <v>0</v>
      </c>
      <c r="C3013" t="s">
        <v>3184</v>
      </c>
      <c r="D3013">
        <v>24.6</v>
      </c>
      <c r="E3013">
        <v>0.0910569105691057</v>
      </c>
      <c r="F3013">
        <v>0.03703703703703698</v>
      </c>
      <c r="G3013">
        <v>0.03566198138570109</v>
      </c>
      <c r="H3013">
        <v>2.62855298564478</v>
      </c>
      <c r="I3013">
        <v>418.673279</v>
      </c>
      <c r="J3013">
        <v>7.075769467635626</v>
      </c>
      <c r="K3013">
        <v>0.7641142400130174</v>
      </c>
      <c r="L3013">
        <v>0.948370856953875</v>
      </c>
      <c r="M3013">
        <v>45.63</v>
      </c>
      <c r="N3013">
        <v>20.51</v>
      </c>
    </row>
    <row r="3014" spans="1:14">
      <c r="A3014" s="1" t="s">
        <v>3026</v>
      </c>
      <c r="B3014">
        <f>HYPERLINK("https://www.suredividend.com/sure-analysis-research-database/","Waters Corp.")</f>
        <v>0</v>
      </c>
      <c r="C3014" t="s">
        <v>3180</v>
      </c>
      <c r="D3014">
        <v>245.41</v>
      </c>
      <c r="E3014">
        <v>0</v>
      </c>
      <c r="F3014" t="s">
        <v>3182</v>
      </c>
      <c r="G3014" t="s">
        <v>3182</v>
      </c>
      <c r="H3014">
        <v>0</v>
      </c>
      <c r="I3014">
        <v>14504.448088</v>
      </c>
      <c r="J3014">
        <v>21.50282058362995</v>
      </c>
      <c r="K3014">
        <v>0</v>
      </c>
      <c r="L3014">
        <v>0.9580390517551751</v>
      </c>
      <c r="M3014">
        <v>353.71</v>
      </c>
      <c r="N3014">
        <v>231.9</v>
      </c>
    </row>
    <row r="3015" spans="1:14">
      <c r="A3015" s="1" t="s">
        <v>3027</v>
      </c>
      <c r="B3015">
        <f>HYPERLINK("https://www.suredividend.com/sure-analysis-research-database/","Energous Corp")</f>
        <v>0</v>
      </c>
      <c r="C3015" t="s">
        <v>3185</v>
      </c>
      <c r="D3015">
        <v>2.02</v>
      </c>
      <c r="E3015">
        <v>0</v>
      </c>
      <c r="F3015" t="s">
        <v>3182</v>
      </c>
      <c r="G3015" t="s">
        <v>3182</v>
      </c>
      <c r="H3015">
        <v>0</v>
      </c>
      <c r="I3015">
        <v>9.292</v>
      </c>
      <c r="J3015" t="s">
        <v>3182</v>
      </c>
      <c r="K3015">
        <v>-0</v>
      </c>
      <c r="L3015">
        <v>1.353794171828277</v>
      </c>
      <c r="M3015">
        <v>25.2</v>
      </c>
      <c r="N3015">
        <v>1.51</v>
      </c>
    </row>
    <row r="3016" spans="1:14">
      <c r="A3016" s="1" t="s">
        <v>3028</v>
      </c>
      <c r="B3016">
        <f>HYPERLINK("https://www.suredividend.com/sure-analysis-WBA/","Walgreens Boots Alliance Inc")</f>
        <v>0</v>
      </c>
      <c r="C3016" t="s">
        <v>3180</v>
      </c>
      <c r="D3016">
        <v>21.5</v>
      </c>
      <c r="E3016">
        <v>0.08930232558139535</v>
      </c>
      <c r="F3016">
        <v>0</v>
      </c>
      <c r="G3016">
        <v>0.01755457717558762</v>
      </c>
      <c r="H3016">
        <v>1.87435635465288</v>
      </c>
      <c r="I3016">
        <v>18574.16375</v>
      </c>
      <c r="J3016" t="s">
        <v>3182</v>
      </c>
      <c r="K3016" t="s">
        <v>3182</v>
      </c>
      <c r="L3016">
        <v>0.780931721443289</v>
      </c>
      <c r="M3016">
        <v>40.39</v>
      </c>
      <c r="N3016">
        <v>20.14</v>
      </c>
    </row>
    <row r="3017" spans="1:14">
      <c r="A3017" s="1" t="s">
        <v>3029</v>
      </c>
      <c r="B3017">
        <f>HYPERLINK("https://www.suredividend.com/sure-analysis-research-database/","Webster Financial Corp.")</f>
        <v>0</v>
      </c>
      <c r="C3017" t="s">
        <v>3184</v>
      </c>
      <c r="D3017">
        <v>39.62</v>
      </c>
      <c r="E3017">
        <v>0.03977263268456301</v>
      </c>
      <c r="F3017">
        <v>0</v>
      </c>
      <c r="G3017">
        <v>0.03922410156720635</v>
      </c>
      <c r="H3017">
        <v>1.5757917069624</v>
      </c>
      <c r="I3017">
        <v>6864.360327</v>
      </c>
      <c r="J3017">
        <v>7.543195081576295</v>
      </c>
      <c r="K3017">
        <v>0.2995801724263118</v>
      </c>
      <c r="L3017">
        <v>1.43331791228031</v>
      </c>
      <c r="M3017">
        <v>54.3</v>
      </c>
      <c r="N3017">
        <v>30.07</v>
      </c>
    </row>
    <row r="3018" spans="1:14">
      <c r="A3018" s="1" t="s">
        <v>3030</v>
      </c>
      <c r="B3018">
        <f>HYPERLINK("https://www.suredividend.com/sure-analysis-research-database/","Welbilt Inc")</f>
        <v>0</v>
      </c>
      <c r="C3018" t="s">
        <v>3183</v>
      </c>
      <c r="D3018">
        <v>24.01</v>
      </c>
      <c r="E3018">
        <v>0</v>
      </c>
      <c r="F3018" t="s">
        <v>3182</v>
      </c>
      <c r="G3018" t="s">
        <v>3182</v>
      </c>
      <c r="H3018">
        <v>0</v>
      </c>
      <c r="I3018">
        <v>3437.755786</v>
      </c>
      <c r="J3018">
        <v>52.64557099019908</v>
      </c>
      <c r="K3018">
        <v>0</v>
      </c>
      <c r="L3018">
        <v>0.074023481239715</v>
      </c>
      <c r="M3018">
        <v>24.01</v>
      </c>
      <c r="N3018">
        <v>22.9</v>
      </c>
    </row>
    <row r="3019" spans="1:14">
      <c r="A3019" s="1" t="s">
        <v>3031</v>
      </c>
      <c r="B3019">
        <f>HYPERLINK("https://www.suredividend.com/sure-analysis-research-database/","Wesco International, Inc.")</f>
        <v>0</v>
      </c>
      <c r="C3019" t="s">
        <v>3183</v>
      </c>
      <c r="D3019">
        <v>135.97</v>
      </c>
      <c r="E3019">
        <v>0.008254253549005001</v>
      </c>
      <c r="F3019" t="s">
        <v>3182</v>
      </c>
      <c r="G3019" t="s">
        <v>3182</v>
      </c>
      <c r="H3019">
        <v>1.122330855058212</v>
      </c>
      <c r="I3019">
        <v>6988.070734</v>
      </c>
      <c r="J3019">
        <v>8.832042159935694</v>
      </c>
      <c r="K3019">
        <v>0.07447450929384287</v>
      </c>
      <c r="L3019">
        <v>1.576935756985889</v>
      </c>
      <c r="M3019">
        <v>184.78</v>
      </c>
      <c r="N3019">
        <v>114.68</v>
      </c>
    </row>
    <row r="3020" spans="1:14">
      <c r="A3020" s="1" t="s">
        <v>3032</v>
      </c>
      <c r="B3020">
        <f>HYPERLINK("https://www.suredividend.com/sure-analysis-research-database/","Walker &amp; Dunlop Inc")</f>
        <v>0</v>
      </c>
      <c r="C3020" t="s">
        <v>3184</v>
      </c>
      <c r="D3020">
        <v>70.15000000000001</v>
      </c>
      <c r="E3020">
        <v>0.035082673054534</v>
      </c>
      <c r="F3020">
        <v>0.04999999999999982</v>
      </c>
      <c r="G3020">
        <v>0.2030401126732269</v>
      </c>
      <c r="H3020">
        <v>2.46104951477558</v>
      </c>
      <c r="I3020">
        <v>2339.129442</v>
      </c>
      <c r="J3020">
        <v>16.84754101670256</v>
      </c>
      <c r="K3020">
        <v>0.5804362063149953</v>
      </c>
      <c r="L3020">
        <v>1.665867724310041</v>
      </c>
      <c r="M3020">
        <v>98.65000000000001</v>
      </c>
      <c r="N3020">
        <v>60.06</v>
      </c>
    </row>
    <row r="3021" spans="1:14">
      <c r="A3021" s="1" t="s">
        <v>3033</v>
      </c>
      <c r="B3021">
        <f>HYPERLINK("https://www.suredividend.com/sure-analysis-research-database/","Workday Inc")</f>
        <v>0</v>
      </c>
      <c r="C3021" t="s">
        <v>3185</v>
      </c>
      <c r="D3021">
        <v>212.92</v>
      </c>
      <c r="E3021">
        <v>0</v>
      </c>
      <c r="F3021" t="s">
        <v>3182</v>
      </c>
      <c r="G3021" t="s">
        <v>3182</v>
      </c>
      <c r="H3021">
        <v>0</v>
      </c>
      <c r="I3021">
        <v>55785.04</v>
      </c>
      <c r="J3021" t="s">
        <v>3182</v>
      </c>
      <c r="K3021">
        <v>-0</v>
      </c>
      <c r="L3021">
        <v>1.674167107497115</v>
      </c>
      <c r="M3021">
        <v>252.72</v>
      </c>
      <c r="N3021">
        <v>128.72</v>
      </c>
    </row>
    <row r="3022" spans="1:14">
      <c r="A3022" s="1" t="s">
        <v>3034</v>
      </c>
      <c r="B3022">
        <f>HYPERLINK("https://www.suredividend.com/sure-analysis-research-database/","Western Digital Corp.")</f>
        <v>0</v>
      </c>
      <c r="C3022" t="s">
        <v>3185</v>
      </c>
      <c r="D3022">
        <v>42.16</v>
      </c>
      <c r="E3022">
        <v>0</v>
      </c>
      <c r="F3022" t="s">
        <v>3182</v>
      </c>
      <c r="G3022" t="s">
        <v>3182</v>
      </c>
      <c r="H3022">
        <v>0</v>
      </c>
      <c r="I3022">
        <v>13665.970949</v>
      </c>
      <c r="J3022" t="s">
        <v>3182</v>
      </c>
      <c r="K3022">
        <v>-0</v>
      </c>
      <c r="L3022">
        <v>1.503521311452736</v>
      </c>
      <c r="M3022">
        <v>47.14</v>
      </c>
      <c r="N3022">
        <v>29.73</v>
      </c>
    </row>
    <row r="3023" spans="1:14">
      <c r="A3023" s="1" t="s">
        <v>3035</v>
      </c>
      <c r="B3023">
        <f>HYPERLINK("https://www.suredividend.com/sure-analysis-WDFC/","WD-40 Co.")</f>
        <v>0</v>
      </c>
      <c r="C3023" t="s">
        <v>3181</v>
      </c>
      <c r="D3023">
        <v>219.3</v>
      </c>
      <c r="E3023">
        <v>0.0151390788873689</v>
      </c>
      <c r="F3023">
        <v>0.0641025641025641</v>
      </c>
      <c r="G3023">
        <v>0.0635297710429148</v>
      </c>
      <c r="H3023">
        <v>3.283769608206495</v>
      </c>
      <c r="I3023">
        <v>2972.980801</v>
      </c>
      <c r="J3023">
        <v>45.23639021317388</v>
      </c>
      <c r="K3023">
        <v>0.6798694841007236</v>
      </c>
      <c r="L3023">
        <v>0.76514245959965</v>
      </c>
      <c r="M3023">
        <v>231.06</v>
      </c>
      <c r="N3023">
        <v>149.2</v>
      </c>
    </row>
    <row r="3024" spans="1:14">
      <c r="A3024" s="1" t="s">
        <v>3036</v>
      </c>
      <c r="B3024">
        <f>HYPERLINK("https://www.suredividend.com/sure-analysis-research-database/","Waddell &amp; Reed Financial, Inc.")</f>
        <v>0</v>
      </c>
      <c r="C3024" t="s">
        <v>3184</v>
      </c>
      <c r="D3024">
        <v>24.98</v>
      </c>
      <c r="E3024">
        <v>0.039384485398388</v>
      </c>
      <c r="F3024" t="s">
        <v>3182</v>
      </c>
      <c r="G3024" t="s">
        <v>3182</v>
      </c>
      <c r="H3024">
        <v>0.9838244452517491</v>
      </c>
      <c r="I3024">
        <v>1549.379129</v>
      </c>
      <c r="J3024">
        <v>30.93622844677835</v>
      </c>
      <c r="K3024">
        <v>1.250889313733947</v>
      </c>
      <c r="L3024">
        <v>0.9785227016099101</v>
      </c>
      <c r="M3024">
        <v>25.39</v>
      </c>
      <c r="N3024">
        <v>11.82</v>
      </c>
    </row>
    <row r="3025" spans="1:14">
      <c r="A3025" s="1" t="s">
        <v>3037</v>
      </c>
      <c r="B3025">
        <f>HYPERLINK("https://www.suredividend.com/sure-analysis-WEC/","WEC Energy Group Inc")</f>
        <v>0</v>
      </c>
      <c r="C3025" t="s">
        <v>3190</v>
      </c>
      <c r="D3025">
        <v>83.89</v>
      </c>
      <c r="E3025">
        <v>0.03719156037668375</v>
      </c>
      <c r="F3025">
        <v>0.07216494845360821</v>
      </c>
      <c r="G3025">
        <v>0.05742242952918142</v>
      </c>
      <c r="H3025">
        <v>3.023341493670667</v>
      </c>
      <c r="I3025">
        <v>26461.802806</v>
      </c>
      <c r="J3025">
        <v>19.57378711856646</v>
      </c>
      <c r="K3025">
        <v>0.7063881994557633</v>
      </c>
      <c r="L3025">
        <v>0.560153153853864</v>
      </c>
      <c r="M3025">
        <v>98.55</v>
      </c>
      <c r="N3025">
        <v>75.47</v>
      </c>
    </row>
    <row r="3026" spans="1:14">
      <c r="A3026" s="1" t="s">
        <v>3038</v>
      </c>
      <c r="B3026">
        <f>HYPERLINK("https://www.suredividend.com/sure-analysis-WELL/","Welltower Inc.")</f>
        <v>0</v>
      </c>
      <c r="C3026" t="s">
        <v>3187</v>
      </c>
      <c r="D3026">
        <v>87.8</v>
      </c>
      <c r="E3026">
        <v>0.02779043280182232</v>
      </c>
      <c r="F3026">
        <v>0</v>
      </c>
      <c r="G3026">
        <v>-0.06854448919933698</v>
      </c>
      <c r="H3026">
        <v>2.412539919037949</v>
      </c>
      <c r="I3026">
        <v>47058.088824</v>
      </c>
      <c r="J3026">
        <v>186.4018887476976</v>
      </c>
      <c r="K3026">
        <v>4.806813945084577</v>
      </c>
      <c r="L3026">
        <v>0.9106941982285661</v>
      </c>
      <c r="M3026">
        <v>88.06999999999999</v>
      </c>
      <c r="N3026">
        <v>56.86</v>
      </c>
    </row>
    <row r="3027" spans="1:14">
      <c r="A3027" s="1" t="s">
        <v>3039</v>
      </c>
      <c r="B3027">
        <f>HYPERLINK("https://www.suredividend.com/sure-analysis-WEN/","Wendy`s Co")</f>
        <v>0</v>
      </c>
      <c r="C3027" t="s">
        <v>3186</v>
      </c>
      <c r="D3027">
        <v>18.7</v>
      </c>
      <c r="E3027">
        <v>0.053475935828877</v>
      </c>
      <c r="F3027">
        <v>1</v>
      </c>
      <c r="G3027">
        <v>0.2408069477477675</v>
      </c>
      <c r="H3027">
        <v>0.85015869437403</v>
      </c>
      <c r="I3027">
        <v>3913.688237</v>
      </c>
      <c r="J3027">
        <v>20.46158956814974</v>
      </c>
      <c r="K3027">
        <v>0.9533064525387194</v>
      </c>
      <c r="L3027">
        <v>0.418488902070786</v>
      </c>
      <c r="M3027">
        <v>22.79</v>
      </c>
      <c r="N3027">
        <v>18.19</v>
      </c>
    </row>
    <row r="3028" spans="1:14">
      <c r="A3028" s="1" t="s">
        <v>3040</v>
      </c>
      <c r="B3028">
        <f>HYPERLINK("https://www.suredividend.com/sure-analysis-research-database/","Werner Enterprises, Inc.")</f>
        <v>0</v>
      </c>
      <c r="C3028" t="s">
        <v>3183</v>
      </c>
      <c r="D3028">
        <v>36</v>
      </c>
      <c r="E3028">
        <v>0.014865224722222</v>
      </c>
      <c r="F3028">
        <v>0.07692307692307709</v>
      </c>
      <c r="G3028">
        <v>0.09238846414037316</v>
      </c>
      <c r="H3028">
        <v>0.5351480900000061</v>
      </c>
      <c r="I3028">
        <v>2282.0517</v>
      </c>
      <c r="J3028">
        <v>12.655425849314</v>
      </c>
      <c r="K3028">
        <v>0.18909826501767</v>
      </c>
      <c r="L3028">
        <v>0.870750860266682</v>
      </c>
      <c r="M3028">
        <v>49.5</v>
      </c>
      <c r="N3028">
        <v>35.02</v>
      </c>
    </row>
    <row r="3029" spans="1:14">
      <c r="A3029" s="1" t="s">
        <v>3041</v>
      </c>
      <c r="B3029">
        <f>HYPERLINK("https://www.suredividend.com/sure-analysis-research-database/","WEX Inc")</f>
        <v>0</v>
      </c>
      <c r="C3029" t="s">
        <v>3185</v>
      </c>
      <c r="D3029">
        <v>172.1</v>
      </c>
      <c r="E3029">
        <v>0</v>
      </c>
      <c r="F3029" t="s">
        <v>3182</v>
      </c>
      <c r="G3029" t="s">
        <v>3182</v>
      </c>
      <c r="H3029">
        <v>0</v>
      </c>
      <c r="I3029">
        <v>7355.096042</v>
      </c>
      <c r="J3029">
        <v>27.2017043536952</v>
      </c>
      <c r="K3029">
        <v>0</v>
      </c>
      <c r="L3029">
        <v>1.32812148697557</v>
      </c>
      <c r="M3029">
        <v>204.06</v>
      </c>
      <c r="N3029">
        <v>151.5</v>
      </c>
    </row>
    <row r="3030" spans="1:14">
      <c r="A3030" s="1" t="s">
        <v>3042</v>
      </c>
      <c r="B3030">
        <f>HYPERLINK("https://www.suredividend.com/sure-analysis-WEYS/","Weyco Group, Inc")</f>
        <v>0</v>
      </c>
      <c r="C3030" t="s">
        <v>3186</v>
      </c>
      <c r="D3030">
        <v>27.42</v>
      </c>
      <c r="E3030">
        <v>0.03646973012399708</v>
      </c>
      <c r="F3030">
        <v>0.04166666666666674</v>
      </c>
      <c r="G3030">
        <v>0.01681614782195462</v>
      </c>
      <c r="H3030">
        <v>0.9546783348093941</v>
      </c>
      <c r="I3030">
        <v>261.062091</v>
      </c>
      <c r="J3030">
        <v>7.839467009399118</v>
      </c>
      <c r="K3030">
        <v>0.2743328548302857</v>
      </c>
      <c r="L3030">
        <v>0.514775449389648</v>
      </c>
      <c r="M3030">
        <v>28.92</v>
      </c>
      <c r="N3030">
        <v>19.33</v>
      </c>
    </row>
    <row r="3031" spans="1:14">
      <c r="A3031" s="1" t="s">
        <v>3043</v>
      </c>
      <c r="B3031">
        <f>HYPERLINK("https://www.suredividend.com/sure-analysis-WFC/","Wells Fargo &amp; Co.")</f>
        <v>0</v>
      </c>
      <c r="C3031" t="s">
        <v>3184</v>
      </c>
      <c r="D3031">
        <v>40.51</v>
      </c>
      <c r="E3031">
        <v>0.03455936805726981</v>
      </c>
      <c r="F3031">
        <v>0.1666666666666665</v>
      </c>
      <c r="G3031">
        <v>-0.04902060720441037</v>
      </c>
      <c r="H3031">
        <v>1.284699872345926</v>
      </c>
      <c r="I3031">
        <v>148217.312982</v>
      </c>
      <c r="J3031">
        <v>8.451641570295857</v>
      </c>
      <c r="K3031">
        <v>0.2780735654428411</v>
      </c>
      <c r="L3031">
        <v>0.9659998980267651</v>
      </c>
      <c r="M3031">
        <v>47.66</v>
      </c>
      <c r="N3031">
        <v>34.4</v>
      </c>
    </row>
    <row r="3032" spans="1:14">
      <c r="A3032" s="1" t="s">
        <v>3044</v>
      </c>
      <c r="B3032">
        <f>HYPERLINK("https://www.suredividend.com/sure-analysis-WGO/","Winnebago Industries, Inc.")</f>
        <v>0</v>
      </c>
      <c r="C3032" t="s">
        <v>3186</v>
      </c>
      <c r="D3032">
        <v>61.7</v>
      </c>
      <c r="E3032">
        <v>0.02009724473257699</v>
      </c>
      <c r="F3032">
        <v>0.1481481481481481</v>
      </c>
      <c r="G3032">
        <v>0.2302512125022786</v>
      </c>
      <c r="H3032">
        <v>1.112373041191602</v>
      </c>
      <c r="I3032">
        <v>1844.028579</v>
      </c>
      <c r="J3032">
        <v>8.5411235697082</v>
      </c>
      <c r="K3032">
        <v>0.1823562362609184</v>
      </c>
      <c r="L3032">
        <v>1.179592604418431</v>
      </c>
      <c r="M3032">
        <v>69.55</v>
      </c>
      <c r="N3032">
        <v>50.79</v>
      </c>
    </row>
    <row r="3033" spans="1:14">
      <c r="A3033" s="1" t="s">
        <v>3045</v>
      </c>
      <c r="B3033">
        <f>HYPERLINK("https://www.suredividend.com/sure-analysis-research-database/","Wyndham Hotels &amp; Resorts Inc")</f>
        <v>0</v>
      </c>
      <c r="C3033" t="s">
        <v>3186</v>
      </c>
      <c r="D3033">
        <v>73.17</v>
      </c>
      <c r="E3033">
        <v>0.018592253628212</v>
      </c>
      <c r="F3033">
        <v>0.09375</v>
      </c>
      <c r="G3033">
        <v>0.06961037572506878</v>
      </c>
      <c r="H3033">
        <v>1.360395197976318</v>
      </c>
      <c r="I3033">
        <v>6070.322735</v>
      </c>
      <c r="J3033">
        <v>20.5078470783446</v>
      </c>
      <c r="K3033">
        <v>0.3966166757948449</v>
      </c>
      <c r="L3033">
        <v>0.777433186697418</v>
      </c>
      <c r="M3033">
        <v>79.81999999999999</v>
      </c>
      <c r="N3033">
        <v>63.09</v>
      </c>
    </row>
    <row r="3034" spans="1:14">
      <c r="A3034" s="1" t="s">
        <v>3046</v>
      </c>
      <c r="B3034">
        <f>HYPERLINK("https://www.suredividend.com/sure-analysis-research-database/","Cactus Inc")</f>
        <v>0</v>
      </c>
      <c r="C3034" t="s">
        <v>3189</v>
      </c>
      <c r="D3034">
        <v>47.7</v>
      </c>
      <c r="E3034">
        <v>0.009397560472048001</v>
      </c>
      <c r="F3034" t="s">
        <v>3182</v>
      </c>
      <c r="G3034" t="s">
        <v>3182</v>
      </c>
      <c r="H3034">
        <v>0.448263634516718</v>
      </c>
      <c r="I3034">
        <v>3081.873055</v>
      </c>
      <c r="J3034">
        <v>23.696143678974</v>
      </c>
      <c r="K3034">
        <v>0.2561506482952675</v>
      </c>
      <c r="L3034">
        <v>1.251899102565509</v>
      </c>
      <c r="M3034">
        <v>57.72</v>
      </c>
      <c r="N3034">
        <v>31.29</v>
      </c>
    </row>
    <row r="3035" spans="1:14">
      <c r="A3035" s="1" t="s">
        <v>3047</v>
      </c>
      <c r="B3035">
        <f>HYPERLINK("https://www.suredividend.com/sure-analysis-research-database/","Westwood Holdings Group Inc")</f>
        <v>0</v>
      </c>
      <c r="C3035" t="s">
        <v>3184</v>
      </c>
      <c r="D3035">
        <v>10.08</v>
      </c>
      <c r="E3035">
        <v>0.05834766204953101</v>
      </c>
      <c r="F3035" t="s">
        <v>3182</v>
      </c>
      <c r="G3035" t="s">
        <v>3182</v>
      </c>
      <c r="H3035">
        <v>0.588144433459279</v>
      </c>
      <c r="I3035">
        <v>92.188283</v>
      </c>
      <c r="J3035">
        <v>23.98238372528616</v>
      </c>
      <c r="K3035">
        <v>1.22123013592043</v>
      </c>
      <c r="L3035">
        <v>0.7706346626726721</v>
      </c>
      <c r="M3035">
        <v>13.99</v>
      </c>
      <c r="N3035">
        <v>8.91</v>
      </c>
    </row>
    <row r="3036" spans="1:14">
      <c r="A3036" s="1" t="s">
        <v>3048</v>
      </c>
      <c r="B3036">
        <f>HYPERLINK("https://www.suredividend.com/sure-analysis-research-database/","Wilhelmina International Inc")</f>
        <v>0</v>
      </c>
      <c r="C3036" t="s">
        <v>3183</v>
      </c>
      <c r="D3036">
        <v>4.47</v>
      </c>
      <c r="E3036">
        <v>0</v>
      </c>
      <c r="F3036" t="s">
        <v>3182</v>
      </c>
      <c r="G3036" t="s">
        <v>3182</v>
      </c>
      <c r="H3036">
        <v>0</v>
      </c>
      <c r="I3036">
        <v>23.053328</v>
      </c>
      <c r="J3036">
        <v>0</v>
      </c>
      <c r="K3036" t="s">
        <v>3182</v>
      </c>
      <c r="M3036">
        <v>4.84</v>
      </c>
      <c r="N3036">
        <v>3.16</v>
      </c>
    </row>
    <row r="3037" spans="1:14">
      <c r="A3037" s="1" t="s">
        <v>3049</v>
      </c>
      <c r="B3037">
        <f>HYPERLINK("https://www.suredividend.com/sure-analysis-research-database/","Wheeler Real Estate Investment Trust Inc")</f>
        <v>0</v>
      </c>
      <c r="C3037" t="s">
        <v>3187</v>
      </c>
      <c r="D3037">
        <v>0.582</v>
      </c>
      <c r="E3037">
        <v>0</v>
      </c>
      <c r="F3037" t="s">
        <v>3182</v>
      </c>
      <c r="G3037" t="s">
        <v>3182</v>
      </c>
      <c r="H3037">
        <v>0</v>
      </c>
      <c r="I3037">
        <v>0.570895</v>
      </c>
      <c r="J3037">
        <v>0</v>
      </c>
      <c r="K3037" t="s">
        <v>3182</v>
      </c>
      <c r="M3037">
        <v>19.9</v>
      </c>
      <c r="N3037">
        <v>0.5727</v>
      </c>
    </row>
    <row r="3038" spans="1:14">
      <c r="A3038" s="1" t="s">
        <v>3050</v>
      </c>
      <c r="B3038">
        <f>HYPERLINK("https://www.suredividend.com/sure-analysis-WHR/","Whirlpool Corp.")</f>
        <v>0</v>
      </c>
      <c r="C3038" t="s">
        <v>3186</v>
      </c>
      <c r="D3038">
        <v>107.59</v>
      </c>
      <c r="E3038">
        <v>0.06506180871828236</v>
      </c>
      <c r="F3038">
        <v>0</v>
      </c>
      <c r="G3038">
        <v>0.08759710191515802</v>
      </c>
      <c r="H3038">
        <v>6.864447599882316</v>
      </c>
      <c r="I3038">
        <v>5901.635453</v>
      </c>
      <c r="J3038" t="s">
        <v>3182</v>
      </c>
      <c r="K3038" t="s">
        <v>3182</v>
      </c>
      <c r="L3038">
        <v>1.288519687288047</v>
      </c>
      <c r="M3038">
        <v>158.55</v>
      </c>
      <c r="N3038">
        <v>98.40000000000001</v>
      </c>
    </row>
    <row r="3039" spans="1:14">
      <c r="A3039" s="1" t="s">
        <v>3051</v>
      </c>
      <c r="B3039">
        <f>HYPERLINK("https://www.suredividend.com/sure-analysis-research-database/","Boingo Wireless Inc")</f>
        <v>0</v>
      </c>
      <c r="C3039" t="s">
        <v>3191</v>
      </c>
      <c r="D3039">
        <v>13.99</v>
      </c>
      <c r="E3039">
        <v>0</v>
      </c>
      <c r="F3039" t="s">
        <v>3182</v>
      </c>
      <c r="G3039" t="s">
        <v>3182</v>
      </c>
      <c r="H3039">
        <v>0</v>
      </c>
      <c r="I3039">
        <v>0</v>
      </c>
      <c r="J3039">
        <v>0</v>
      </c>
      <c r="K3039">
        <v>-0</v>
      </c>
    </row>
    <row r="3040" spans="1:14">
      <c r="A3040" s="1" t="s">
        <v>3052</v>
      </c>
      <c r="B3040">
        <f>HYPERLINK("https://www.suredividend.com/sure-analysis-research-database/","Winmark Corporation")</f>
        <v>0</v>
      </c>
      <c r="C3040" t="s">
        <v>3186</v>
      </c>
      <c r="D3040">
        <v>414.99</v>
      </c>
      <c r="E3040">
        <v>0.007185484983303</v>
      </c>
      <c r="F3040">
        <v>0.1428571428571428</v>
      </c>
      <c r="G3040">
        <v>0.2619146889603865</v>
      </c>
      <c r="H3040">
        <v>2.981904413221103</v>
      </c>
      <c r="I3040">
        <v>1447.275135</v>
      </c>
      <c r="J3040">
        <v>35.61392530273464</v>
      </c>
      <c r="K3040">
        <v>0.2648227720445029</v>
      </c>
      <c r="L3040">
        <v>0.674395764740197</v>
      </c>
      <c r="M3040">
        <v>419.42</v>
      </c>
      <c r="N3040">
        <v>229.55</v>
      </c>
    </row>
    <row r="3041" spans="1:14">
      <c r="A3041" s="1" t="s">
        <v>3053</v>
      </c>
      <c r="B3041">
        <f>HYPERLINK("https://www.suredividend.com/sure-analysis-research-database/","Wingstop Inc")</f>
        <v>0</v>
      </c>
      <c r="C3041" t="s">
        <v>3186</v>
      </c>
      <c r="D3041">
        <v>198.72</v>
      </c>
      <c r="E3041">
        <v>0.003967564096681001</v>
      </c>
      <c r="F3041">
        <v>0.1578947368421053</v>
      </c>
      <c r="G3041">
        <v>0.1486983549970351</v>
      </c>
      <c r="H3041">
        <v>0.7884343372925451</v>
      </c>
      <c r="I3041">
        <v>5845.332902</v>
      </c>
      <c r="J3041">
        <v>93.0578040309485</v>
      </c>
      <c r="K3041">
        <v>0.3772413097093517</v>
      </c>
      <c r="L3041">
        <v>1.079759175404226</v>
      </c>
      <c r="M3041">
        <v>223.26</v>
      </c>
      <c r="N3041">
        <v>129.02</v>
      </c>
    </row>
    <row r="3042" spans="1:14">
      <c r="A3042" s="1" t="s">
        <v>3054</v>
      </c>
      <c r="B3042">
        <f>HYPERLINK("https://www.suredividend.com/sure-analysis-research-database/","Encore Wire Corp.")</f>
        <v>0</v>
      </c>
      <c r="C3042" t="s">
        <v>3183</v>
      </c>
      <c r="D3042">
        <v>182.26</v>
      </c>
      <c r="E3042">
        <v>0.000438796870331</v>
      </c>
      <c r="F3042">
        <v>0</v>
      </c>
      <c r="G3042">
        <v>0</v>
      </c>
      <c r="H3042">
        <v>0.07997511758670101</v>
      </c>
      <c r="I3042">
        <v>2875.389714</v>
      </c>
      <c r="J3042">
        <v>6.247112517125632</v>
      </c>
      <c r="K3042">
        <v>0.003101012702082242</v>
      </c>
      <c r="L3042">
        <v>1.190809788903305</v>
      </c>
      <c r="M3042">
        <v>206.62</v>
      </c>
      <c r="N3042">
        <v>132.23</v>
      </c>
    </row>
    <row r="3043" spans="1:14">
      <c r="A3043" s="1" t="s">
        <v>3055</v>
      </c>
      <c r="B3043">
        <f>HYPERLINK("https://www.suredividend.com/sure-analysis-research-database/","Workiva Inc")</f>
        <v>0</v>
      </c>
      <c r="C3043" t="s">
        <v>3185</v>
      </c>
      <c r="D3043">
        <v>87.40000000000001</v>
      </c>
      <c r="E3043">
        <v>0</v>
      </c>
      <c r="F3043" t="s">
        <v>3182</v>
      </c>
      <c r="G3043" t="s">
        <v>3182</v>
      </c>
      <c r="H3043">
        <v>0</v>
      </c>
      <c r="I3043">
        <v>4387.69448</v>
      </c>
      <c r="J3043" t="s">
        <v>3182</v>
      </c>
      <c r="K3043">
        <v>-0</v>
      </c>
      <c r="L3043">
        <v>1.572192612345857</v>
      </c>
      <c r="M3043">
        <v>116</v>
      </c>
      <c r="N3043">
        <v>66.08</v>
      </c>
    </row>
    <row r="3044" spans="1:14">
      <c r="A3044" s="1" t="s">
        <v>3056</v>
      </c>
      <c r="B3044">
        <f>HYPERLINK("https://www.suredividend.com/sure-analysis-research-database/","Workhorse Group Inc")</f>
        <v>0</v>
      </c>
      <c r="C3044" t="s">
        <v>3186</v>
      </c>
      <c r="D3044">
        <v>0.4134</v>
      </c>
      <c r="E3044">
        <v>0</v>
      </c>
      <c r="F3044" t="s">
        <v>3182</v>
      </c>
      <c r="G3044" t="s">
        <v>3182</v>
      </c>
      <c r="H3044">
        <v>0</v>
      </c>
      <c r="I3044">
        <v>87.14187200000001</v>
      </c>
      <c r="J3044">
        <v>0</v>
      </c>
      <c r="K3044" t="s">
        <v>3182</v>
      </c>
      <c r="L3044">
        <v>2.557763326093227</v>
      </c>
      <c r="M3044">
        <v>2.98</v>
      </c>
      <c r="N3044">
        <v>0.375</v>
      </c>
    </row>
    <row r="3045" spans="1:14">
      <c r="A3045" s="1" t="s">
        <v>3057</v>
      </c>
      <c r="B3045">
        <f>HYPERLINK("https://www.suredividend.com/sure-analysis-research-database/","Willdan Group Inc")</f>
        <v>0</v>
      </c>
      <c r="C3045" t="s">
        <v>3183</v>
      </c>
      <c r="D3045">
        <v>17.4</v>
      </c>
      <c r="E3045">
        <v>0</v>
      </c>
      <c r="F3045" t="s">
        <v>3182</v>
      </c>
      <c r="G3045" t="s">
        <v>3182</v>
      </c>
      <c r="H3045">
        <v>0</v>
      </c>
      <c r="I3045">
        <v>236.552687</v>
      </c>
      <c r="J3045">
        <v>0</v>
      </c>
      <c r="K3045" t="s">
        <v>3182</v>
      </c>
      <c r="L3045">
        <v>0.980522522103718</v>
      </c>
      <c r="M3045">
        <v>25.38</v>
      </c>
      <c r="N3045">
        <v>12.77</v>
      </c>
    </row>
    <row r="3046" spans="1:14">
      <c r="A3046" s="1" t="s">
        <v>3058</v>
      </c>
      <c r="B3046">
        <f>HYPERLINK("https://www.suredividend.com/sure-analysis-research-database/","Willis Lease Finance Corp.")</f>
        <v>0</v>
      </c>
      <c r="C3046" t="s">
        <v>3183</v>
      </c>
      <c r="D3046">
        <v>44.13</v>
      </c>
      <c r="E3046">
        <v>0</v>
      </c>
      <c r="F3046" t="s">
        <v>3182</v>
      </c>
      <c r="G3046" t="s">
        <v>3182</v>
      </c>
      <c r="H3046">
        <v>0</v>
      </c>
      <c r="I3046">
        <v>280.40202</v>
      </c>
      <c r="J3046">
        <v>0</v>
      </c>
      <c r="K3046" t="s">
        <v>3182</v>
      </c>
      <c r="L3046">
        <v>0.182076196539831</v>
      </c>
      <c r="M3046">
        <v>65.19</v>
      </c>
      <c r="N3046">
        <v>37.01</v>
      </c>
    </row>
    <row r="3047" spans="1:14">
      <c r="A3047" s="1" t="s">
        <v>3059</v>
      </c>
      <c r="B3047">
        <f>HYPERLINK("https://www.suredividend.com/sure-analysis-WLK/","Westlake Corporation")</f>
        <v>0</v>
      </c>
      <c r="C3047" t="s">
        <v>3181</v>
      </c>
      <c r="D3047">
        <v>120.99</v>
      </c>
      <c r="E3047">
        <v>0.01653029175964956</v>
      </c>
      <c r="F3047">
        <v>0.400560224089636</v>
      </c>
      <c r="G3047">
        <v>0.1486983549970351</v>
      </c>
      <c r="H3047">
        <v>1.563646898404165</v>
      </c>
      <c r="I3047">
        <v>15450.423</v>
      </c>
      <c r="J3047">
        <v>11.77623704268293</v>
      </c>
      <c r="K3047">
        <v>0.1531485698730818</v>
      </c>
      <c r="L3047">
        <v>1.326051083622487</v>
      </c>
      <c r="M3047">
        <v>137.86</v>
      </c>
      <c r="N3047">
        <v>92.52</v>
      </c>
    </row>
    <row r="3048" spans="1:14">
      <c r="A3048" s="1" t="s">
        <v>3060</v>
      </c>
      <c r="B3048">
        <f>HYPERLINK("https://www.suredividend.com/sure-analysis-research-database/","Whiting Petroleum Corp")</f>
        <v>0</v>
      </c>
      <c r="C3048" t="s">
        <v>3189</v>
      </c>
      <c r="D3048">
        <v>68.03</v>
      </c>
      <c r="E3048">
        <v>0.007337216789287001</v>
      </c>
      <c r="F3048" t="s">
        <v>3182</v>
      </c>
      <c r="G3048" t="s">
        <v>3182</v>
      </c>
      <c r="H3048">
        <v>0.499150858175248</v>
      </c>
      <c r="I3048">
        <v>2669.620947</v>
      </c>
      <c r="J3048" t="s">
        <v>3182</v>
      </c>
      <c r="K3048" t="s">
        <v>3182</v>
      </c>
      <c r="L3048">
        <v>1.019783848772831</v>
      </c>
      <c r="M3048">
        <v>101.74</v>
      </c>
      <c r="N3048">
        <v>38.14</v>
      </c>
    </row>
    <row r="3049" spans="1:14">
      <c r="A3049" s="1" t="s">
        <v>3061</v>
      </c>
      <c r="B3049">
        <f>HYPERLINK("https://www.suredividend.com/sure-analysis-WM/","Waste Management, Inc.")</f>
        <v>0</v>
      </c>
      <c r="C3049" t="s">
        <v>3183</v>
      </c>
      <c r="D3049">
        <v>166.85</v>
      </c>
      <c r="E3049">
        <v>0.01678154030566377</v>
      </c>
      <c r="F3049">
        <v>0.07692307692307709</v>
      </c>
      <c r="G3049">
        <v>0.08524805815701431</v>
      </c>
      <c r="H3049">
        <v>2.731980732263235</v>
      </c>
      <c r="I3049">
        <v>67203.07999499999</v>
      </c>
      <c r="J3049">
        <v>29.09224242205628</v>
      </c>
      <c r="K3049">
        <v>0.4835364127899531</v>
      </c>
      <c r="L3049">
        <v>0.340951606961595</v>
      </c>
      <c r="M3049">
        <v>172.93</v>
      </c>
      <c r="N3049">
        <v>146.32</v>
      </c>
    </row>
    <row r="3050" spans="1:14">
      <c r="A3050" s="1" t="s">
        <v>3062</v>
      </c>
      <c r="B3050">
        <f>HYPERLINK("https://www.suredividend.com/sure-analysis-WMB/","Williams Cos Inc")</f>
        <v>0</v>
      </c>
      <c r="C3050" t="s">
        <v>3189</v>
      </c>
      <c r="D3050">
        <v>35.79</v>
      </c>
      <c r="E3050">
        <v>0.05001397038278849</v>
      </c>
      <c r="F3050">
        <v>0.05294117647058827</v>
      </c>
      <c r="G3050">
        <v>0.05648375743782719</v>
      </c>
      <c r="H3050">
        <v>1.731876381426358</v>
      </c>
      <c r="I3050">
        <v>43535.724161</v>
      </c>
      <c r="J3050">
        <v>16.40999779900867</v>
      </c>
      <c r="K3050">
        <v>0.7980997149430221</v>
      </c>
      <c r="L3050">
        <v>0.7565016744274261</v>
      </c>
      <c r="M3050">
        <v>36.22</v>
      </c>
      <c r="N3050">
        <v>27.05</v>
      </c>
    </row>
    <row r="3051" spans="1:14">
      <c r="A3051" s="1" t="s">
        <v>3063</v>
      </c>
      <c r="B3051">
        <f>HYPERLINK("https://www.suredividend.com/sure-analysis-research-database/","Western Asset Mortgage Capital Corp")</f>
        <v>0</v>
      </c>
      <c r="C3051" t="s">
        <v>3187</v>
      </c>
      <c r="D3051">
        <v>8.23</v>
      </c>
      <c r="E3051">
        <v>0.180614754640918</v>
      </c>
      <c r="F3051">
        <v>-0.6499999999999999</v>
      </c>
      <c r="G3051">
        <v>-0.1469916776508438</v>
      </c>
      <c r="H3051">
        <v>1.486459430694761</v>
      </c>
      <c r="I3051">
        <v>49.692839</v>
      </c>
      <c r="J3051" t="s">
        <v>3182</v>
      </c>
      <c r="K3051" t="s">
        <v>3182</v>
      </c>
      <c r="L3051">
        <v>1.157474208168633</v>
      </c>
      <c r="M3051">
        <v>10.32</v>
      </c>
      <c r="N3051">
        <v>5.9</v>
      </c>
    </row>
    <row r="3052" spans="1:14">
      <c r="A3052" s="1" t="s">
        <v>3064</v>
      </c>
      <c r="B3052">
        <f>HYPERLINK("https://www.suredividend.com/sure-analysis-research-database/","Weis Markets, Inc.")</f>
        <v>0</v>
      </c>
      <c r="C3052" t="s">
        <v>3188</v>
      </c>
      <c r="D3052">
        <v>66.64</v>
      </c>
      <c r="E3052">
        <v>0.020265066908138</v>
      </c>
      <c r="F3052">
        <v>0</v>
      </c>
      <c r="G3052">
        <v>0.01864637644473</v>
      </c>
      <c r="H3052">
        <v>1.350464058758346</v>
      </c>
      <c r="I3052">
        <v>1792.512242</v>
      </c>
      <c r="J3052">
        <v>15.23985922054073</v>
      </c>
      <c r="K3052">
        <v>0.3090306770614064</v>
      </c>
      <c r="L3052">
        <v>0.379516100814066</v>
      </c>
      <c r="M3052">
        <v>89.19</v>
      </c>
      <c r="N3052">
        <v>58.45</v>
      </c>
    </row>
    <row r="3053" spans="1:14">
      <c r="A3053" s="1" t="s">
        <v>3065</v>
      </c>
      <c r="B3053">
        <f>HYPERLINK("https://www.suredividend.com/sure-analysis-research-database/","Advanced Drainage Systems Inc")</f>
        <v>0</v>
      </c>
      <c r="C3053" t="s">
        <v>3183</v>
      </c>
      <c r="D3053">
        <v>107.17</v>
      </c>
      <c r="E3053">
        <v>0.00484353930979</v>
      </c>
      <c r="F3053">
        <v>0.1666666666666667</v>
      </c>
      <c r="G3053">
        <v>0.1184269147201447</v>
      </c>
      <c r="H3053">
        <v>0.51908210783029</v>
      </c>
      <c r="I3053">
        <v>8433.446932000001</v>
      </c>
      <c r="J3053">
        <v>17.08586632708796</v>
      </c>
      <c r="K3053">
        <v>0.08636973507991513</v>
      </c>
      <c r="L3053">
        <v>1.542503252711932</v>
      </c>
      <c r="M3053">
        <v>134.79</v>
      </c>
      <c r="N3053">
        <v>74.83</v>
      </c>
    </row>
    <row r="3054" spans="1:14">
      <c r="A3054" s="1" t="s">
        <v>3066</v>
      </c>
      <c r="B3054">
        <f>HYPERLINK("https://www.suredividend.com/sure-analysis-WMT/","Walmart Inc")</f>
        <v>0</v>
      </c>
      <c r="C3054" t="s">
        <v>3188</v>
      </c>
      <c r="D3054">
        <v>165.52</v>
      </c>
      <c r="E3054">
        <v>0.01377477042049299</v>
      </c>
      <c r="F3054">
        <v>0.01785714285714279</v>
      </c>
      <c r="G3054">
        <v>0.01853111887485803</v>
      </c>
      <c r="H3054">
        <v>2.257447799255122</v>
      </c>
      <c r="I3054">
        <v>445507.648452</v>
      </c>
      <c r="J3054">
        <v>31.72905408817036</v>
      </c>
      <c r="K3054">
        <v>0.4358007334469348</v>
      </c>
      <c r="L3054">
        <v>0.44339749889413</v>
      </c>
      <c r="M3054">
        <v>166.19</v>
      </c>
      <c r="N3054">
        <v>134.54</v>
      </c>
    </row>
    <row r="3055" spans="1:14">
      <c r="A3055" s="1" t="s">
        <v>3067</v>
      </c>
      <c r="B3055">
        <f>HYPERLINK("https://www.suredividend.com/sure-analysis-research-database/","Wabash National Corp.")</f>
        <v>0</v>
      </c>
      <c r="C3055" t="s">
        <v>3183</v>
      </c>
      <c r="D3055">
        <v>21.23</v>
      </c>
      <c r="E3055">
        <v>0.01499386117794</v>
      </c>
      <c r="F3055">
        <v>0</v>
      </c>
      <c r="G3055">
        <v>0</v>
      </c>
      <c r="H3055">
        <v>0.318319672807669</v>
      </c>
      <c r="I3055">
        <v>978.433443</v>
      </c>
      <c r="J3055">
        <v>4.408171971805604</v>
      </c>
      <c r="K3055">
        <v>0.07026924344540154</v>
      </c>
      <c r="L3055">
        <v>1.019424903070547</v>
      </c>
      <c r="M3055">
        <v>29.79</v>
      </c>
      <c r="N3055">
        <v>20.01</v>
      </c>
    </row>
    <row r="3056" spans="1:14">
      <c r="A3056" s="1" t="s">
        <v>3068</v>
      </c>
      <c r="B3056">
        <f>HYPERLINK("https://www.suredividend.com/sure-analysis-research-database/","Western New England Bancorp Inc")</f>
        <v>0</v>
      </c>
      <c r="C3056" t="s">
        <v>3184</v>
      </c>
      <c r="D3056">
        <v>7.33</v>
      </c>
      <c r="E3056">
        <v>0.035804359024965</v>
      </c>
      <c r="F3056">
        <v>0.1666666666666667</v>
      </c>
      <c r="G3056">
        <v>0.1184269147201447</v>
      </c>
      <c r="H3056">
        <v>0.262445951653</v>
      </c>
      <c r="I3056">
        <v>161.864014</v>
      </c>
      <c r="J3056">
        <v>7.007100172727273</v>
      </c>
      <c r="K3056">
        <v>0.2475905204273585</v>
      </c>
      <c r="L3056">
        <v>0.5362825922112791</v>
      </c>
      <c r="M3056">
        <v>9.76</v>
      </c>
      <c r="N3056">
        <v>5.46</v>
      </c>
    </row>
    <row r="3057" spans="1:14">
      <c r="A3057" s="1" t="s">
        <v>3069</v>
      </c>
      <c r="B3057">
        <f>HYPERLINK("https://www.suredividend.com/sure-analysis-WOR/","Worthington Industries, Inc.")</f>
        <v>0</v>
      </c>
      <c r="C3057" t="s">
        <v>3181</v>
      </c>
      <c r="D3057">
        <v>63.34</v>
      </c>
      <c r="E3057">
        <v>0.02020839911588254</v>
      </c>
      <c r="F3057">
        <v>0.032258064516129</v>
      </c>
      <c r="G3057">
        <v>0.06827835368843793</v>
      </c>
      <c r="H3057">
        <v>1.240947661540959</v>
      </c>
      <c r="I3057">
        <v>3164.811033</v>
      </c>
      <c r="J3057">
        <v>10.96790537906513</v>
      </c>
      <c r="K3057">
        <v>0.21322124768745</v>
      </c>
      <c r="L3057">
        <v>1.215898335498489</v>
      </c>
      <c r="M3057">
        <v>77.06</v>
      </c>
      <c r="N3057">
        <v>47.43</v>
      </c>
    </row>
    <row r="3058" spans="1:14">
      <c r="A3058" s="1" t="s">
        <v>3070</v>
      </c>
      <c r="B3058">
        <f>HYPERLINK("https://www.suredividend.com/sure-analysis-research-database/","WideOpenWest Inc")</f>
        <v>0</v>
      </c>
      <c r="C3058" t="s">
        <v>3191</v>
      </c>
      <c r="D3058">
        <v>7.11</v>
      </c>
      <c r="E3058">
        <v>0</v>
      </c>
      <c r="F3058" t="s">
        <v>3182</v>
      </c>
      <c r="G3058" t="s">
        <v>3182</v>
      </c>
      <c r="H3058">
        <v>0</v>
      </c>
      <c r="I3058">
        <v>595.06134</v>
      </c>
      <c r="J3058" t="s">
        <v>3182</v>
      </c>
      <c r="K3058">
        <v>-0</v>
      </c>
      <c r="L3058">
        <v>1.016564828346994</v>
      </c>
      <c r="M3058">
        <v>12.45</v>
      </c>
      <c r="N3058">
        <v>6.69</v>
      </c>
    </row>
    <row r="3059" spans="1:14">
      <c r="A3059" s="1" t="s">
        <v>3071</v>
      </c>
      <c r="B3059">
        <f>HYPERLINK("https://www.suredividend.com/sure-analysis-WPC/","W. P. Carey Inc")</f>
        <v>0</v>
      </c>
      <c r="C3059" t="s">
        <v>3187</v>
      </c>
      <c r="D3059">
        <v>55.39</v>
      </c>
      <c r="E3059">
        <v>0.07727026539086478</v>
      </c>
      <c r="F3059">
        <v>0.009425070688030113</v>
      </c>
      <c r="G3059">
        <v>0.007837350345088812</v>
      </c>
      <c r="H3059">
        <v>4.098444494499996</v>
      </c>
      <c r="I3059">
        <v>11849.351004</v>
      </c>
      <c r="J3059">
        <v>15.72645746938814</v>
      </c>
      <c r="K3059">
        <v>1.144816897905027</v>
      </c>
      <c r="L3059">
        <v>0.6302118033521551</v>
      </c>
      <c r="M3059">
        <v>80.54000000000001</v>
      </c>
      <c r="N3059">
        <v>50.57</v>
      </c>
    </row>
    <row r="3060" spans="1:14">
      <c r="A3060" s="1" t="s">
        <v>3072</v>
      </c>
      <c r="B3060">
        <f>HYPERLINK("https://www.suredividend.com/sure-analysis-research-database/","Washington Prime Group Inc")</f>
        <v>0</v>
      </c>
      <c r="C3060" t="s">
        <v>3187</v>
      </c>
      <c r="D3060">
        <v>0.8323</v>
      </c>
      <c r="E3060">
        <v>0</v>
      </c>
      <c r="F3060" t="s">
        <v>3182</v>
      </c>
      <c r="G3060" t="s">
        <v>3182</v>
      </c>
      <c r="H3060">
        <v>0</v>
      </c>
      <c r="I3060">
        <v>15.701488</v>
      </c>
      <c r="J3060" t="s">
        <v>3182</v>
      </c>
      <c r="K3060">
        <v>-0</v>
      </c>
      <c r="L3060">
        <v>2.113330496512534</v>
      </c>
      <c r="M3060">
        <v>16.55</v>
      </c>
      <c r="N3060">
        <v>0.8250000000000001</v>
      </c>
    </row>
    <row r="3061" spans="1:14">
      <c r="A3061" s="1" t="s">
        <v>3073</v>
      </c>
      <c r="B3061">
        <f>HYPERLINK("https://www.suredividend.com/sure-analysis-research-database/","WPX Energy Inc")</f>
        <v>0</v>
      </c>
      <c r="C3061" t="s">
        <v>3189</v>
      </c>
      <c r="D3061">
        <v>9.43</v>
      </c>
      <c r="E3061">
        <v>0</v>
      </c>
      <c r="F3061" t="s">
        <v>3182</v>
      </c>
      <c r="G3061" t="s">
        <v>3182</v>
      </c>
      <c r="H3061">
        <v>0</v>
      </c>
      <c r="I3061">
        <v>5290.612717</v>
      </c>
      <c r="J3061" t="s">
        <v>3182</v>
      </c>
      <c r="K3061">
        <v>-0</v>
      </c>
      <c r="L3061">
        <v>2.129134810594393</v>
      </c>
      <c r="M3061">
        <v>13.6</v>
      </c>
      <c r="N3061">
        <v>2.11</v>
      </c>
    </row>
    <row r="3062" spans="1:14">
      <c r="A3062" s="1" t="s">
        <v>3074</v>
      </c>
      <c r="B3062">
        <f>HYPERLINK("https://www.suredividend.com/sure-analysis-WRB/","W.R. Berkley Corp.")</f>
        <v>0</v>
      </c>
      <c r="C3062" t="s">
        <v>3184</v>
      </c>
      <c r="D3062">
        <v>67.81</v>
      </c>
      <c r="E3062">
        <v>0.006488718478100575</v>
      </c>
      <c r="F3062">
        <v>-0.78</v>
      </c>
      <c r="G3062">
        <v>0</v>
      </c>
      <c r="H3062">
        <v>0.416419009845633</v>
      </c>
      <c r="I3062">
        <v>17462.654363</v>
      </c>
      <c r="J3062">
        <v>13.84237497995301</v>
      </c>
      <c r="K3062">
        <v>0.09152066150453474</v>
      </c>
      <c r="L3062">
        <v>0.437143965917649</v>
      </c>
      <c r="M3062">
        <v>75.51000000000001</v>
      </c>
      <c r="N3062">
        <v>54.97</v>
      </c>
    </row>
    <row r="3063" spans="1:14">
      <c r="A3063" s="1" t="s">
        <v>3075</v>
      </c>
      <c r="B3063">
        <f>HYPERLINK("https://www.suredividend.com/sure-analysis-research-database/","Weingarten Realty Investors")</f>
        <v>0</v>
      </c>
      <c r="C3063" t="s">
        <v>3187</v>
      </c>
      <c r="D3063">
        <v>31.44</v>
      </c>
      <c r="E3063">
        <v>0.049146813288633</v>
      </c>
      <c r="F3063" t="s">
        <v>3182</v>
      </c>
      <c r="G3063" t="s">
        <v>3182</v>
      </c>
      <c r="H3063">
        <v>1.545175809794621</v>
      </c>
      <c r="I3063">
        <v>4017.554018</v>
      </c>
      <c r="J3063">
        <v>45.88134413320543</v>
      </c>
      <c r="K3063">
        <v>2.250474526353949</v>
      </c>
      <c r="L3063">
        <v>1.169584313419684</v>
      </c>
      <c r="M3063">
        <v>33.41</v>
      </c>
      <c r="N3063">
        <v>14.4</v>
      </c>
    </row>
    <row r="3064" spans="1:14">
      <c r="A3064" s="1" t="s">
        <v>3076</v>
      </c>
      <c r="B3064">
        <f>HYPERLINK("https://www.suredividend.com/sure-analysis-WRK/","WestRock Co")</f>
        <v>0</v>
      </c>
      <c r="C3064" t="s">
        <v>3186</v>
      </c>
      <c r="D3064">
        <v>36.95</v>
      </c>
      <c r="E3064">
        <v>0.03274695534506089</v>
      </c>
      <c r="F3064">
        <v>0.1000000000000001</v>
      </c>
      <c r="G3064">
        <v>-0.0958005064741454</v>
      </c>
      <c r="H3064">
        <v>1.085800022837651</v>
      </c>
      <c r="I3064">
        <v>9469.522943</v>
      </c>
      <c r="J3064" t="s">
        <v>3182</v>
      </c>
      <c r="K3064" t="s">
        <v>3182</v>
      </c>
      <c r="L3064">
        <v>1.073602506742483</v>
      </c>
      <c r="M3064">
        <v>38.28</v>
      </c>
      <c r="N3064">
        <v>26.36</v>
      </c>
    </row>
    <row r="3065" spans="1:14">
      <c r="A3065" s="1" t="s">
        <v>3077</v>
      </c>
      <c r="B3065">
        <f>HYPERLINK("https://www.suredividend.com/sure-analysis-research-database/","World Acceptance Corp.")</f>
        <v>0</v>
      </c>
      <c r="C3065" t="s">
        <v>3184</v>
      </c>
      <c r="D3065">
        <v>103.6</v>
      </c>
      <c r="E3065">
        <v>0</v>
      </c>
      <c r="F3065" t="s">
        <v>3182</v>
      </c>
      <c r="G3065" t="s">
        <v>3182</v>
      </c>
      <c r="H3065">
        <v>0</v>
      </c>
      <c r="I3065">
        <v>646.515489</v>
      </c>
      <c r="J3065">
        <v>16.33702727960444</v>
      </c>
      <c r="K3065">
        <v>0</v>
      </c>
      <c r="L3065">
        <v>1.993191134950501</v>
      </c>
      <c r="M3065">
        <v>160.07</v>
      </c>
      <c r="N3065">
        <v>58.44</v>
      </c>
    </row>
    <row r="3066" spans="1:14">
      <c r="A3066" s="1" t="s">
        <v>3078</v>
      </c>
      <c r="B3066">
        <f>HYPERLINK("https://www.suredividend.com/sure-analysis-research-database/","Wrap Technologies Inc")</f>
        <v>0</v>
      </c>
      <c r="C3066" t="s">
        <v>3185</v>
      </c>
      <c r="D3066">
        <v>5.75</v>
      </c>
      <c r="E3066">
        <v>0</v>
      </c>
      <c r="F3066" t="s">
        <v>3182</v>
      </c>
      <c r="G3066" t="s">
        <v>3182</v>
      </c>
      <c r="H3066">
        <v>0</v>
      </c>
      <c r="I3066">
        <v>213.964498</v>
      </c>
      <c r="J3066">
        <v>0</v>
      </c>
      <c r="K3066" t="s">
        <v>3182</v>
      </c>
      <c r="L3066">
        <v>1.199903386352587</v>
      </c>
      <c r="M3066">
        <v>13.35</v>
      </c>
      <c r="N3066">
        <v>3.36</v>
      </c>
    </row>
    <row r="3067" spans="1:14">
      <c r="A3067" s="1" t="s">
        <v>3079</v>
      </c>
      <c r="B3067">
        <f>HYPERLINK("https://www.suredividend.com/sure-analysis-WSBC/","Wesbanco, Inc.")</f>
        <v>0</v>
      </c>
      <c r="C3067" t="s">
        <v>3184</v>
      </c>
      <c r="D3067">
        <v>25.63</v>
      </c>
      <c r="E3067">
        <v>0.05462348809988295</v>
      </c>
      <c r="F3067">
        <v>0.02941176470588247</v>
      </c>
      <c r="G3067">
        <v>0.0383266700886169</v>
      </c>
      <c r="H3067">
        <v>1.351295521009157</v>
      </c>
      <c r="I3067">
        <v>1521.270239</v>
      </c>
      <c r="J3067">
        <v>8.343179053401119</v>
      </c>
      <c r="K3067">
        <v>0.4401614074948395</v>
      </c>
      <c r="L3067">
        <v>1.006930623690446</v>
      </c>
      <c r="M3067">
        <v>38.51</v>
      </c>
      <c r="N3067">
        <v>18.83</v>
      </c>
    </row>
    <row r="3068" spans="1:14">
      <c r="A3068" s="1" t="s">
        <v>3080</v>
      </c>
      <c r="B3068">
        <f>HYPERLINK("https://www.suredividend.com/sure-analysis-research-database/","Waterstone Financial Inc")</f>
        <v>0</v>
      </c>
      <c r="C3068" t="s">
        <v>3184</v>
      </c>
      <c r="D3068">
        <v>11.12</v>
      </c>
      <c r="E3068">
        <v>0.081034969391445</v>
      </c>
      <c r="F3068">
        <v>-0.2500000000000001</v>
      </c>
      <c r="G3068">
        <v>0.04563955259127317</v>
      </c>
      <c r="H3068">
        <v>0.9011088596328761</v>
      </c>
      <c r="I3068">
        <v>236.829534</v>
      </c>
      <c r="J3068">
        <v>19.14857166882277</v>
      </c>
      <c r="K3068">
        <v>1.528339314167022</v>
      </c>
      <c r="L3068">
        <v>0.615856958847073</v>
      </c>
      <c r="M3068">
        <v>16.27</v>
      </c>
      <c r="N3068">
        <v>9.619999999999999</v>
      </c>
    </row>
    <row r="3069" spans="1:14">
      <c r="A3069" s="1" t="s">
        <v>3081</v>
      </c>
      <c r="B3069">
        <f>HYPERLINK("https://www.suredividend.com/sure-analysis-research-database/","WillScot Mobile Mini Holdings Corp")</f>
        <v>0</v>
      </c>
      <c r="C3069" t="s">
        <v>3183</v>
      </c>
      <c r="D3069">
        <v>35.46</v>
      </c>
      <c r="E3069">
        <v>0</v>
      </c>
      <c r="F3069" t="s">
        <v>3182</v>
      </c>
      <c r="G3069" t="s">
        <v>3182</v>
      </c>
      <c r="H3069">
        <v>0</v>
      </c>
      <c r="I3069">
        <v>6996.424804</v>
      </c>
      <c r="J3069">
        <v>13.62216329996145</v>
      </c>
      <c r="K3069">
        <v>0</v>
      </c>
      <c r="L3069">
        <v>0.84000881921839</v>
      </c>
      <c r="M3069">
        <v>53.46</v>
      </c>
      <c r="N3069">
        <v>34.4</v>
      </c>
    </row>
    <row r="3070" spans="1:14">
      <c r="A3070" s="1" t="s">
        <v>3082</v>
      </c>
      <c r="B3070">
        <f>HYPERLINK("https://www.suredividend.com/sure-analysis-research-database/","WSFS Financial Corp.")</f>
        <v>0</v>
      </c>
      <c r="C3070" t="s">
        <v>3184</v>
      </c>
      <c r="D3070">
        <v>37.13</v>
      </c>
      <c r="E3070">
        <v>0.015965194906286</v>
      </c>
      <c r="F3070">
        <v>0</v>
      </c>
      <c r="G3070">
        <v>0.04563955259127317</v>
      </c>
      <c r="H3070">
        <v>0.5927876868704111</v>
      </c>
      <c r="I3070">
        <v>2267.031558</v>
      </c>
      <c r="J3070">
        <v>7.846762028707604</v>
      </c>
      <c r="K3070">
        <v>0.1274812229828841</v>
      </c>
      <c r="L3070">
        <v>1.289345485806331</v>
      </c>
      <c r="M3070">
        <v>50.51</v>
      </c>
      <c r="N3070">
        <v>29.13</v>
      </c>
    </row>
    <row r="3071" spans="1:14">
      <c r="A3071" s="1" t="s">
        <v>3083</v>
      </c>
      <c r="B3071">
        <f>HYPERLINK("https://www.suredividend.com/sure-analysis-WSM/","Williams-Sonoma, Inc.")</f>
        <v>0</v>
      </c>
      <c r="C3071" t="s">
        <v>3186</v>
      </c>
      <c r="D3071">
        <v>152.52</v>
      </c>
      <c r="E3071">
        <v>0.02360346184107002</v>
      </c>
      <c r="F3071">
        <v>0.1538461538461537</v>
      </c>
      <c r="G3071">
        <v>0.159190493327346</v>
      </c>
      <c r="H3071">
        <v>4.213090518660603</v>
      </c>
      <c r="I3071">
        <v>9783.387774000001</v>
      </c>
      <c r="J3071">
        <v>10.14081079114469</v>
      </c>
      <c r="K3071">
        <v>0.2903577201006618</v>
      </c>
      <c r="L3071">
        <v>1.400121709279694</v>
      </c>
      <c r="M3071">
        <v>163.55</v>
      </c>
      <c r="N3071">
        <v>106.93</v>
      </c>
    </row>
    <row r="3072" spans="1:14">
      <c r="A3072" s="1" t="s">
        <v>3084</v>
      </c>
      <c r="B3072">
        <f>HYPERLINK("https://www.suredividend.com/sure-analysis-WSO/","Watsco Inc.")</f>
        <v>0</v>
      </c>
      <c r="C3072" t="s">
        <v>3183</v>
      </c>
      <c r="D3072">
        <v>361.93</v>
      </c>
      <c r="E3072">
        <v>0.02707705909982594</v>
      </c>
      <c r="F3072">
        <v>0.1136363636363635</v>
      </c>
      <c r="G3072">
        <v>0.08895321224138986</v>
      </c>
      <c r="H3072">
        <v>9.701840379442643</v>
      </c>
      <c r="I3072">
        <v>14211.690597</v>
      </c>
      <c r="J3072">
        <v>26.54311968103486</v>
      </c>
      <c r="K3072">
        <v>0.6542036668538532</v>
      </c>
      <c r="L3072">
        <v>1.258822287026081</v>
      </c>
      <c r="M3072">
        <v>403.48</v>
      </c>
      <c r="N3072">
        <v>236.23</v>
      </c>
    </row>
    <row r="3073" spans="1:14">
      <c r="A3073" s="1" t="s">
        <v>3085</v>
      </c>
      <c r="B3073">
        <f>HYPERLINK("https://www.suredividend.com/sure-analysis-WSR/","Whitestone REIT")</f>
        <v>0</v>
      </c>
      <c r="C3073" t="s">
        <v>3187</v>
      </c>
      <c r="D3073">
        <v>10.49</v>
      </c>
      <c r="E3073">
        <v>0.04575786463298379</v>
      </c>
      <c r="F3073">
        <v>0</v>
      </c>
      <c r="G3073">
        <v>0</v>
      </c>
      <c r="H3073">
        <v>0.584778442848317</v>
      </c>
      <c r="I3073">
        <v>520.15201</v>
      </c>
      <c r="J3073">
        <v>13.3348376032507</v>
      </c>
      <c r="K3073">
        <v>0.7490437336343243</v>
      </c>
      <c r="L3073">
        <v>0.9129012168394001</v>
      </c>
      <c r="M3073">
        <v>10.61</v>
      </c>
      <c r="N3073">
        <v>8.01</v>
      </c>
    </row>
    <row r="3074" spans="1:14">
      <c r="A3074" s="1" t="s">
        <v>3086</v>
      </c>
      <c r="B3074">
        <f>HYPERLINK("https://www.suredividend.com/sure-analysis-WST/","West Pharmaceutical Services, Inc.")</f>
        <v>0</v>
      </c>
      <c r="C3074" t="s">
        <v>3180</v>
      </c>
      <c r="D3074">
        <v>327.76</v>
      </c>
      <c r="E3074">
        <v>0.00244081034903588</v>
      </c>
      <c r="F3074" t="s">
        <v>3182</v>
      </c>
      <c r="G3074" t="s">
        <v>3182</v>
      </c>
      <c r="H3074">
        <v>0.759381430233209</v>
      </c>
      <c r="I3074">
        <v>24250.854239</v>
      </c>
      <c r="J3074">
        <v>43.35154493957812</v>
      </c>
      <c r="K3074">
        <v>0.1024806248627812</v>
      </c>
      <c r="L3074">
        <v>1.13054149296905</v>
      </c>
      <c r="M3074">
        <v>415.73</v>
      </c>
      <c r="N3074">
        <v>206.46</v>
      </c>
    </row>
    <row r="3075" spans="1:14">
      <c r="A3075" s="1" t="s">
        <v>3087</v>
      </c>
      <c r="B3075">
        <f>HYPERLINK("https://www.suredividend.com/sure-analysis-research-database/","Westell Technologies, Inc.")</f>
        <v>0</v>
      </c>
      <c r="C3075" t="s">
        <v>3185</v>
      </c>
      <c r="D3075">
        <v>1.49</v>
      </c>
      <c r="E3075">
        <v>0</v>
      </c>
      <c r="F3075" t="s">
        <v>3182</v>
      </c>
      <c r="G3075" t="s">
        <v>3182</v>
      </c>
      <c r="H3075">
        <v>0</v>
      </c>
      <c r="I3075">
        <v>11.960918</v>
      </c>
      <c r="J3075" t="s">
        <v>3182</v>
      </c>
      <c r="K3075">
        <v>-0</v>
      </c>
      <c r="M3075">
        <v>1.87</v>
      </c>
      <c r="N3075">
        <v>1.1</v>
      </c>
    </row>
    <row r="3076" spans="1:14">
      <c r="A3076" s="1" t="s">
        <v>3088</v>
      </c>
      <c r="B3076">
        <f>HYPERLINK("https://www.suredividend.com/sure-analysis-research-database/","West Bancorporation")</f>
        <v>0</v>
      </c>
      <c r="C3076" t="s">
        <v>3184</v>
      </c>
      <c r="D3076">
        <v>16.67</v>
      </c>
      <c r="E3076">
        <v>0.057762285541395</v>
      </c>
      <c r="F3076">
        <v>0</v>
      </c>
      <c r="G3076">
        <v>0.04563955259127317</v>
      </c>
      <c r="H3076">
        <v>0.9628972999750681</v>
      </c>
      <c r="I3076">
        <v>278.807317</v>
      </c>
      <c r="J3076">
        <v>9.7628446312767</v>
      </c>
      <c r="K3076">
        <v>0.5664101764559224</v>
      </c>
      <c r="L3076">
        <v>0.7823957359733511</v>
      </c>
      <c r="M3076">
        <v>24.08</v>
      </c>
      <c r="N3076">
        <v>14.65</v>
      </c>
    </row>
    <row r="3077" spans="1:14">
      <c r="A3077" s="1" t="s">
        <v>3089</v>
      </c>
      <c r="B3077">
        <f>HYPERLINK("https://www.suredividend.com/sure-analysis-research-database/","Alkaline Water Company Inc (The)")</f>
        <v>0</v>
      </c>
      <c r="C3077" t="s">
        <v>3188</v>
      </c>
      <c r="D3077">
        <v>0.2285</v>
      </c>
      <c r="E3077">
        <v>0</v>
      </c>
      <c r="F3077" t="s">
        <v>3182</v>
      </c>
      <c r="G3077" t="s">
        <v>3182</v>
      </c>
      <c r="H3077">
        <v>0</v>
      </c>
      <c r="I3077">
        <v>2.489691</v>
      </c>
      <c r="J3077">
        <v>0</v>
      </c>
      <c r="K3077" t="s">
        <v>3182</v>
      </c>
      <c r="L3077">
        <v>0.346452945768028</v>
      </c>
      <c r="M3077">
        <v>4.65</v>
      </c>
      <c r="N3077">
        <v>0.1818</v>
      </c>
    </row>
    <row r="3078" spans="1:14">
      <c r="A3078" s="1" t="s">
        <v>3090</v>
      </c>
      <c r="B3078">
        <f>HYPERLINK("https://www.suredividend.com/sure-analysis-research-database/","Wintrust Financial Corp.")</f>
        <v>0</v>
      </c>
      <c r="C3078" t="s">
        <v>3184</v>
      </c>
      <c r="D3078">
        <v>78.75</v>
      </c>
      <c r="E3078">
        <v>0.019349855966411</v>
      </c>
      <c r="F3078">
        <v>0.1764705882352942</v>
      </c>
      <c r="G3078">
        <v>0.09856054330611785</v>
      </c>
      <c r="H3078">
        <v>1.523801157354872</v>
      </c>
      <c r="I3078">
        <v>4820.446339</v>
      </c>
      <c r="J3078">
        <v>8.104832418261422</v>
      </c>
      <c r="K3078">
        <v>0.1583992887063277</v>
      </c>
      <c r="L3078">
        <v>1.186125204991998</v>
      </c>
      <c r="M3078">
        <v>95.7</v>
      </c>
      <c r="N3078">
        <v>56.48</v>
      </c>
    </row>
    <row r="3079" spans="1:14">
      <c r="A3079" s="1" t="s">
        <v>3091</v>
      </c>
      <c r="B3079">
        <f>HYPERLINK("https://www.suredividend.com/sure-analysis-research-database/","W &amp; T Offshore Inc")</f>
        <v>0</v>
      </c>
      <c r="C3079" t="s">
        <v>3189</v>
      </c>
      <c r="D3079">
        <v>4.3</v>
      </c>
      <c r="E3079">
        <v>0</v>
      </c>
      <c r="F3079" t="s">
        <v>3182</v>
      </c>
      <c r="G3079" t="s">
        <v>3182</v>
      </c>
      <c r="H3079">
        <v>0</v>
      </c>
      <c r="I3079">
        <v>629.8667390000001</v>
      </c>
      <c r="J3079">
        <v>5.076868272532362</v>
      </c>
      <c r="K3079">
        <v>0</v>
      </c>
      <c r="L3079">
        <v>1.489289664843039</v>
      </c>
      <c r="M3079">
        <v>9.16</v>
      </c>
      <c r="N3079">
        <v>3.62</v>
      </c>
    </row>
    <row r="3080" spans="1:14">
      <c r="A3080" s="1" t="s">
        <v>3092</v>
      </c>
      <c r="B3080">
        <f>HYPERLINK("https://www.suredividend.com/sure-analysis-research-database/","White Mountains Insurance Group, Ltd.")</f>
        <v>0</v>
      </c>
      <c r="C3080" t="s">
        <v>3184</v>
      </c>
      <c r="D3080">
        <v>1468.82</v>
      </c>
      <c r="E3080">
        <v>0.000680818616304</v>
      </c>
      <c r="F3080" t="s">
        <v>3182</v>
      </c>
      <c r="G3080" t="s">
        <v>3182</v>
      </c>
      <c r="H3080">
        <v>1</v>
      </c>
      <c r="I3080">
        <v>3760.843107</v>
      </c>
      <c r="J3080">
        <v>3.38357454488529</v>
      </c>
      <c r="K3080">
        <v>0.002350673467948567</v>
      </c>
      <c r="L3080">
        <v>0.317599289233578</v>
      </c>
      <c r="M3080">
        <v>1617</v>
      </c>
      <c r="N3080">
        <v>1275.12</v>
      </c>
    </row>
    <row r="3081" spans="1:14">
      <c r="A3081" s="1" t="s">
        <v>3093</v>
      </c>
      <c r="B3081">
        <f>HYPERLINK("https://www.suredividend.com/sure-analysis-research-database/","Watts Water Technologies, Inc.")</f>
        <v>0</v>
      </c>
      <c r="C3081" t="s">
        <v>3183</v>
      </c>
      <c r="D3081">
        <v>185.61</v>
      </c>
      <c r="E3081">
        <v>0.007092055825047</v>
      </c>
      <c r="F3081">
        <v>0.1999999999999997</v>
      </c>
      <c r="G3081">
        <v>0.1138241786028791</v>
      </c>
      <c r="H3081">
        <v>1.316356481687132</v>
      </c>
      <c r="I3081">
        <v>5082.290609</v>
      </c>
      <c r="J3081">
        <v>18.97084960492721</v>
      </c>
      <c r="K3081">
        <v>0.1647504983338088</v>
      </c>
      <c r="L3081">
        <v>1.189377537497242</v>
      </c>
      <c r="M3081">
        <v>192.92</v>
      </c>
      <c r="N3081">
        <v>137.55</v>
      </c>
    </row>
    <row r="3082" spans="1:14">
      <c r="A3082" s="1" t="s">
        <v>3094</v>
      </c>
      <c r="B3082">
        <f>HYPERLINK("https://www.suredividend.com/sure-analysis-research-database/","Wireless Telecom Group, Inc.")</f>
        <v>0</v>
      </c>
      <c r="C3082" t="s">
        <v>3185</v>
      </c>
      <c r="D3082">
        <v>2.13</v>
      </c>
      <c r="E3082">
        <v>0</v>
      </c>
      <c r="F3082" t="s">
        <v>3182</v>
      </c>
      <c r="G3082" t="s">
        <v>3182</v>
      </c>
      <c r="H3082">
        <v>0</v>
      </c>
      <c r="I3082">
        <v>45.41383</v>
      </c>
      <c r="J3082">
        <v>0</v>
      </c>
      <c r="K3082" t="s">
        <v>3182</v>
      </c>
      <c r="L3082">
        <v>0.367352188296081</v>
      </c>
      <c r="M3082">
        <v>2.13</v>
      </c>
      <c r="N3082">
        <v>1.15</v>
      </c>
    </row>
    <row r="3083" spans="1:14">
      <c r="A3083" s="1" t="s">
        <v>3095</v>
      </c>
      <c r="B3083">
        <f>HYPERLINK("https://www.suredividend.com/sure-analysis-research-database/","Select Water Solutions Inc")</f>
        <v>0</v>
      </c>
      <c r="C3083" t="s">
        <v>3189</v>
      </c>
      <c r="D3083">
        <v>7.37</v>
      </c>
      <c r="E3083">
        <v>0.026883086678501</v>
      </c>
      <c r="F3083" t="s">
        <v>3182</v>
      </c>
      <c r="G3083" t="s">
        <v>3182</v>
      </c>
      <c r="H3083">
        <v>0.198128348820555</v>
      </c>
      <c r="I3083">
        <v>765.867597</v>
      </c>
      <c r="J3083">
        <v>12.46630743419875</v>
      </c>
      <c r="K3083">
        <v>0.3265672471082166</v>
      </c>
      <c r="L3083">
        <v>0.8900599797901361</v>
      </c>
      <c r="M3083">
        <v>9.57</v>
      </c>
      <c r="N3083">
        <v>5.44</v>
      </c>
    </row>
    <row r="3084" spans="1:14">
      <c r="A3084" s="1" t="s">
        <v>3096</v>
      </c>
      <c r="B3084">
        <f>HYPERLINK("https://www.suredividend.com/sure-analysis-WU/","Western Union Company")</f>
        <v>0</v>
      </c>
      <c r="C3084" t="s">
        <v>3184</v>
      </c>
      <c r="D3084">
        <v>11.67</v>
      </c>
      <c r="E3084">
        <v>0.0805484147386461</v>
      </c>
      <c r="F3084">
        <v>0</v>
      </c>
      <c r="G3084">
        <v>0.04342887836291887</v>
      </c>
      <c r="H3084">
        <v>0.91282446350628</v>
      </c>
      <c r="I3084">
        <v>4252.069623</v>
      </c>
      <c r="J3084">
        <v>5.681546797648317</v>
      </c>
      <c r="K3084">
        <v>0.461022456316303</v>
      </c>
      <c r="L3084">
        <v>0.785601266138869</v>
      </c>
      <c r="M3084">
        <v>13.92</v>
      </c>
      <c r="N3084">
        <v>9.48</v>
      </c>
    </row>
    <row r="3085" spans="1:14">
      <c r="A3085" s="1" t="s">
        <v>3097</v>
      </c>
      <c r="B3085">
        <f>HYPERLINK("https://www.suredividend.com/sure-analysis-research-database/","Wave Life Sciences Ltd.")</f>
        <v>0</v>
      </c>
      <c r="C3085" t="s">
        <v>3180</v>
      </c>
      <c r="D3085">
        <v>5.32</v>
      </c>
      <c r="E3085">
        <v>0</v>
      </c>
      <c r="F3085" t="s">
        <v>3182</v>
      </c>
      <c r="G3085" t="s">
        <v>3182</v>
      </c>
      <c r="H3085">
        <v>0</v>
      </c>
      <c r="I3085">
        <v>526.590949</v>
      </c>
      <c r="J3085" t="s">
        <v>3182</v>
      </c>
      <c r="K3085">
        <v>-0</v>
      </c>
      <c r="L3085">
        <v>1.242137995849038</v>
      </c>
      <c r="M3085">
        <v>7.12</v>
      </c>
      <c r="N3085">
        <v>3.04</v>
      </c>
    </row>
    <row r="3086" spans="1:14">
      <c r="A3086" s="1" t="s">
        <v>3098</v>
      </c>
      <c r="B3086">
        <f>HYPERLINK("https://www.suredividend.com/sure-analysis-research-database/","WVS Financial Corp.")</f>
        <v>0</v>
      </c>
      <c r="C3086" t="s">
        <v>3184</v>
      </c>
      <c r="D3086">
        <v>14.65</v>
      </c>
      <c r="E3086">
        <v>0</v>
      </c>
      <c r="F3086">
        <v>0</v>
      </c>
      <c r="G3086">
        <v>0</v>
      </c>
      <c r="H3086">
        <v>0.50000000745058</v>
      </c>
      <c r="I3086">
        <v>0</v>
      </c>
      <c r="J3086">
        <v>0</v>
      </c>
      <c r="K3086" t="s">
        <v>3182</v>
      </c>
    </row>
    <row r="3087" spans="1:14">
      <c r="A3087" s="1" t="s">
        <v>3099</v>
      </c>
      <c r="B3087">
        <f>HYPERLINK("https://www.suredividend.com/sure-analysis-research-database/","Willamette Valley Vineyard Inc.")</f>
        <v>0</v>
      </c>
      <c r="C3087" t="s">
        <v>3188</v>
      </c>
      <c r="D3087">
        <v>5.592</v>
      </c>
      <c r="E3087">
        <v>0</v>
      </c>
      <c r="F3087" t="s">
        <v>3182</v>
      </c>
      <c r="G3087" t="s">
        <v>3182</v>
      </c>
      <c r="H3087">
        <v>0</v>
      </c>
      <c r="I3087">
        <v>27.761646</v>
      </c>
      <c r="J3087">
        <v>0</v>
      </c>
      <c r="K3087" t="s">
        <v>3182</v>
      </c>
      <c r="M3087">
        <v>6.59</v>
      </c>
      <c r="N3087">
        <v>5</v>
      </c>
    </row>
    <row r="3088" spans="1:14">
      <c r="A3088" s="1" t="s">
        <v>3100</v>
      </c>
      <c r="B3088">
        <f>HYPERLINK("https://www.suredividend.com/sure-analysis-research-database/","WW International Inc")</f>
        <v>0</v>
      </c>
      <c r="C3088" t="s">
        <v>3186</v>
      </c>
      <c r="D3088">
        <v>8.23</v>
      </c>
      <c r="E3088">
        <v>0</v>
      </c>
      <c r="F3088" t="s">
        <v>3182</v>
      </c>
      <c r="G3088" t="s">
        <v>3182</v>
      </c>
      <c r="H3088">
        <v>0</v>
      </c>
      <c r="I3088">
        <v>649.890674</v>
      </c>
      <c r="J3088" t="s">
        <v>3182</v>
      </c>
      <c r="K3088">
        <v>-0</v>
      </c>
      <c r="L3088">
        <v>2.500951747907217</v>
      </c>
      <c r="M3088">
        <v>13.31</v>
      </c>
      <c r="N3088">
        <v>3.28</v>
      </c>
    </row>
    <row r="3089" spans="1:14">
      <c r="A3089" s="1" t="s">
        <v>3101</v>
      </c>
      <c r="B3089">
        <f>HYPERLINK("https://www.suredividend.com/sure-analysis-research-database/","Woodward Inc")</f>
        <v>0</v>
      </c>
      <c r="C3089" t="s">
        <v>3183</v>
      </c>
      <c r="D3089">
        <v>130.29</v>
      </c>
      <c r="E3089">
        <v>0.006488947068725001</v>
      </c>
      <c r="F3089">
        <v>0.1578947368421053</v>
      </c>
      <c r="G3089">
        <v>0.06246311818397499</v>
      </c>
      <c r="H3089">
        <v>0.8454449135842961</v>
      </c>
      <c r="I3089">
        <v>7871.809104</v>
      </c>
      <c r="J3089">
        <v>38.63331862954401</v>
      </c>
      <c r="K3089">
        <v>0.2538873614367255</v>
      </c>
      <c r="L3089">
        <v>0.9367054520774131</v>
      </c>
      <c r="M3089">
        <v>132.69</v>
      </c>
      <c r="N3089">
        <v>87.65000000000001</v>
      </c>
    </row>
    <row r="3090" spans="1:14">
      <c r="A3090" s="1" t="s">
        <v>3102</v>
      </c>
      <c r="B3090">
        <f>HYPERLINK("https://www.suredividend.com/sure-analysis-research-database/","World Wrestling Entertainment, Inc.")</f>
        <v>0</v>
      </c>
      <c r="C3090" t="s">
        <v>3191</v>
      </c>
      <c r="D3090">
        <v>100.65</v>
      </c>
      <c r="E3090">
        <v>0.004759269769558001</v>
      </c>
      <c r="F3090">
        <v>0</v>
      </c>
      <c r="G3090">
        <v>0</v>
      </c>
      <c r="H3090">
        <v>0.4790205023060971</v>
      </c>
      <c r="I3090">
        <v>5240.104917</v>
      </c>
      <c r="J3090">
        <v>30.98325469794888</v>
      </c>
      <c r="K3090">
        <v>0.2443982154622944</v>
      </c>
      <c r="M3090">
        <v>118.04</v>
      </c>
      <c r="N3090">
        <v>65.84999999999999</v>
      </c>
    </row>
    <row r="3091" spans="1:14">
      <c r="A3091" s="1" t="s">
        <v>3103</v>
      </c>
      <c r="B3091">
        <f>HYPERLINK("https://www.suredividend.com/sure-analysis-research-database/","Westwater Resources Inc")</f>
        <v>0</v>
      </c>
      <c r="C3091" t="s">
        <v>3181</v>
      </c>
      <c r="D3091">
        <v>0.595</v>
      </c>
      <c r="E3091">
        <v>0</v>
      </c>
      <c r="F3091" t="s">
        <v>3182</v>
      </c>
      <c r="G3091" t="s">
        <v>3182</v>
      </c>
      <c r="H3091">
        <v>0</v>
      </c>
      <c r="I3091">
        <v>31.762678</v>
      </c>
      <c r="J3091">
        <v>0</v>
      </c>
      <c r="K3091" t="s">
        <v>3182</v>
      </c>
      <c r="L3091">
        <v>0.401782372533397</v>
      </c>
      <c r="M3091">
        <v>1.4</v>
      </c>
      <c r="N3091">
        <v>0.48</v>
      </c>
    </row>
    <row r="3092" spans="1:14">
      <c r="A3092" s="1" t="s">
        <v>3104</v>
      </c>
      <c r="B3092">
        <f>HYPERLINK("https://www.suredividend.com/sure-analysis-research-database/","Wolverine World Wide, Inc.")</f>
        <v>0</v>
      </c>
      <c r="C3092" t="s">
        <v>3186</v>
      </c>
      <c r="D3092">
        <v>7.69</v>
      </c>
      <c r="E3092">
        <v>0.051250835988773</v>
      </c>
      <c r="F3092">
        <v>0</v>
      </c>
      <c r="G3092">
        <v>0.04563955259127317</v>
      </c>
      <c r="H3092">
        <v>0.394118928753671</v>
      </c>
      <c r="I3092">
        <v>611.468035</v>
      </c>
      <c r="J3092" t="s">
        <v>3182</v>
      </c>
      <c r="K3092" t="s">
        <v>3182</v>
      </c>
      <c r="L3092">
        <v>1.598761303682139</v>
      </c>
      <c r="M3092">
        <v>17.76</v>
      </c>
      <c r="N3092">
        <v>7.21</v>
      </c>
    </row>
    <row r="3093" spans="1:14">
      <c r="A3093" s="1" t="s">
        <v>3105</v>
      </c>
      <c r="B3093">
        <f>HYPERLINK("https://www.suredividend.com/sure-analysis-WY/","Weyerhaeuser Co.")</f>
        <v>0</v>
      </c>
      <c r="C3093" t="s">
        <v>3187</v>
      </c>
      <c r="D3093">
        <v>30.16</v>
      </c>
      <c r="E3093">
        <v>0.02519893899204244</v>
      </c>
      <c r="F3093">
        <v>0.05555555555555558</v>
      </c>
      <c r="G3093">
        <v>-0.109866928674943</v>
      </c>
      <c r="H3093">
        <v>0.7386304404286811</v>
      </c>
      <c r="I3093">
        <v>22016.83016</v>
      </c>
      <c r="J3093">
        <v>34.89196538827259</v>
      </c>
      <c r="K3093">
        <v>0.8586729137743327</v>
      </c>
      <c r="L3093">
        <v>1.16345218737665</v>
      </c>
      <c r="M3093">
        <v>34.88</v>
      </c>
      <c r="N3093">
        <v>27.31</v>
      </c>
    </row>
    <row r="3094" spans="1:14">
      <c r="A3094" s="1" t="s">
        <v>3106</v>
      </c>
      <c r="B3094">
        <f>HYPERLINK("https://www.suredividend.com/sure-analysis-research-database/","Wynn Resorts Ltd.")</f>
        <v>0</v>
      </c>
      <c r="C3094" t="s">
        <v>3186</v>
      </c>
      <c r="D3094">
        <v>89.75</v>
      </c>
      <c r="E3094">
        <v>0.005563684650168</v>
      </c>
      <c r="F3094" t="s">
        <v>3182</v>
      </c>
      <c r="G3094" t="s">
        <v>3182</v>
      </c>
      <c r="H3094">
        <v>0.499340697352642</v>
      </c>
      <c r="I3094">
        <v>10225.785977</v>
      </c>
      <c r="J3094">
        <v>1453.558774200426</v>
      </c>
      <c r="K3094">
        <v>8.002254765266699</v>
      </c>
      <c r="L3094">
        <v>1.060864945043887</v>
      </c>
      <c r="M3094">
        <v>117.02</v>
      </c>
      <c r="N3094">
        <v>67.48</v>
      </c>
    </row>
    <row r="3095" spans="1:14">
      <c r="A3095" s="1" t="s">
        <v>3107</v>
      </c>
      <c r="B3095">
        <f>HYPERLINK("https://www.suredividend.com/sure-analysis-research-database/","Widepoint Corp")</f>
        <v>0</v>
      </c>
      <c r="C3095" t="s">
        <v>3185</v>
      </c>
      <c r="D3095">
        <v>1.73</v>
      </c>
      <c r="E3095">
        <v>0</v>
      </c>
      <c r="F3095" t="s">
        <v>3182</v>
      </c>
      <c r="G3095" t="s">
        <v>3182</v>
      </c>
      <c r="H3095">
        <v>0</v>
      </c>
      <c r="I3095">
        <v>15.385271</v>
      </c>
      <c r="J3095">
        <v>0</v>
      </c>
      <c r="K3095" t="s">
        <v>3182</v>
      </c>
      <c r="L3095">
        <v>0.878504968126352</v>
      </c>
      <c r="M3095">
        <v>2.5</v>
      </c>
      <c r="N3095">
        <v>1.6</v>
      </c>
    </row>
    <row r="3096" spans="1:14">
      <c r="A3096" s="1" t="s">
        <v>3108</v>
      </c>
      <c r="B3096">
        <f>HYPERLINK("https://www.suredividend.com/sure-analysis-research-database/","United States Steel Corp.")</f>
        <v>0</v>
      </c>
      <c r="C3096" t="s">
        <v>3181</v>
      </c>
      <c r="D3096">
        <v>34.24</v>
      </c>
      <c r="E3096">
        <v>0.005822555146918</v>
      </c>
      <c r="F3096">
        <v>0</v>
      </c>
      <c r="G3096">
        <v>0</v>
      </c>
      <c r="H3096">
        <v>0.19936428823049</v>
      </c>
      <c r="I3096">
        <v>7636.83824</v>
      </c>
      <c r="J3096">
        <v>6.646508476936467</v>
      </c>
      <c r="K3096">
        <v>0.0445009571943058</v>
      </c>
      <c r="L3096">
        <v>1.217613785182148</v>
      </c>
      <c r="M3096">
        <v>34.37</v>
      </c>
      <c r="N3096">
        <v>19.88</v>
      </c>
    </row>
    <row r="3097" spans="1:14">
      <c r="A3097" s="1" t="s">
        <v>3109</v>
      </c>
      <c r="B3097">
        <f>HYPERLINK("https://www.suredividend.com/sure-analysis-research-database/","XBiotech Inc")</f>
        <v>0</v>
      </c>
      <c r="C3097" t="s">
        <v>3180</v>
      </c>
      <c r="D3097">
        <v>4.36</v>
      </c>
      <c r="E3097">
        <v>0</v>
      </c>
      <c r="F3097" t="s">
        <v>3182</v>
      </c>
      <c r="G3097" t="s">
        <v>3182</v>
      </c>
      <c r="H3097">
        <v>0</v>
      </c>
      <c r="I3097">
        <v>132.699713</v>
      </c>
      <c r="J3097">
        <v>0</v>
      </c>
      <c r="K3097" t="s">
        <v>3182</v>
      </c>
      <c r="M3097">
        <v>6.69</v>
      </c>
      <c r="N3097">
        <v>3</v>
      </c>
    </row>
    <row r="3098" spans="1:14">
      <c r="A3098" s="1" t="s">
        <v>3110</v>
      </c>
      <c r="B3098">
        <f>HYPERLINK("https://www.suredividend.com/sure-analysis-research-database/","Cimarex Energy Co.")</f>
        <v>0</v>
      </c>
      <c r="C3098" t="s">
        <v>3189</v>
      </c>
      <c r="D3098">
        <v>87.2</v>
      </c>
      <c r="E3098">
        <v>0.011175033791407</v>
      </c>
      <c r="F3098" t="s">
        <v>3182</v>
      </c>
      <c r="G3098" t="s">
        <v>3182</v>
      </c>
      <c r="H3098">
        <v>0.9744629466106991</v>
      </c>
      <c r="I3098">
        <v>8965.313918</v>
      </c>
      <c r="J3098" t="s">
        <v>3182</v>
      </c>
      <c r="K3098" t="s">
        <v>3182</v>
      </c>
      <c r="M3098">
        <v>92.51000000000001</v>
      </c>
      <c r="N3098">
        <v>21.97</v>
      </c>
    </row>
    <row r="3099" spans="1:14">
      <c r="A3099" s="1" t="s">
        <v>3111</v>
      </c>
      <c r="B3099">
        <f>HYPERLINK("https://www.suredividend.com/sure-analysis-XEL/","Xcel Energy, Inc.")</f>
        <v>0</v>
      </c>
      <c r="C3099" t="s">
        <v>3190</v>
      </c>
      <c r="D3099">
        <v>61.07</v>
      </c>
      <c r="E3099">
        <v>0.0340592762403799</v>
      </c>
      <c r="F3099">
        <v>0.06666666666666665</v>
      </c>
      <c r="G3099">
        <v>0.06474093044470108</v>
      </c>
      <c r="H3099">
        <v>2.013671794465689</v>
      </c>
      <c r="I3099">
        <v>33699.422601</v>
      </c>
      <c r="J3099">
        <v>19.35635990886272</v>
      </c>
      <c r="K3099">
        <v>0.6372379096410408</v>
      </c>
      <c r="L3099">
        <v>0.540173351720588</v>
      </c>
      <c r="M3099">
        <v>70.56</v>
      </c>
      <c r="N3099">
        <v>53.73</v>
      </c>
    </row>
    <row r="3100" spans="1:14">
      <c r="A3100" s="1" t="s">
        <v>3112</v>
      </c>
      <c r="B3100">
        <f>HYPERLINK("https://www.suredividend.com/sure-analysis-research-database/","Exela Technologies Inc")</f>
        <v>0</v>
      </c>
      <c r="C3100" t="s">
        <v>3185</v>
      </c>
      <c r="D3100">
        <v>3.15</v>
      </c>
      <c r="E3100">
        <v>0</v>
      </c>
      <c r="F3100" t="s">
        <v>3182</v>
      </c>
      <c r="G3100" t="s">
        <v>3182</v>
      </c>
      <c r="H3100">
        <v>0</v>
      </c>
      <c r="I3100">
        <v>204.6555</v>
      </c>
      <c r="J3100" t="s">
        <v>3182</v>
      </c>
      <c r="K3100">
        <v>-0</v>
      </c>
      <c r="L3100">
        <v>1.541745692206801</v>
      </c>
      <c r="M3100">
        <v>96.95999999999999</v>
      </c>
      <c r="N3100">
        <v>2.62</v>
      </c>
    </row>
    <row r="3101" spans="1:14">
      <c r="A3101" s="1" t="s">
        <v>3113</v>
      </c>
      <c r="B3101">
        <f>HYPERLINK("https://www.suredividend.com/sure-analysis-research-database/","Xcel Brands Inc")</f>
        <v>0</v>
      </c>
      <c r="C3101" t="s">
        <v>3186</v>
      </c>
      <c r="D3101">
        <v>0.8839</v>
      </c>
      <c r="E3101">
        <v>0</v>
      </c>
      <c r="F3101" t="s">
        <v>3182</v>
      </c>
      <c r="G3101" t="s">
        <v>3182</v>
      </c>
      <c r="H3101">
        <v>0</v>
      </c>
      <c r="I3101">
        <v>17.419862</v>
      </c>
      <c r="J3101">
        <v>0</v>
      </c>
      <c r="K3101" t="s">
        <v>3182</v>
      </c>
      <c r="M3101">
        <v>2.1</v>
      </c>
      <c r="N3101">
        <v>0.5111</v>
      </c>
    </row>
    <row r="3102" spans="1:14">
      <c r="A3102" s="1" t="s">
        <v>3114</v>
      </c>
      <c r="B3102">
        <f>HYPERLINK("https://www.suredividend.com/sure-analysis-research-database/","Intersect ENT Inc")</f>
        <v>0</v>
      </c>
      <c r="C3102" t="s">
        <v>3180</v>
      </c>
      <c r="D3102">
        <v>28.24</v>
      </c>
      <c r="E3102">
        <v>0</v>
      </c>
      <c r="F3102" t="s">
        <v>3182</v>
      </c>
      <c r="G3102" t="s">
        <v>3182</v>
      </c>
      <c r="H3102">
        <v>0</v>
      </c>
      <c r="I3102">
        <v>0</v>
      </c>
      <c r="J3102">
        <v>0</v>
      </c>
      <c r="K3102" t="s">
        <v>3182</v>
      </c>
    </row>
    <row r="3103" spans="1:14">
      <c r="A3103" s="1" t="s">
        <v>3115</v>
      </c>
      <c r="B3103">
        <f>HYPERLINK("https://www.suredividend.com/sure-analysis-research-database/","Xeris Biopharma Holdings Inc")</f>
        <v>0</v>
      </c>
      <c r="C3103" t="s">
        <v>3180</v>
      </c>
      <c r="D3103">
        <v>1.81</v>
      </c>
      <c r="E3103">
        <v>0</v>
      </c>
      <c r="F3103" t="s">
        <v>3182</v>
      </c>
      <c r="G3103" t="s">
        <v>3182</v>
      </c>
      <c r="H3103">
        <v>0</v>
      </c>
      <c r="I3103">
        <v>249.899447</v>
      </c>
      <c r="J3103" t="s">
        <v>3182</v>
      </c>
      <c r="K3103">
        <v>-0</v>
      </c>
      <c r="L3103">
        <v>1.655892308585701</v>
      </c>
      <c r="M3103">
        <v>3.07</v>
      </c>
      <c r="N3103">
        <v>0.9701000000000001</v>
      </c>
    </row>
    <row r="3104" spans="1:14">
      <c r="A3104" s="1" t="s">
        <v>3116</v>
      </c>
      <c r="B3104">
        <f>HYPERLINK("https://www.suredividend.com/sure-analysis-research-database/","X4 Pharmaceuticals Inc")</f>
        <v>0</v>
      </c>
      <c r="C3104" t="s">
        <v>3180</v>
      </c>
      <c r="D3104">
        <v>0.8</v>
      </c>
      <c r="E3104">
        <v>0</v>
      </c>
      <c r="F3104" t="s">
        <v>3182</v>
      </c>
      <c r="G3104" t="s">
        <v>3182</v>
      </c>
      <c r="H3104">
        <v>0</v>
      </c>
      <c r="I3104">
        <v>131.539918</v>
      </c>
      <c r="J3104">
        <v>0</v>
      </c>
      <c r="K3104" t="s">
        <v>3182</v>
      </c>
      <c r="L3104">
        <v>1.304627637461879</v>
      </c>
      <c r="M3104">
        <v>2.58</v>
      </c>
      <c r="N3104">
        <v>0.65</v>
      </c>
    </row>
    <row r="3105" spans="1:14">
      <c r="A3105" s="1" t="s">
        <v>3117</v>
      </c>
      <c r="B3105">
        <f>HYPERLINK("https://www.suredividend.com/sure-analysis-research-database/","Xenia Hotels &amp; Resorts Inc")</f>
        <v>0</v>
      </c>
      <c r="C3105" t="s">
        <v>3187</v>
      </c>
      <c r="D3105">
        <v>12.06</v>
      </c>
      <c r="E3105">
        <v>0.032752476306855</v>
      </c>
      <c r="F3105" t="s">
        <v>3182</v>
      </c>
      <c r="G3105" t="s">
        <v>3182</v>
      </c>
      <c r="H3105">
        <v>0.394994864260682</v>
      </c>
      <c r="I3105">
        <v>1268.724772</v>
      </c>
      <c r="J3105">
        <v>23.74599508768646</v>
      </c>
      <c r="K3105">
        <v>0.8319184167242671</v>
      </c>
      <c r="L3105">
        <v>1.281954189398223</v>
      </c>
      <c r="M3105">
        <v>15.58</v>
      </c>
      <c r="N3105">
        <v>10.81</v>
      </c>
    </row>
    <row r="3106" spans="1:14">
      <c r="A3106" s="1" t="s">
        <v>3118</v>
      </c>
      <c r="B3106">
        <f>HYPERLINK("https://www.suredividend.com/sure-analysis-research-database/","Xilinx, Inc.")</f>
        <v>0</v>
      </c>
      <c r="C3106" t="s">
        <v>3185</v>
      </c>
      <c r="D3106">
        <v>194.92</v>
      </c>
      <c r="E3106">
        <v>0</v>
      </c>
      <c r="F3106" t="s">
        <v>3182</v>
      </c>
      <c r="G3106" t="s">
        <v>3182</v>
      </c>
      <c r="H3106">
        <v>0.7400000095367431</v>
      </c>
      <c r="I3106">
        <v>0</v>
      </c>
      <c r="J3106">
        <v>0</v>
      </c>
      <c r="K3106">
        <v>0.1994609190125992</v>
      </c>
    </row>
    <row r="3107" spans="1:14">
      <c r="A3107" s="1" t="s">
        <v>3119</v>
      </c>
      <c r="B3107">
        <f>HYPERLINK("https://www.suredividend.com/sure-analysis-research-database/","Acceleron Pharma Inc")</f>
        <v>0</v>
      </c>
      <c r="C3107" t="s">
        <v>3180</v>
      </c>
      <c r="D3107">
        <v>178.75</v>
      </c>
      <c r="E3107">
        <v>0</v>
      </c>
      <c r="F3107" t="s">
        <v>3182</v>
      </c>
      <c r="G3107" t="s">
        <v>3182</v>
      </c>
      <c r="H3107">
        <v>0</v>
      </c>
      <c r="I3107">
        <v>0</v>
      </c>
      <c r="J3107">
        <v>0</v>
      </c>
      <c r="K3107">
        <v>-0</v>
      </c>
    </row>
    <row r="3108" spans="1:14">
      <c r="A3108" s="1" t="s">
        <v>3120</v>
      </c>
      <c r="B3108">
        <f>HYPERLINK("https://www.suredividend.com/sure-analysis-research-database/","Xencor Inc")</f>
        <v>0</v>
      </c>
      <c r="C3108" t="s">
        <v>3180</v>
      </c>
      <c r="D3108">
        <v>17.49</v>
      </c>
      <c r="E3108">
        <v>0</v>
      </c>
      <c r="F3108" t="s">
        <v>3182</v>
      </c>
      <c r="G3108" t="s">
        <v>3182</v>
      </c>
      <c r="H3108">
        <v>0</v>
      </c>
      <c r="I3108">
        <v>1060.125498</v>
      </c>
      <c r="J3108" t="s">
        <v>3182</v>
      </c>
      <c r="K3108">
        <v>-0</v>
      </c>
      <c r="L3108">
        <v>0.7804516508849191</v>
      </c>
      <c r="M3108">
        <v>38.2</v>
      </c>
      <c r="N3108">
        <v>16.72</v>
      </c>
    </row>
    <row r="3109" spans="1:14">
      <c r="A3109" s="1" t="s">
        <v>3121</v>
      </c>
      <c r="B3109">
        <f>HYPERLINK("https://www.suredividend.com/sure-analysis-research-database/","Extraction Oil &amp; Gas Inc")</f>
        <v>0</v>
      </c>
      <c r="C3109" t="s">
        <v>3189</v>
      </c>
      <c r="D3109">
        <v>68.54000000000001</v>
      </c>
      <c r="E3109">
        <v>0</v>
      </c>
      <c r="F3109" t="s">
        <v>3182</v>
      </c>
      <c r="G3109" t="s">
        <v>3182</v>
      </c>
      <c r="H3109">
        <v>0</v>
      </c>
      <c r="I3109">
        <v>0</v>
      </c>
      <c r="J3109">
        <v>0</v>
      </c>
      <c r="K3109" t="s">
        <v>3182</v>
      </c>
    </row>
    <row r="3110" spans="1:14">
      <c r="A3110" s="1" t="s">
        <v>3122</v>
      </c>
      <c r="B3110">
        <f>HYPERLINK("https://www.suredividend.com/sure-analysis-XOM/","Exxon Mobil Corp.")</f>
        <v>0</v>
      </c>
      <c r="C3110" t="s">
        <v>3189</v>
      </c>
      <c r="D3110">
        <v>109.11</v>
      </c>
      <c r="E3110">
        <v>0.03482723856658418</v>
      </c>
      <c r="F3110">
        <v>0.03409090909090917</v>
      </c>
      <c r="G3110">
        <v>0.02104646949148581</v>
      </c>
      <c r="H3110">
        <v>3.595440327846982</v>
      </c>
      <c r="I3110">
        <v>432393.970541</v>
      </c>
      <c r="J3110">
        <v>10.51286094192706</v>
      </c>
      <c r="K3110">
        <v>0.3566905087149784</v>
      </c>
      <c r="L3110">
        <v>0.635629878124497</v>
      </c>
      <c r="M3110">
        <v>120.7</v>
      </c>
      <c r="N3110">
        <v>96.39</v>
      </c>
    </row>
    <row r="3111" spans="1:14">
      <c r="A3111" s="1" t="s">
        <v>3123</v>
      </c>
      <c r="B3111">
        <f>HYPERLINK("https://www.suredividend.com/sure-analysis-research-database/","XOMA Corp")</f>
        <v>0</v>
      </c>
      <c r="C3111" t="s">
        <v>3180</v>
      </c>
      <c r="D3111">
        <v>18.78</v>
      </c>
      <c r="E3111">
        <v>0</v>
      </c>
      <c r="F3111" t="s">
        <v>3182</v>
      </c>
      <c r="G3111" t="s">
        <v>3182</v>
      </c>
      <c r="H3111">
        <v>0</v>
      </c>
      <c r="I3111">
        <v>215.459334</v>
      </c>
      <c r="J3111" t="s">
        <v>3182</v>
      </c>
      <c r="K3111">
        <v>-0</v>
      </c>
      <c r="L3111">
        <v>0.5269496048391801</v>
      </c>
      <c r="M3111">
        <v>26</v>
      </c>
      <c r="N3111">
        <v>13.48</v>
      </c>
    </row>
    <row r="3112" spans="1:14">
      <c r="A3112" s="1" t="s">
        <v>3124</v>
      </c>
      <c r="B3112">
        <f>HYPERLINK("https://www.suredividend.com/sure-analysis-research-database/","BondBloxx ETF Trust")</f>
        <v>0</v>
      </c>
      <c r="C3112" t="s">
        <v>3183</v>
      </c>
      <c r="D3112">
        <v>49.59</v>
      </c>
      <c r="E3112">
        <v>0.041668996759686</v>
      </c>
      <c r="F3112" t="s">
        <v>3182</v>
      </c>
      <c r="G3112" t="s">
        <v>3182</v>
      </c>
      <c r="H3112">
        <v>2.066365549312843</v>
      </c>
      <c r="I3112">
        <v>525.654</v>
      </c>
      <c r="J3112">
        <v>0</v>
      </c>
      <c r="K3112" t="s">
        <v>3182</v>
      </c>
      <c r="L3112">
        <v>-0.00665773962912</v>
      </c>
      <c r="M3112">
        <v>51.98</v>
      </c>
      <c r="N3112">
        <v>47.08</v>
      </c>
    </row>
    <row r="3113" spans="1:14">
      <c r="A3113" s="1" t="s">
        <v>3125</v>
      </c>
      <c r="B3113">
        <f>HYPERLINK("https://www.suredividend.com/sure-analysis-research-database/","Xperi Inc")</f>
        <v>0</v>
      </c>
      <c r="C3113" t="s">
        <v>3185</v>
      </c>
      <c r="D3113">
        <v>8.49</v>
      </c>
      <c r="E3113">
        <v>0</v>
      </c>
      <c r="F3113" t="s">
        <v>3182</v>
      </c>
      <c r="G3113" t="s">
        <v>3182</v>
      </c>
      <c r="H3113">
        <v>0</v>
      </c>
      <c r="I3113">
        <v>360.974534</v>
      </c>
      <c r="J3113">
        <v>0</v>
      </c>
      <c r="K3113" t="s">
        <v>3182</v>
      </c>
      <c r="L3113">
        <v>1.33845699133678</v>
      </c>
      <c r="M3113">
        <v>13.62</v>
      </c>
      <c r="N3113">
        <v>7.91</v>
      </c>
    </row>
    <row r="3114" spans="1:14">
      <c r="A3114" s="1" t="s">
        <v>3126</v>
      </c>
      <c r="B3114">
        <f>HYPERLINK("https://www.suredividend.com/sure-analysis-research-database/","Solitario Resources Corp")</f>
        <v>0</v>
      </c>
      <c r="C3114" t="s">
        <v>3181</v>
      </c>
      <c r="D3114">
        <v>0.519</v>
      </c>
      <c r="E3114">
        <v>0</v>
      </c>
      <c r="F3114" t="s">
        <v>3182</v>
      </c>
      <c r="G3114" t="s">
        <v>3182</v>
      </c>
      <c r="H3114">
        <v>0</v>
      </c>
      <c r="I3114">
        <v>35.820363</v>
      </c>
      <c r="J3114">
        <v>0</v>
      </c>
      <c r="K3114" t="s">
        <v>3182</v>
      </c>
      <c r="L3114">
        <v>0.175403030549831</v>
      </c>
      <c r="M3114">
        <v>0.7739</v>
      </c>
      <c r="N3114">
        <v>0.4812</v>
      </c>
    </row>
    <row r="3115" spans="1:14">
      <c r="A3115" s="1" t="s">
        <v>3127</v>
      </c>
      <c r="B3115">
        <f>HYPERLINK("https://www.suredividend.com/sure-analysis-research-database/","XPO Inc")</f>
        <v>0</v>
      </c>
      <c r="C3115" t="s">
        <v>3183</v>
      </c>
      <c r="D3115">
        <v>78.25</v>
      </c>
      <c r="E3115">
        <v>0</v>
      </c>
      <c r="F3115" t="s">
        <v>3182</v>
      </c>
      <c r="G3115" t="s">
        <v>3182</v>
      </c>
      <c r="H3115">
        <v>0</v>
      </c>
      <c r="I3115">
        <v>9074.431053</v>
      </c>
      <c r="J3115">
        <v>245.2548933108108</v>
      </c>
      <c r="K3115">
        <v>0</v>
      </c>
      <c r="L3115">
        <v>1.577156862351139</v>
      </c>
      <c r="M3115">
        <v>80.42</v>
      </c>
      <c r="N3115">
        <v>29.02</v>
      </c>
    </row>
    <row r="3116" spans="1:14">
      <c r="A3116" s="1" t="s">
        <v>3128</v>
      </c>
      <c r="B3116">
        <f>HYPERLINK("https://www.suredividend.com/sure-analysis-research-database/","DENTSPLY Sirona Inc")</f>
        <v>0</v>
      </c>
      <c r="C3116" t="s">
        <v>3180</v>
      </c>
      <c r="D3116">
        <v>28.54</v>
      </c>
      <c r="E3116">
        <v>0.01889870496026</v>
      </c>
      <c r="F3116">
        <v>0.1200000000000001</v>
      </c>
      <c r="G3116">
        <v>0.09856054330611785</v>
      </c>
      <c r="H3116">
        <v>0.539369039565826</v>
      </c>
      <c r="I3116">
        <v>6042.374811</v>
      </c>
      <c r="J3116" t="s">
        <v>3182</v>
      </c>
      <c r="K3116" t="s">
        <v>3182</v>
      </c>
      <c r="L3116">
        <v>0.963932156498947</v>
      </c>
      <c r="M3116">
        <v>42.58</v>
      </c>
      <c r="N3116">
        <v>26.13</v>
      </c>
    </row>
    <row r="3117" spans="1:14">
      <c r="A3117" s="1" t="s">
        <v>3129</v>
      </c>
      <c r="B3117">
        <f>HYPERLINK("https://www.suredividend.com/sure-analysis-XRX/","Xerox Holdings Corp")</f>
        <v>0</v>
      </c>
      <c r="C3117" t="s">
        <v>3185</v>
      </c>
      <c r="D3117">
        <v>13.49</v>
      </c>
      <c r="E3117">
        <v>0.07412898443291327</v>
      </c>
      <c r="F3117" t="s">
        <v>3182</v>
      </c>
      <c r="G3117" t="s">
        <v>3182</v>
      </c>
      <c r="H3117">
        <v>0.9557509119871711</v>
      </c>
      <c r="I3117">
        <v>1658.001927</v>
      </c>
      <c r="J3117">
        <v>9.987963412710844</v>
      </c>
      <c r="K3117">
        <v>0.9102389637973057</v>
      </c>
      <c r="L3117">
        <v>1.134870858495405</v>
      </c>
      <c r="M3117">
        <v>16.85</v>
      </c>
      <c r="N3117">
        <v>12.06</v>
      </c>
    </row>
    <row r="3118" spans="1:14">
      <c r="A3118" s="1" t="s">
        <v>3130</v>
      </c>
      <c r="B3118">
        <f>HYPERLINK("https://www.suredividend.com/sure-analysis-research-database/","Xtant Medical Holdings Inc")</f>
        <v>0</v>
      </c>
      <c r="C3118" t="s">
        <v>3180</v>
      </c>
      <c r="D3118">
        <v>1.19</v>
      </c>
      <c r="E3118">
        <v>0</v>
      </c>
      <c r="F3118" t="s">
        <v>3182</v>
      </c>
      <c r="G3118" t="s">
        <v>3182</v>
      </c>
      <c r="H3118">
        <v>0</v>
      </c>
      <c r="I3118">
        <v>153.387487</v>
      </c>
      <c r="J3118">
        <v>0</v>
      </c>
      <c r="K3118" t="s">
        <v>3182</v>
      </c>
      <c r="L3118">
        <v>0.121862944333776</v>
      </c>
      <c r="M3118">
        <v>1.38</v>
      </c>
      <c r="N3118">
        <v>0.48</v>
      </c>
    </row>
    <row r="3119" spans="1:14">
      <c r="A3119" s="1" t="s">
        <v>3131</v>
      </c>
      <c r="B3119">
        <f>HYPERLINK("https://www.suredividend.com/sure-analysis-research-database/","22nd Century Group Inc")</f>
        <v>0</v>
      </c>
      <c r="C3119" t="s">
        <v>3180</v>
      </c>
      <c r="D3119">
        <v>0.471</v>
      </c>
      <c r="E3119">
        <v>0</v>
      </c>
      <c r="F3119" t="s">
        <v>3182</v>
      </c>
      <c r="G3119" t="s">
        <v>3182</v>
      </c>
      <c r="H3119">
        <v>0</v>
      </c>
      <c r="I3119">
        <v>9.928046999999999</v>
      </c>
      <c r="J3119">
        <v>0</v>
      </c>
      <c r="K3119" t="s">
        <v>3182</v>
      </c>
      <c r="L3119">
        <v>1.169045550212106</v>
      </c>
      <c r="M3119">
        <v>21.75</v>
      </c>
      <c r="N3119">
        <v>0.4214</v>
      </c>
    </row>
    <row r="3120" spans="1:14">
      <c r="A3120" s="1" t="s">
        <v>3132</v>
      </c>
      <c r="B3120">
        <f>HYPERLINK("https://www.suredividend.com/sure-analysis-XYL/","Xylem Inc")</f>
        <v>0</v>
      </c>
      <c r="C3120" t="s">
        <v>3183</v>
      </c>
      <c r="D3120">
        <v>94.31</v>
      </c>
      <c r="E3120">
        <v>0.01399639486798855</v>
      </c>
      <c r="F3120" t="s">
        <v>3182</v>
      </c>
      <c r="G3120" t="s">
        <v>3182</v>
      </c>
      <c r="H3120">
        <v>1.283890803802441</v>
      </c>
      <c r="I3120">
        <v>22736.045432</v>
      </c>
      <c r="J3120">
        <v>46.21147445487805</v>
      </c>
      <c r="K3120">
        <v>0.5305333900010087</v>
      </c>
      <c r="L3120">
        <v>1.016352170981379</v>
      </c>
      <c r="M3120">
        <v>117.44</v>
      </c>
      <c r="N3120">
        <v>87.59</v>
      </c>
    </row>
    <row r="3121" spans="1:14">
      <c r="A3121" s="1" t="s">
        <v>3133</v>
      </c>
      <c r="B3121">
        <f>HYPERLINK("https://www.suredividend.com/sure-analysis-research-database/","Alleghany Corp.")</f>
        <v>0</v>
      </c>
      <c r="C3121" t="s">
        <v>3184</v>
      </c>
      <c r="D3121">
        <v>847.79</v>
      </c>
      <c r="E3121">
        <v>0</v>
      </c>
      <c r="F3121" t="s">
        <v>3182</v>
      </c>
      <c r="G3121" t="s">
        <v>3182</v>
      </c>
      <c r="H3121">
        <v>0</v>
      </c>
      <c r="I3121">
        <v>11407.399347</v>
      </c>
      <c r="J3121">
        <v>32.10936942260328</v>
      </c>
      <c r="K3121">
        <v>0</v>
      </c>
      <c r="L3121">
        <v>0.288429568299418</v>
      </c>
      <c r="M3121">
        <v>862.87</v>
      </c>
      <c r="N3121">
        <v>585.1</v>
      </c>
    </row>
    <row r="3122" spans="1:14">
      <c r="A3122" s="1" t="s">
        <v>3134</v>
      </c>
      <c r="B3122">
        <f>HYPERLINK("https://www.suredividend.com/sure-analysis-research-database/","Yelp Inc")</f>
        <v>0</v>
      </c>
      <c r="C3122" t="s">
        <v>3191</v>
      </c>
      <c r="D3122">
        <v>42.79</v>
      </c>
      <c r="E3122">
        <v>0</v>
      </c>
      <c r="F3122" t="s">
        <v>3182</v>
      </c>
      <c r="G3122" t="s">
        <v>3182</v>
      </c>
      <c r="H3122">
        <v>0</v>
      </c>
      <c r="I3122">
        <v>2940.253917</v>
      </c>
      <c r="J3122">
        <v>68.69110169703767</v>
      </c>
      <c r="K3122">
        <v>0</v>
      </c>
      <c r="L3122">
        <v>1.082700578787901</v>
      </c>
      <c r="M3122">
        <v>47.59</v>
      </c>
      <c r="N3122">
        <v>25.3</v>
      </c>
    </row>
    <row r="3123" spans="1:14">
      <c r="A3123" s="1" t="s">
        <v>3135</v>
      </c>
      <c r="B3123">
        <f>HYPERLINK("https://www.suredividend.com/sure-analysis-research-database/","YETI Holdings Inc")</f>
        <v>0</v>
      </c>
      <c r="C3123" t="s">
        <v>3186</v>
      </c>
      <c r="D3123">
        <v>43.42</v>
      </c>
      <c r="E3123">
        <v>0</v>
      </c>
      <c r="F3123" t="s">
        <v>3182</v>
      </c>
      <c r="G3123" t="s">
        <v>3182</v>
      </c>
      <c r="H3123">
        <v>0</v>
      </c>
      <c r="I3123">
        <v>3766.097354</v>
      </c>
      <c r="J3123">
        <v>56.70381609708357</v>
      </c>
      <c r="K3123">
        <v>0</v>
      </c>
      <c r="L3123">
        <v>1.996942787477354</v>
      </c>
      <c r="M3123">
        <v>51.27</v>
      </c>
      <c r="N3123">
        <v>30.08</v>
      </c>
    </row>
    <row r="3124" spans="1:14">
      <c r="A3124" s="1" t="s">
        <v>3136</v>
      </c>
      <c r="B3124">
        <f>HYPERLINK("https://www.suredividend.com/sure-analysis-research-database/","Yext Inc")</f>
        <v>0</v>
      </c>
      <c r="C3124" t="s">
        <v>3185</v>
      </c>
      <c r="D3124">
        <v>6.05</v>
      </c>
      <c r="E3124">
        <v>0</v>
      </c>
      <c r="F3124" t="s">
        <v>3182</v>
      </c>
      <c r="G3124" t="s">
        <v>3182</v>
      </c>
      <c r="H3124">
        <v>0</v>
      </c>
      <c r="I3124">
        <v>753.123953</v>
      </c>
      <c r="J3124" t="s">
        <v>3182</v>
      </c>
      <c r="K3124">
        <v>-0</v>
      </c>
      <c r="L3124">
        <v>1.148855716048419</v>
      </c>
      <c r="M3124">
        <v>14.35</v>
      </c>
      <c r="N3124">
        <v>4.97</v>
      </c>
    </row>
    <row r="3125" spans="1:14">
      <c r="A3125" s="1" t="s">
        <v>3137</v>
      </c>
      <c r="B3125">
        <f>HYPERLINK("https://www.suredividend.com/sure-analysis-research-database/","Y-Mabs Therapeutics Inc")</f>
        <v>0</v>
      </c>
      <c r="C3125" t="s">
        <v>3180</v>
      </c>
      <c r="D3125">
        <v>5.315</v>
      </c>
      <c r="E3125">
        <v>0</v>
      </c>
      <c r="F3125" t="s">
        <v>3182</v>
      </c>
      <c r="G3125" t="s">
        <v>3182</v>
      </c>
      <c r="H3125">
        <v>0</v>
      </c>
      <c r="I3125">
        <v>231.84132</v>
      </c>
      <c r="J3125" t="s">
        <v>3182</v>
      </c>
      <c r="K3125">
        <v>-0</v>
      </c>
      <c r="L3125">
        <v>1.508178332579695</v>
      </c>
      <c r="M3125">
        <v>10.95</v>
      </c>
      <c r="N3125">
        <v>2.7</v>
      </c>
    </row>
    <row r="3126" spans="1:14">
      <c r="A3126" s="1" t="s">
        <v>3138</v>
      </c>
      <c r="B3126">
        <f>HYPERLINK("https://www.suredividend.com/sure-analysis-YORW/","York Water Co.")</f>
        <v>0</v>
      </c>
      <c r="C3126" t="s">
        <v>3190</v>
      </c>
      <c r="D3126">
        <v>36.61</v>
      </c>
      <c r="E3126">
        <v>0.02212510243102978</v>
      </c>
      <c r="F3126">
        <v>0.04002052334530526</v>
      </c>
      <c r="G3126">
        <v>0.0318368581214763</v>
      </c>
      <c r="H3126">
        <v>0.799615187704775</v>
      </c>
      <c r="I3126">
        <v>523.901877</v>
      </c>
      <c r="J3126">
        <v>25.10431150941588</v>
      </c>
      <c r="K3126">
        <v>0.5476816354142294</v>
      </c>
      <c r="L3126">
        <v>0.3671211419857091</v>
      </c>
      <c r="M3126">
        <v>45.87</v>
      </c>
      <c r="N3126">
        <v>35.24</v>
      </c>
    </row>
    <row r="3127" spans="1:14">
      <c r="A3127" s="1" t="s">
        <v>3139</v>
      </c>
      <c r="B3127">
        <f>HYPERLINK("https://www.suredividend.com/sure-analysis-research-database/","Yield10 Bioscience Inc")</f>
        <v>0</v>
      </c>
      <c r="C3127" t="s">
        <v>3181</v>
      </c>
      <c r="D3127">
        <v>0.31</v>
      </c>
      <c r="E3127">
        <v>0</v>
      </c>
      <c r="F3127" t="s">
        <v>3182</v>
      </c>
      <c r="G3127" t="s">
        <v>3182</v>
      </c>
      <c r="H3127">
        <v>0</v>
      </c>
      <c r="I3127">
        <v>1.895341</v>
      </c>
      <c r="J3127" t="s">
        <v>3182</v>
      </c>
      <c r="K3127">
        <v>-0</v>
      </c>
      <c r="L3127">
        <v>0.7308800064989041</v>
      </c>
      <c r="M3127">
        <v>4.19</v>
      </c>
      <c r="N3127">
        <v>0.28</v>
      </c>
    </row>
    <row r="3128" spans="1:14">
      <c r="A3128" s="1" t="s">
        <v>3140</v>
      </c>
      <c r="B3128">
        <f>HYPERLINK("https://www.suredividend.com/sure-analysis-YUM/","Yum Brands Inc.")</f>
        <v>0</v>
      </c>
      <c r="C3128" t="s">
        <v>3186</v>
      </c>
      <c r="D3128">
        <v>124.27</v>
      </c>
      <c r="E3128">
        <v>0.01947372656312867</v>
      </c>
      <c r="F3128">
        <v>0.06140350877192957</v>
      </c>
      <c r="G3128">
        <v>0.1094061645947464</v>
      </c>
      <c r="H3128">
        <v>2.368680024621224</v>
      </c>
      <c r="I3128">
        <v>34821.85589</v>
      </c>
      <c r="J3128">
        <v>24.52243372526056</v>
      </c>
      <c r="K3128">
        <v>0.4785212170951967</v>
      </c>
      <c r="L3128">
        <v>0.484428197538506</v>
      </c>
      <c r="M3128">
        <v>141.91</v>
      </c>
      <c r="N3128">
        <v>115.53</v>
      </c>
    </row>
    <row r="3129" spans="1:14">
      <c r="A3129" s="1" t="s">
        <v>3141</v>
      </c>
      <c r="B3129">
        <f>HYPERLINK("https://www.suredividend.com/sure-analysis-research-database/","Zillow Group Inc")</f>
        <v>0</v>
      </c>
      <c r="C3129" t="s">
        <v>3191</v>
      </c>
      <c r="D3129">
        <v>35.5</v>
      </c>
      <c r="E3129">
        <v>0</v>
      </c>
      <c r="F3129" t="s">
        <v>3182</v>
      </c>
      <c r="G3129" t="s">
        <v>3182</v>
      </c>
      <c r="H3129">
        <v>0</v>
      </c>
      <c r="I3129">
        <v>7968.009965</v>
      </c>
      <c r="J3129" t="s">
        <v>3182</v>
      </c>
      <c r="K3129">
        <v>-0</v>
      </c>
      <c r="L3129">
        <v>1.587389467333993</v>
      </c>
      <c r="M3129">
        <v>57.19</v>
      </c>
      <c r="N3129">
        <v>31.1</v>
      </c>
    </row>
    <row r="3130" spans="1:14">
      <c r="A3130" s="1" t="s">
        <v>3142</v>
      </c>
      <c r="B3130">
        <f>HYPERLINK("https://www.suredividend.com/sure-analysis-research-database/","Zagg Inc")</f>
        <v>0</v>
      </c>
      <c r="C3130" t="s">
        <v>3186</v>
      </c>
      <c r="D3130">
        <v>4.29</v>
      </c>
      <c r="E3130">
        <v>0</v>
      </c>
      <c r="F3130" t="s">
        <v>3182</v>
      </c>
      <c r="G3130" t="s">
        <v>3182</v>
      </c>
      <c r="H3130">
        <v>0</v>
      </c>
      <c r="I3130">
        <v>0</v>
      </c>
      <c r="J3130">
        <v>0</v>
      </c>
      <c r="K3130">
        <v>-0</v>
      </c>
    </row>
    <row r="3131" spans="1:14">
      <c r="A3131" s="1" t="s">
        <v>3143</v>
      </c>
      <c r="B3131">
        <f>HYPERLINK("https://www.suredividend.com/sure-analysis-research-database/","Zimmer Biomet Holdings Inc")</f>
        <v>0</v>
      </c>
      <c r="C3131" t="s">
        <v>3180</v>
      </c>
      <c r="D3131">
        <v>110.2</v>
      </c>
      <c r="E3131">
        <v>0.008685927795827001</v>
      </c>
      <c r="F3131">
        <v>0</v>
      </c>
      <c r="G3131">
        <v>0</v>
      </c>
      <c r="H3131">
        <v>0.9571892431002451</v>
      </c>
      <c r="I3131">
        <v>23027.847567</v>
      </c>
      <c r="J3131">
        <v>45.54558458623418</v>
      </c>
      <c r="K3131">
        <v>0.3988288512917688</v>
      </c>
      <c r="L3131">
        <v>0.7061187426141571</v>
      </c>
      <c r="M3131">
        <v>148.68</v>
      </c>
      <c r="N3131">
        <v>102</v>
      </c>
    </row>
    <row r="3132" spans="1:14">
      <c r="A3132" s="1" t="s">
        <v>3144</v>
      </c>
      <c r="B3132">
        <f>HYPERLINK("https://www.suredividend.com/sure-analysis-research-database/","Zebra Technologies Corp.")</f>
        <v>0</v>
      </c>
      <c r="C3132" t="s">
        <v>3185</v>
      </c>
      <c r="D3132">
        <v>207</v>
      </c>
      <c r="E3132">
        <v>0</v>
      </c>
      <c r="F3132" t="s">
        <v>3182</v>
      </c>
      <c r="G3132" t="s">
        <v>3182</v>
      </c>
      <c r="H3132">
        <v>0</v>
      </c>
      <c r="I3132">
        <v>10631.438028</v>
      </c>
      <c r="J3132">
        <v>22.86330758709677</v>
      </c>
      <c r="K3132">
        <v>0</v>
      </c>
      <c r="L3132">
        <v>1.665889359589279</v>
      </c>
      <c r="M3132">
        <v>351.74</v>
      </c>
      <c r="N3132">
        <v>194.59</v>
      </c>
    </row>
    <row r="3133" spans="1:14">
      <c r="A3133" s="1" t="s">
        <v>3145</v>
      </c>
      <c r="B3133">
        <f>HYPERLINK("https://www.suredividend.com/sure-analysis-research-database/","Zedge Inc")</f>
        <v>0</v>
      </c>
      <c r="C3133" t="s">
        <v>3185</v>
      </c>
      <c r="D3133">
        <v>1.92</v>
      </c>
      <c r="E3133">
        <v>0</v>
      </c>
      <c r="F3133" t="s">
        <v>3182</v>
      </c>
      <c r="G3133" t="s">
        <v>3182</v>
      </c>
      <c r="H3133">
        <v>0</v>
      </c>
      <c r="I3133">
        <v>26.553212</v>
      </c>
      <c r="J3133">
        <v>0</v>
      </c>
      <c r="K3133" t="s">
        <v>3182</v>
      </c>
      <c r="L3133">
        <v>0.635689299451737</v>
      </c>
      <c r="M3133">
        <v>3.74</v>
      </c>
      <c r="N3133">
        <v>1.62</v>
      </c>
    </row>
    <row r="3134" spans="1:14">
      <c r="A3134" s="1" t="s">
        <v>3146</v>
      </c>
      <c r="B3134">
        <f>HYPERLINK("https://www.suredividend.com/sure-analysis-research-database/","Zendesk Inc")</f>
        <v>0</v>
      </c>
      <c r="C3134" t="s">
        <v>3185</v>
      </c>
      <c r="D3134">
        <v>77.48</v>
      </c>
      <c r="E3134">
        <v>0</v>
      </c>
      <c r="F3134" t="s">
        <v>3182</v>
      </c>
      <c r="G3134" t="s">
        <v>3182</v>
      </c>
      <c r="H3134">
        <v>0</v>
      </c>
      <c r="I3134">
        <v>9625.961557000001</v>
      </c>
      <c r="J3134" t="s">
        <v>3182</v>
      </c>
      <c r="K3134">
        <v>-0</v>
      </c>
      <c r="M3134">
        <v>130.83</v>
      </c>
      <c r="N3134">
        <v>54.16</v>
      </c>
    </row>
    <row r="3135" spans="1:14">
      <c r="A3135" s="1" t="s">
        <v>3147</v>
      </c>
      <c r="B3135">
        <f>HYPERLINK("https://www.suredividend.com/sure-analysis-research-database/","Olympic Steel Inc.")</f>
        <v>0</v>
      </c>
      <c r="C3135" t="s">
        <v>3181</v>
      </c>
      <c r="D3135">
        <v>53.86</v>
      </c>
      <c r="E3135">
        <v>0.008575739527632001</v>
      </c>
      <c r="F3135">
        <v>0.3888888888888888</v>
      </c>
      <c r="G3135">
        <v>0.4426999059072136</v>
      </c>
      <c r="H3135">
        <v>0.461889330958301</v>
      </c>
      <c r="I3135">
        <v>599.598712</v>
      </c>
      <c r="J3135">
        <v>14.66154910309077</v>
      </c>
      <c r="K3135">
        <v>0.1304772121351133</v>
      </c>
      <c r="L3135">
        <v>1.373000937635464</v>
      </c>
      <c r="M3135">
        <v>58.71</v>
      </c>
      <c r="N3135">
        <v>25.75</v>
      </c>
    </row>
    <row r="3136" spans="1:14">
      <c r="A3136" s="1" t="s">
        <v>3148</v>
      </c>
      <c r="B3136">
        <f>HYPERLINK("https://www.suredividend.com/sure-analysis-research-database/","Zillow Group Inc")</f>
        <v>0</v>
      </c>
      <c r="C3136" t="s">
        <v>3191</v>
      </c>
      <c r="D3136">
        <v>34.74</v>
      </c>
      <c r="E3136">
        <v>0</v>
      </c>
      <c r="F3136" t="s">
        <v>3182</v>
      </c>
      <c r="G3136" t="s">
        <v>3182</v>
      </c>
      <c r="H3136">
        <v>0</v>
      </c>
      <c r="I3136">
        <v>7968.009965</v>
      </c>
      <c r="J3136" t="s">
        <v>3182</v>
      </c>
      <c r="K3136">
        <v>-0</v>
      </c>
      <c r="L3136">
        <v>1.593886899654141</v>
      </c>
      <c r="M3136">
        <v>55.68</v>
      </c>
      <c r="N3136">
        <v>30.23</v>
      </c>
    </row>
    <row r="3137" spans="1:14">
      <c r="A3137" s="1" t="s">
        <v>3149</v>
      </c>
      <c r="B3137">
        <f>HYPERLINK("https://www.suredividend.com/sure-analysis-research-database/","Zogenix Inc")</f>
        <v>0</v>
      </c>
      <c r="C3137" t="s">
        <v>3180</v>
      </c>
      <c r="D3137">
        <v>26.68</v>
      </c>
      <c r="E3137">
        <v>0</v>
      </c>
      <c r="F3137" t="s">
        <v>3182</v>
      </c>
      <c r="G3137" t="s">
        <v>3182</v>
      </c>
      <c r="H3137">
        <v>0</v>
      </c>
      <c r="I3137">
        <v>0</v>
      </c>
      <c r="J3137">
        <v>0</v>
      </c>
      <c r="K3137">
        <v>-0</v>
      </c>
    </row>
    <row r="3138" spans="1:14">
      <c r="A3138" s="1" t="s">
        <v>3150</v>
      </c>
      <c r="B3138">
        <f>HYPERLINK("https://www.suredividend.com/sure-analysis-ZION/","Zions Bancorporation N.A")</f>
        <v>0</v>
      </c>
      <c r="C3138" t="s">
        <v>3184</v>
      </c>
      <c r="D3138">
        <v>33.23</v>
      </c>
      <c r="E3138">
        <v>0.04935299428227505</v>
      </c>
      <c r="F3138">
        <v>0</v>
      </c>
      <c r="G3138">
        <v>0.06446777983653984</v>
      </c>
      <c r="H3138">
        <v>1.60880133021677</v>
      </c>
      <c r="I3138">
        <v>4922.86277</v>
      </c>
      <c r="J3138">
        <v>3.442561377335664</v>
      </c>
      <c r="K3138">
        <v>0.1672350655110988</v>
      </c>
      <c r="L3138">
        <v>1.892784142284313</v>
      </c>
      <c r="M3138">
        <v>54.08</v>
      </c>
      <c r="N3138">
        <v>17.74</v>
      </c>
    </row>
    <row r="3139" spans="1:14">
      <c r="A3139" s="1" t="s">
        <v>3151</v>
      </c>
      <c r="B3139">
        <f>HYPERLINK("https://www.suredividend.com/sure-analysis-research-database/","Alaunos Therapeutics Inc")</f>
        <v>0</v>
      </c>
      <c r="C3139" t="s">
        <v>3180</v>
      </c>
      <c r="D3139">
        <v>0.8657</v>
      </c>
      <c r="E3139">
        <v>0</v>
      </c>
      <c r="F3139" t="s">
        <v>3182</v>
      </c>
      <c r="G3139" t="s">
        <v>3182</v>
      </c>
      <c r="H3139">
        <v>0</v>
      </c>
      <c r="I3139">
        <v>187.117442</v>
      </c>
      <c r="J3139">
        <v>0</v>
      </c>
      <c r="K3139" t="s">
        <v>3182</v>
      </c>
      <c r="L3139">
        <v>1.739209741207491</v>
      </c>
      <c r="M3139">
        <v>5.95</v>
      </c>
      <c r="N3139">
        <v>0.7703</v>
      </c>
    </row>
    <row r="3140" spans="1:14">
      <c r="A3140" s="1" t="s">
        <v>3152</v>
      </c>
      <c r="B3140">
        <f>HYPERLINK("https://www.suredividend.com/sure-analysis-research-database/","Zix Corp.")</f>
        <v>0</v>
      </c>
      <c r="C3140" t="s">
        <v>3185</v>
      </c>
      <c r="D3140">
        <v>8.484999999999999</v>
      </c>
      <c r="E3140">
        <v>0</v>
      </c>
      <c r="F3140" t="s">
        <v>3182</v>
      </c>
      <c r="G3140" t="s">
        <v>3182</v>
      </c>
      <c r="H3140">
        <v>0</v>
      </c>
      <c r="I3140">
        <v>0</v>
      </c>
      <c r="J3140">
        <v>0</v>
      </c>
      <c r="K3140">
        <v>-0</v>
      </c>
    </row>
    <row r="3141" spans="1:14">
      <c r="A3141" s="1" t="s">
        <v>3153</v>
      </c>
      <c r="B3141">
        <f>HYPERLINK("https://www.suredividend.com/sure-analysis-research-database/","Zoom Video Communications Inc")</f>
        <v>0</v>
      </c>
      <c r="C3141" t="s">
        <v>3191</v>
      </c>
      <c r="D3141">
        <v>61.28</v>
      </c>
      <c r="E3141">
        <v>0</v>
      </c>
      <c r="F3141" t="s">
        <v>3182</v>
      </c>
      <c r="G3141" t="s">
        <v>3182</v>
      </c>
      <c r="H3141">
        <v>0</v>
      </c>
      <c r="I3141">
        <v>18233.53413</v>
      </c>
      <c r="J3141">
        <v>109.944084629452</v>
      </c>
      <c r="K3141">
        <v>0</v>
      </c>
      <c r="L3141">
        <v>1.889289049027796</v>
      </c>
      <c r="M3141">
        <v>89.67</v>
      </c>
      <c r="N3141">
        <v>58.87</v>
      </c>
    </row>
    <row r="3142" spans="1:14">
      <c r="A3142" s="1" t="s">
        <v>3154</v>
      </c>
      <c r="B3142">
        <f>HYPERLINK("https://www.suredividend.com/sure-analysis-research-database/","Zynga Inc")</f>
        <v>0</v>
      </c>
      <c r="C3142" t="s">
        <v>3191</v>
      </c>
      <c r="D3142">
        <v>8.18</v>
      </c>
      <c r="E3142">
        <v>0</v>
      </c>
      <c r="F3142" t="s">
        <v>3182</v>
      </c>
      <c r="G3142" t="s">
        <v>3182</v>
      </c>
      <c r="H3142">
        <v>0</v>
      </c>
      <c r="I3142">
        <v>0</v>
      </c>
      <c r="J3142">
        <v>0</v>
      </c>
      <c r="K3142">
        <v>-0</v>
      </c>
    </row>
    <row r="3143" spans="1:14">
      <c r="A3143" s="1" t="s">
        <v>3155</v>
      </c>
      <c r="B3143">
        <f>HYPERLINK("https://www.suredividend.com/sure-analysis-research-database/","Zscaler Inc")</f>
        <v>0</v>
      </c>
      <c r="C3143" t="s">
        <v>3185</v>
      </c>
      <c r="D3143">
        <v>159.19</v>
      </c>
      <c r="E3143">
        <v>0</v>
      </c>
      <c r="F3143" t="s">
        <v>3182</v>
      </c>
      <c r="G3143" t="s">
        <v>3182</v>
      </c>
      <c r="H3143">
        <v>0</v>
      </c>
      <c r="I3143">
        <v>23427.796974</v>
      </c>
      <c r="J3143" t="s">
        <v>3182</v>
      </c>
      <c r="K3143">
        <v>-0</v>
      </c>
      <c r="L3143">
        <v>1.910020344140972</v>
      </c>
      <c r="M3143">
        <v>177.69</v>
      </c>
      <c r="N3143">
        <v>84.93000000000001</v>
      </c>
    </row>
    <row r="3144" spans="1:14">
      <c r="A3144" s="1" t="s">
        <v>3156</v>
      </c>
      <c r="B3144">
        <f>HYPERLINK("https://www.suredividend.com/sure-analysis-research-database/","Zosano Pharma Corp")</f>
        <v>0</v>
      </c>
      <c r="C3144" t="s">
        <v>3180</v>
      </c>
      <c r="D3144">
        <v>0.5576</v>
      </c>
      <c r="E3144">
        <v>0</v>
      </c>
      <c r="F3144" t="s">
        <v>3182</v>
      </c>
      <c r="G3144" t="s">
        <v>3182</v>
      </c>
      <c r="H3144">
        <v>0</v>
      </c>
      <c r="I3144">
        <v>0</v>
      </c>
      <c r="J3144">
        <v>0</v>
      </c>
      <c r="K3144" t="s">
        <v>3182</v>
      </c>
    </row>
    <row r="3145" spans="1:14">
      <c r="A3145" s="1" t="s">
        <v>3157</v>
      </c>
      <c r="B3145">
        <f>HYPERLINK("https://www.suredividend.com/sure-analysis-ZTS/","Zoetis Inc")</f>
        <v>0</v>
      </c>
      <c r="C3145" t="s">
        <v>3180</v>
      </c>
      <c r="D3145">
        <v>160.91</v>
      </c>
      <c r="E3145">
        <v>0.009321981231744454</v>
      </c>
      <c r="F3145">
        <v>0.1538461538461537</v>
      </c>
      <c r="G3145">
        <v>0.1798790339597252</v>
      </c>
      <c r="H3145">
        <v>1.494871246167956</v>
      </c>
      <c r="I3145">
        <v>74069.593184</v>
      </c>
      <c r="J3145">
        <v>33.47021833870312</v>
      </c>
      <c r="K3145">
        <v>0.3147097360353592</v>
      </c>
      <c r="L3145">
        <v>1.090814260669544</v>
      </c>
      <c r="M3145">
        <v>194.52</v>
      </c>
      <c r="N3145">
        <v>126.7</v>
      </c>
    </row>
    <row r="3146" spans="1:14">
      <c r="A3146" s="1" t="s">
        <v>3158</v>
      </c>
      <c r="B3146">
        <f>HYPERLINK("https://www.suredividend.com/sure-analysis-research-database/","Zumiez Inc")</f>
        <v>0</v>
      </c>
      <c r="C3146" t="s">
        <v>3186</v>
      </c>
      <c r="D3146">
        <v>16.59</v>
      </c>
      <c r="E3146">
        <v>0</v>
      </c>
      <c r="F3146" t="s">
        <v>3182</v>
      </c>
      <c r="G3146" t="s">
        <v>3182</v>
      </c>
      <c r="H3146">
        <v>0</v>
      </c>
      <c r="I3146">
        <v>328.62046</v>
      </c>
      <c r="J3146" t="s">
        <v>3182</v>
      </c>
      <c r="K3146">
        <v>-0</v>
      </c>
      <c r="L3146">
        <v>1.423274598621787</v>
      </c>
      <c r="M3146">
        <v>28.97</v>
      </c>
      <c r="N3146">
        <v>13.19</v>
      </c>
    </row>
    <row r="3147" spans="1:14">
      <c r="A3147" s="1" t="s">
        <v>3159</v>
      </c>
      <c r="B3147">
        <f>HYPERLINK("https://www.suredividend.com/sure-analysis-research-database/","Zuora Inc")</f>
        <v>0</v>
      </c>
      <c r="C3147" t="s">
        <v>3185</v>
      </c>
      <c r="D3147">
        <v>7.44</v>
      </c>
      <c r="E3147">
        <v>0</v>
      </c>
      <c r="F3147" t="s">
        <v>3182</v>
      </c>
      <c r="G3147" t="s">
        <v>3182</v>
      </c>
      <c r="H3147">
        <v>0</v>
      </c>
      <c r="I3147">
        <v>985.056</v>
      </c>
      <c r="J3147" t="s">
        <v>3182</v>
      </c>
      <c r="K3147">
        <v>-0</v>
      </c>
      <c r="L3147">
        <v>2.153502603980045</v>
      </c>
      <c r="M3147">
        <v>12.12</v>
      </c>
      <c r="N3147">
        <v>5.45</v>
      </c>
    </row>
    <row r="3148" spans="1:14">
      <c r="A3148" s="1" t="s">
        <v>3160</v>
      </c>
      <c r="B3148">
        <f>HYPERLINK("https://www.suredividend.com/sure-analysis-research-database/","Zovio Inc")</f>
        <v>0</v>
      </c>
      <c r="C3148" t="s">
        <v>3188</v>
      </c>
      <c r="D3148">
        <v>0.09280000000000001</v>
      </c>
      <c r="E3148">
        <v>0</v>
      </c>
      <c r="F3148" t="s">
        <v>3182</v>
      </c>
      <c r="G3148" t="s">
        <v>3182</v>
      </c>
      <c r="H3148">
        <v>0</v>
      </c>
      <c r="I3148">
        <v>0</v>
      </c>
      <c r="J3148">
        <v>0</v>
      </c>
      <c r="K3148" t="s">
        <v>3182</v>
      </c>
    </row>
    <row r="3149" spans="1:14">
      <c r="A3149" s="1" t="s">
        <v>3161</v>
      </c>
      <c r="B3149">
        <f>HYPERLINK("https://www.suredividend.com/sure-analysis-research-database/","Zynerba Pharmaceuticals Inc")</f>
        <v>0</v>
      </c>
      <c r="C3149" t="s">
        <v>3180</v>
      </c>
      <c r="D3149">
        <v>1.3</v>
      </c>
      <c r="E3149">
        <v>0</v>
      </c>
      <c r="F3149" t="s">
        <v>3182</v>
      </c>
      <c r="G3149" t="s">
        <v>3182</v>
      </c>
      <c r="H3149">
        <v>0</v>
      </c>
      <c r="I3149">
        <v>0</v>
      </c>
      <c r="J3149">
        <v>0</v>
      </c>
      <c r="K3149" t="s">
        <v>3182</v>
      </c>
    </row>
    <row r="3150" spans="1:14">
      <c r="A3150" s="1" t="s">
        <v>3162</v>
      </c>
      <c r="B3150">
        <f>HYPERLINK("https://www.suredividend.com/sure-analysis-research-database/","Zynex Inc")</f>
        <v>0</v>
      </c>
      <c r="C3150" t="s">
        <v>3180</v>
      </c>
      <c r="D3150">
        <v>9.08</v>
      </c>
      <c r="E3150">
        <v>0</v>
      </c>
      <c r="F3150" t="s">
        <v>3182</v>
      </c>
      <c r="G3150" t="s">
        <v>3182</v>
      </c>
      <c r="H3150">
        <v>0</v>
      </c>
      <c r="I3150">
        <v>307.846295</v>
      </c>
      <c r="J3150">
        <v>19.2777440766485</v>
      </c>
      <c r="K3150">
        <v>0</v>
      </c>
      <c r="L3150">
        <v>1.125572451713052</v>
      </c>
      <c r="M3150">
        <v>17.25</v>
      </c>
      <c r="N3150">
        <v>6.88</v>
      </c>
    </row>
    <row r="3151" spans="1:14">
      <c r="A3151" s="1" t="s">
        <v>3163</v>
      </c>
      <c r="B3151">
        <f>HYPERLINK("https://www.suredividend.com/sure-analysis-research-database/","Truecar Inc")</f>
        <v>0</v>
      </c>
      <c r="C3151" t="s">
        <v>3191</v>
      </c>
      <c r="D3151">
        <v>1.99</v>
      </c>
      <c r="E3151">
        <v>0</v>
      </c>
      <c r="F3151" t="s">
        <v>3182</v>
      </c>
      <c r="G3151" t="s">
        <v>3182</v>
      </c>
      <c r="H3151">
        <v>0</v>
      </c>
      <c r="I3151">
        <v>179.220757</v>
      </c>
      <c r="J3151" t="s">
        <v>3182</v>
      </c>
      <c r="K3151">
        <v>-0</v>
      </c>
      <c r="L3151">
        <v>1.70168404931463</v>
      </c>
      <c r="M3151">
        <v>3.49</v>
      </c>
      <c r="N3151">
        <v>1.66</v>
      </c>
    </row>
    <row r="3152" spans="1:14">
      <c r="A3152" s="1" t="s">
        <v>3164</v>
      </c>
      <c r="B3152">
        <f>HYPERLINK("https://www.suredividend.com/sure-analysis-research-database/","Broadmark Realty Capital Inc")</f>
        <v>0</v>
      </c>
      <c r="C3152" t="s">
        <v>3187</v>
      </c>
      <c r="D3152">
        <v>4.82</v>
      </c>
      <c r="E3152">
        <v>0.123695747098898</v>
      </c>
      <c r="F3152">
        <v>0</v>
      </c>
      <c r="G3152">
        <v>-0.1294494367038759</v>
      </c>
      <c r="H3152">
        <v>0.596213501016689</v>
      </c>
      <c r="I3152">
        <v>635.036485</v>
      </c>
      <c r="J3152">
        <v>0</v>
      </c>
      <c r="K3152" t="s">
        <v>3182</v>
      </c>
      <c r="L3152">
        <v>1.198799884620383</v>
      </c>
      <c r="M3152">
        <v>7.02</v>
      </c>
      <c r="N3152">
        <v>3.38</v>
      </c>
    </row>
    <row r="3153" spans="1:14">
      <c r="A3153" s="1" t="s">
        <v>3165</v>
      </c>
      <c r="B3153">
        <f>HYPERLINK("https://www.suredividend.com/sure-analysis-CRT/","Cross Timbers Royalty Trust")</f>
        <v>0</v>
      </c>
      <c r="C3153" t="s">
        <v>3189</v>
      </c>
      <c r="D3153">
        <v>18.5</v>
      </c>
      <c r="E3153">
        <v>0.1162162162162162</v>
      </c>
      <c r="F3153">
        <v>0.4268302180685355</v>
      </c>
      <c r="G3153">
        <v>0.1519846921744439</v>
      </c>
      <c r="H3153">
        <v>1.863327679903892</v>
      </c>
      <c r="I3153">
        <v>111</v>
      </c>
      <c r="J3153">
        <v>0</v>
      </c>
      <c r="K3153" t="s">
        <v>3182</v>
      </c>
      <c r="L3153">
        <v>1.039266098234457</v>
      </c>
      <c r="M3153">
        <v>28.51</v>
      </c>
      <c r="N3153">
        <v>12.74</v>
      </c>
    </row>
    <row r="3154" spans="1:14">
      <c r="A3154" s="1" t="s">
        <v>3166</v>
      </c>
      <c r="B3154">
        <f>HYPERLINK("https://www.suredividend.com/sure-analysis-DREUF/","Dream Industrial Real Estate Investment Trust")</f>
        <v>0</v>
      </c>
      <c r="C3154" t="s">
        <v>3184</v>
      </c>
      <c r="D3154">
        <v>8.609999999999999</v>
      </c>
      <c r="E3154">
        <v>0.06039488966318235</v>
      </c>
      <c r="F3154">
        <v>0</v>
      </c>
      <c r="G3154">
        <v>0</v>
      </c>
      <c r="H3154">
        <v>0.6999599933624261</v>
      </c>
      <c r="I3154">
        <v>2342.977317</v>
      </c>
      <c r="J3154">
        <v>0</v>
      </c>
      <c r="K3154" t="s">
        <v>3182</v>
      </c>
      <c r="M3154">
        <v>10.99</v>
      </c>
      <c r="N3154">
        <v>7.82</v>
      </c>
    </row>
    <row r="3155" spans="1:14">
      <c r="A3155" s="1" t="s">
        <v>3167</v>
      </c>
      <c r="B3155">
        <f>HYPERLINK("https://www.suredividend.com/sure-analysis-GAIN/","Gladstone Investment Corporation")</f>
        <v>0</v>
      </c>
      <c r="C3155" t="s">
        <v>3184</v>
      </c>
      <c r="D3155">
        <v>14.3</v>
      </c>
      <c r="E3155">
        <v>0.06713286713286713</v>
      </c>
      <c r="F3155">
        <v>0</v>
      </c>
      <c r="G3155">
        <v>0.01299136822423641</v>
      </c>
      <c r="H3155">
        <v>0.8887880212389101</v>
      </c>
      <c r="I3155">
        <v>484.708153</v>
      </c>
      <c r="J3155">
        <v>0</v>
      </c>
      <c r="K3155" t="s">
        <v>3182</v>
      </c>
      <c r="L3155">
        <v>0.7994388234450821</v>
      </c>
      <c r="M3155">
        <v>14.35</v>
      </c>
      <c r="N3155">
        <v>10.88</v>
      </c>
    </row>
    <row r="3156" spans="1:14">
      <c r="A3156" s="1" t="s">
        <v>3168</v>
      </c>
      <c r="B3156">
        <f>HYPERLINK("https://www.suredividend.com/sure-analysis-GLAD/","Gladstone Capital Corp.")</f>
        <v>0</v>
      </c>
      <c r="C3156" t="s">
        <v>3184</v>
      </c>
      <c r="D3156">
        <v>9.92</v>
      </c>
      <c r="E3156">
        <v>0.09979838709677419</v>
      </c>
      <c r="F3156">
        <v>0</v>
      </c>
      <c r="G3156">
        <v>0.04095039696925684</v>
      </c>
      <c r="H3156">
        <v>0.882691682987322</v>
      </c>
      <c r="I3156">
        <v>382.918805</v>
      </c>
      <c r="J3156">
        <v>0</v>
      </c>
      <c r="K3156" t="s">
        <v>3182</v>
      </c>
      <c r="L3156">
        <v>0.701305896954017</v>
      </c>
      <c r="M3156">
        <v>10.98</v>
      </c>
      <c r="N3156">
        <v>8.1</v>
      </c>
    </row>
    <row r="3157" spans="1:14">
      <c r="A3157" s="1" t="s">
        <v>3169</v>
      </c>
      <c r="B3157">
        <f>HYPERLINK("https://www.suredividend.com/sure-analysis-research-database/","Harvest Capital Credit Corp")</f>
        <v>0</v>
      </c>
      <c r="C3157" t="s">
        <v>3184</v>
      </c>
      <c r="D3157">
        <v>9.66</v>
      </c>
      <c r="E3157">
        <v>0</v>
      </c>
      <c r="F3157">
        <v>1.75</v>
      </c>
      <c r="G3157">
        <v>0.1828776201941695</v>
      </c>
      <c r="H3157">
        <v>0</v>
      </c>
      <c r="I3157">
        <v>0</v>
      </c>
      <c r="J3157">
        <v>0</v>
      </c>
      <c r="K3157" t="s">
        <v>3182</v>
      </c>
    </row>
    <row r="3158" spans="1:14">
      <c r="A3158" s="1" t="s">
        <v>3170</v>
      </c>
      <c r="B3158">
        <f>HYPERLINK("https://www.suredividend.com/sure-analysis-HRZN/","Horizon Technology Finance Corp")</f>
        <v>0</v>
      </c>
      <c r="C3158" t="s">
        <v>3184</v>
      </c>
      <c r="D3158">
        <v>11.88</v>
      </c>
      <c r="E3158">
        <v>0.1111111111111111</v>
      </c>
      <c r="F3158">
        <v>0</v>
      </c>
      <c r="G3158">
        <v>0.01924487649145656</v>
      </c>
      <c r="H3158">
        <v>1.215513306638259</v>
      </c>
      <c r="I3158">
        <v>395.966685</v>
      </c>
      <c r="J3158">
        <v>0</v>
      </c>
      <c r="K3158" t="s">
        <v>3182</v>
      </c>
      <c r="L3158">
        <v>0.8919598240880381</v>
      </c>
      <c r="M3158">
        <v>12.81</v>
      </c>
      <c r="N3158">
        <v>9.1</v>
      </c>
    </row>
    <row r="3159" spans="1:14">
      <c r="A3159" s="1" t="s">
        <v>3171</v>
      </c>
      <c r="B3159">
        <f>HYPERLINK("https://www.suredividend.com/sure-analysis-MAIN/","Main Street Capital Corporation")</f>
        <v>0</v>
      </c>
      <c r="C3159" t="s">
        <v>3184</v>
      </c>
      <c r="D3159">
        <v>40.19</v>
      </c>
      <c r="E3159">
        <v>0.07016670813635233</v>
      </c>
      <c r="F3159">
        <v>0.02173913043478271</v>
      </c>
      <c r="G3159">
        <v>0.01794867279231127</v>
      </c>
      <c r="H3159">
        <v>3.351924192564752</v>
      </c>
      <c r="I3159">
        <v>3312.782124</v>
      </c>
      <c r="J3159">
        <v>9.526003772120012</v>
      </c>
      <c r="K3159">
        <v>0.7549378812082774</v>
      </c>
      <c r="L3159">
        <v>0.6488238691743961</v>
      </c>
      <c r="M3159">
        <v>42.14</v>
      </c>
      <c r="N3159">
        <v>32.89</v>
      </c>
    </row>
    <row r="3160" spans="1:14">
      <c r="A3160" s="1" t="s">
        <v>3172</v>
      </c>
      <c r="B3160">
        <f>HYPERLINK("https://www.suredividend.com/sure-analysis-OXSQ/","Oxford Square Capital Corp")</f>
        <v>0</v>
      </c>
      <c r="C3160" t="s">
        <v>3184</v>
      </c>
      <c r="D3160">
        <v>2.96</v>
      </c>
      <c r="E3160">
        <v>0.1418918918918919</v>
      </c>
      <c r="F3160">
        <v>0</v>
      </c>
      <c r="G3160">
        <v>0</v>
      </c>
      <c r="H3160">
        <v>0.371985813003072</v>
      </c>
      <c r="I3160">
        <v>166.976785</v>
      </c>
      <c r="J3160" t="s">
        <v>3182</v>
      </c>
      <c r="K3160" t="s">
        <v>3182</v>
      </c>
      <c r="L3160">
        <v>0.682552139797802</v>
      </c>
      <c r="M3160">
        <v>3.12</v>
      </c>
      <c r="N3160">
        <v>2.34</v>
      </c>
    </row>
    <row r="3161" spans="1:14">
      <c r="A3161" s="1" t="s">
        <v>3173</v>
      </c>
      <c r="B3161">
        <f>HYPERLINK("https://www.suredividend.com/sure-analysis-PBA/","Pembina Pipeline Corporation")</f>
        <v>0</v>
      </c>
      <c r="C3161" t="s">
        <v>3189</v>
      </c>
      <c r="D3161">
        <v>31.77</v>
      </c>
      <c r="E3161">
        <v>0.06169342146679257</v>
      </c>
      <c r="F3161">
        <v>2.068965517241379</v>
      </c>
      <c r="G3161">
        <v>0.2602200794124603</v>
      </c>
      <c r="H3161">
        <v>2.370314320959417</v>
      </c>
      <c r="I3161">
        <v>17448.835233</v>
      </c>
      <c r="J3161">
        <v>0</v>
      </c>
      <c r="K3161" t="s">
        <v>3182</v>
      </c>
      <c r="L3161">
        <v>0.8759596918813841</v>
      </c>
      <c r="M3161">
        <v>35.11</v>
      </c>
      <c r="N3161">
        <v>28.15</v>
      </c>
    </row>
    <row r="3162" spans="1:14">
      <c r="A3162" s="1" t="s">
        <v>3174</v>
      </c>
      <c r="B3162">
        <f>HYPERLINK("https://www.suredividend.com/sure-analysis-PBT/","Permian Basin Royalty Trust")</f>
        <v>0</v>
      </c>
      <c r="C3162" t="s">
        <v>3189</v>
      </c>
      <c r="D3162">
        <v>19.42</v>
      </c>
      <c r="E3162">
        <v>0.02059732234809475</v>
      </c>
      <c r="F3162">
        <v>-0.1815699528364936</v>
      </c>
      <c r="G3162">
        <v>0.1726370781590467</v>
      </c>
      <c r="H3162">
        <v>0.451397037695954</v>
      </c>
      <c r="I3162">
        <v>905.142818</v>
      </c>
      <c r="J3162">
        <v>0</v>
      </c>
      <c r="K3162" t="s">
        <v>3182</v>
      </c>
      <c r="L3162">
        <v>0.681390106315629</v>
      </c>
      <c r="M3162">
        <v>27.48</v>
      </c>
      <c r="N3162">
        <v>16.32</v>
      </c>
    </row>
    <row r="3163" spans="1:14">
      <c r="A3163" s="1" t="s">
        <v>3175</v>
      </c>
      <c r="B3163">
        <f>HYPERLINK("https://www.suredividend.com/sure-analysis-PFLT/","PennantPark Floating Rate Capital Ltd")</f>
        <v>0</v>
      </c>
      <c r="C3163" t="s">
        <v>3184</v>
      </c>
      <c r="D3163">
        <v>10.49</v>
      </c>
      <c r="E3163">
        <v>0.117254528122021</v>
      </c>
      <c r="F3163">
        <v>0</v>
      </c>
      <c r="G3163">
        <v>0.01531324576182613</v>
      </c>
      <c r="H3163">
        <v>1.134144494180436</v>
      </c>
      <c r="I3163">
        <v>616.127024</v>
      </c>
      <c r="J3163">
        <v>0</v>
      </c>
      <c r="K3163" t="s">
        <v>3182</v>
      </c>
      <c r="L3163">
        <v>0.743847331721316</v>
      </c>
      <c r="M3163">
        <v>11.24</v>
      </c>
      <c r="N3163">
        <v>8.93</v>
      </c>
    </row>
    <row r="3164" spans="1:14">
      <c r="A3164" s="1" t="s">
        <v>3176</v>
      </c>
      <c r="B3164">
        <f>HYPERLINK("https://www.suredividend.com/sure-analysis-PRT/","PermRock Royalty Trust")</f>
        <v>0</v>
      </c>
      <c r="C3164" t="s">
        <v>3189</v>
      </c>
      <c r="D3164">
        <v>5.32</v>
      </c>
      <c r="E3164">
        <v>0.09774436090225563</v>
      </c>
      <c r="F3164">
        <v>0.001299529227147822</v>
      </c>
      <c r="G3164">
        <v>-0.1046892937162932</v>
      </c>
      <c r="H3164">
        <v>0.588682464128883</v>
      </c>
      <c r="I3164">
        <v>64.721694</v>
      </c>
      <c r="J3164">
        <v>0</v>
      </c>
      <c r="K3164" t="s">
        <v>3182</v>
      </c>
      <c r="L3164">
        <v>0.4913763089472901</v>
      </c>
      <c r="M3164">
        <v>7.36</v>
      </c>
      <c r="N3164">
        <v>3.97</v>
      </c>
    </row>
    <row r="3165" spans="1:14">
      <c r="A3165" s="1" t="s">
        <v>3177</v>
      </c>
      <c r="B3165">
        <f>HYPERLINK("https://www.suredividend.com/sure-analysis-PSEC/","Prospect Capital Corp")</f>
        <v>0</v>
      </c>
      <c r="C3165" t="s">
        <v>3184</v>
      </c>
      <c r="D3165">
        <v>5.32</v>
      </c>
      <c r="E3165">
        <v>0.1353383458646616</v>
      </c>
      <c r="F3165">
        <v>0</v>
      </c>
      <c r="G3165">
        <v>0</v>
      </c>
      <c r="H3165">
        <v>0.664628720908345</v>
      </c>
      <c r="I3165">
        <v>2168.27955</v>
      </c>
      <c r="J3165">
        <v>0</v>
      </c>
      <c r="K3165" t="s">
        <v>3182</v>
      </c>
      <c r="L3165">
        <v>0.821214413626387</v>
      </c>
      <c r="M3165">
        <v>6.8</v>
      </c>
      <c r="N3165">
        <v>5.03</v>
      </c>
    </row>
    <row r="3166" spans="1:14">
      <c r="A3166" s="1" t="s">
        <v>3178</v>
      </c>
      <c r="B3166">
        <f>HYPERLINK("https://www.suredividend.com/sure-analysis-SBR/","Sabine Royalty Trust")</f>
        <v>0</v>
      </c>
      <c r="C3166" t="s">
        <v>3189</v>
      </c>
      <c r="D3166">
        <v>57.49</v>
      </c>
      <c r="E3166">
        <v>0.1012349973908506</v>
      </c>
      <c r="F3166">
        <v>-0.130371017567947</v>
      </c>
      <c r="G3166">
        <v>-0.1752219377195198</v>
      </c>
      <c r="H3166">
        <v>5.914419245876768</v>
      </c>
      <c r="I3166">
        <v>838.166544</v>
      </c>
      <c r="J3166">
        <v>0</v>
      </c>
      <c r="K3166" t="s">
        <v>3182</v>
      </c>
      <c r="L3166">
        <v>0.636459394923499</v>
      </c>
      <c r="M3166">
        <v>85.89</v>
      </c>
      <c r="N3166">
        <v>55.6</v>
      </c>
    </row>
    <row r="3167" spans="1:14">
      <c r="A3167" s="1" t="s">
        <v>3179</v>
      </c>
      <c r="B3167">
        <f>HYPERLINK("https://www.suredividend.com/sure-analysis-research-database/","SLR Senior Investment Corp")</f>
        <v>0</v>
      </c>
      <c r="C3167" t="s">
        <v>3184</v>
      </c>
      <c r="D3167">
        <v>14.16</v>
      </c>
      <c r="E3167">
        <v>0</v>
      </c>
      <c r="F3167">
        <v>0</v>
      </c>
      <c r="G3167">
        <v>0</v>
      </c>
      <c r="H3167">
        <v>1.200000017881393</v>
      </c>
      <c r="I3167">
        <v>0</v>
      </c>
      <c r="J3167">
        <v>0</v>
      </c>
      <c r="K3167" t="s">
        <v>3182</v>
      </c>
    </row>
  </sheetData>
  <autoFilter ref="A1:O3167"/>
  <conditionalFormatting sqref="A1:N1">
    <cfRule type="cellIs" dxfId="7" priority="15" operator="notEqual">
      <formula>-13.345</formula>
    </cfRule>
  </conditionalFormatting>
  <conditionalFormatting sqref="A2:A3167">
    <cfRule type="cellIs" dxfId="0" priority="1" operator="notEqual">
      <formula>"None"</formula>
    </cfRule>
  </conditionalFormatting>
  <conditionalFormatting sqref="B2:B3167">
    <cfRule type="cellIs" dxfId="1" priority="2" operator="notEqual">
      <formula>"None"</formula>
    </cfRule>
  </conditionalFormatting>
  <conditionalFormatting sqref="C2:C3167">
    <cfRule type="cellIs" dxfId="0" priority="3" operator="notEqual">
      <formula>"None"</formula>
    </cfRule>
  </conditionalFormatting>
  <conditionalFormatting sqref="D2:D3167">
    <cfRule type="cellIs" dxfId="2" priority="4" operator="notEqual">
      <formula>"None"</formula>
    </cfRule>
  </conditionalFormatting>
  <conditionalFormatting sqref="E2:E3167">
    <cfRule type="cellIs" dxfId="3" priority="5" operator="notEqual">
      <formula>"None"</formula>
    </cfRule>
  </conditionalFormatting>
  <conditionalFormatting sqref="F2:F3167">
    <cfRule type="cellIs" dxfId="3" priority="6" operator="notEqual">
      <formula>"None"</formula>
    </cfRule>
  </conditionalFormatting>
  <conditionalFormatting sqref="G2:G3167">
    <cfRule type="cellIs" dxfId="3" priority="7" operator="notEqual">
      <formula>"None"</formula>
    </cfRule>
  </conditionalFormatting>
  <conditionalFormatting sqref="H2:H3167">
    <cfRule type="cellIs" dxfId="2" priority="8" operator="notEqual">
      <formula>"None"</formula>
    </cfRule>
  </conditionalFormatting>
  <conditionalFormatting sqref="I2:I3167">
    <cfRule type="cellIs" dxfId="4" priority="9" operator="notEqual">
      <formula>"None"</formula>
    </cfRule>
  </conditionalFormatting>
  <conditionalFormatting sqref="J2:J3167">
    <cfRule type="cellIs" dxfId="5" priority="10" operator="notEqual">
      <formula>"None"</formula>
    </cfRule>
  </conditionalFormatting>
  <conditionalFormatting sqref="K2:K3167">
    <cfRule type="cellIs" dxfId="3" priority="11" operator="notEqual">
      <formula>"None"</formula>
    </cfRule>
  </conditionalFormatting>
  <conditionalFormatting sqref="L2:L3167">
    <cfRule type="cellIs" dxfId="6" priority="12" operator="notEqual">
      <formula>"None"</formula>
    </cfRule>
  </conditionalFormatting>
  <conditionalFormatting sqref="M2:M3167">
    <cfRule type="cellIs" dxfId="2" priority="13" operator="notEqual">
      <formula>"None"</formula>
    </cfRule>
  </conditionalFormatting>
  <conditionalFormatting sqref="N2:N3167">
    <cfRule type="cellIs" dxfId="2" priority="14" operator="notEqual">
      <formula>"None"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16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  <col min="8" max="8" width="25.7109375" customWidth="1"/>
    <col min="9" max="9" width="25.7109375" customWidth="1"/>
  </cols>
  <sheetData>
    <row r="1" spans="1:9">
      <c r="A1" s="1" t="s">
        <v>13</v>
      </c>
      <c r="B1" s="1" t="s">
        <v>0</v>
      </c>
      <c r="C1" s="1" t="s">
        <v>3192</v>
      </c>
      <c r="D1" s="1" t="s">
        <v>3193</v>
      </c>
      <c r="E1" s="1" t="s">
        <v>3194</v>
      </c>
      <c r="F1" s="1" t="s">
        <v>3195</v>
      </c>
      <c r="G1" s="1" t="s">
        <v>3196</v>
      </c>
      <c r="H1" s="1" t="s">
        <v>3197</v>
      </c>
      <c r="I1" s="1" t="s">
        <v>3198</v>
      </c>
    </row>
    <row r="2" spans="1:9">
      <c r="A2" s="1" t="s">
        <v>14</v>
      </c>
      <c r="B2">
        <f>HYPERLINK("https://www.suredividend.com/sure-analysis-research-database/","Agilent Technologies Inc.")</f>
        <v>0</v>
      </c>
      <c r="C2">
        <v>-0.05798016230838501</v>
      </c>
      <c r="D2">
        <v>-0.180325296383765</v>
      </c>
      <c r="E2">
        <v>-0.220334732904755</v>
      </c>
      <c r="F2">
        <v>-0.298019510582455</v>
      </c>
      <c r="G2">
        <v>-0.222236284720929</v>
      </c>
      <c r="H2">
        <v>-0.329224913512583</v>
      </c>
      <c r="I2">
        <v>0.643548125738432</v>
      </c>
    </row>
    <row r="3" spans="1:9">
      <c r="A3" s="1" t="s">
        <v>15</v>
      </c>
      <c r="B3">
        <f>HYPERLINK("https://www.suredividend.com/sure-analysis-research-database/","Alcoa Corp")</f>
        <v>0</v>
      </c>
      <c r="C3">
        <v>-0.09218485024706301</v>
      </c>
      <c r="D3">
        <v>-0.226092583906763</v>
      </c>
      <c r="E3">
        <v>-0.261962325257478</v>
      </c>
      <c r="F3">
        <v>-0.419822185625744</v>
      </c>
      <c r="G3">
        <v>-0.301544265000589</v>
      </c>
      <c r="H3">
        <v>-0.435513905369005</v>
      </c>
      <c r="I3">
        <v>-0.278796278621994</v>
      </c>
    </row>
    <row r="4" spans="1:9">
      <c r="A4" s="1" t="s">
        <v>16</v>
      </c>
      <c r="B4">
        <f>HYPERLINK("https://www.suredividend.com/sure-analysis-research-database/","Ares Acquisition Corporation")</f>
        <v>0</v>
      </c>
      <c r="C4">
        <v>0.001860465116279</v>
      </c>
      <c r="D4">
        <v>0.013170272812793</v>
      </c>
      <c r="E4">
        <v>0.038572806171649</v>
      </c>
      <c r="F4">
        <v>0.06951340615690101</v>
      </c>
      <c r="G4">
        <v>0.08024072216649901</v>
      </c>
      <c r="H4">
        <v>0.09562563580874801</v>
      </c>
      <c r="I4">
        <v>0.091185410334346</v>
      </c>
    </row>
    <row r="5" spans="1:9">
      <c r="A5" s="1" t="s">
        <v>17</v>
      </c>
      <c r="B5">
        <f>HYPERLINK("https://www.suredividend.com/sure-analysis-research-database/","American Airlines Group Inc")</f>
        <v>0</v>
      </c>
      <c r="C5">
        <v>-0.105882352941176</v>
      </c>
      <c r="D5">
        <v>-0.28526645768025</v>
      </c>
      <c r="E5">
        <v>-0.172113289760348</v>
      </c>
      <c r="F5">
        <v>-0.10377358490566</v>
      </c>
      <c r="G5">
        <v>-0.160530191458026</v>
      </c>
      <c r="H5">
        <v>-0.425113464447806</v>
      </c>
      <c r="I5">
        <v>-0.6802557953637091</v>
      </c>
    </row>
    <row r="6" spans="1:9">
      <c r="A6" s="1" t="s">
        <v>18</v>
      </c>
      <c r="B6">
        <f>HYPERLINK("https://www.suredividend.com/sure-analysis-research-database/","Atlantic American Corp.")</f>
        <v>0</v>
      </c>
      <c r="C6">
        <v>-0.04712041884816701</v>
      </c>
      <c r="D6">
        <v>0.05550078292640401</v>
      </c>
      <c r="E6">
        <v>-0.155609167671893</v>
      </c>
      <c r="F6">
        <v>-0.206453019402659</v>
      </c>
      <c r="G6">
        <v>-0.380762818549896</v>
      </c>
      <c r="H6">
        <v>-0.562552577815166</v>
      </c>
      <c r="I6">
        <v>-0.389691827906508</v>
      </c>
    </row>
    <row r="7" spans="1:9">
      <c r="A7" s="1" t="s">
        <v>19</v>
      </c>
      <c r="B7">
        <f>HYPERLINK("https://www.suredividend.com/sure-analysis-research-database/","Aarons Company Inc (The)")</f>
        <v>0</v>
      </c>
      <c r="C7">
        <v>-0.269809428284854</v>
      </c>
      <c r="D7">
        <v>-0.4820127504553731</v>
      </c>
      <c r="E7">
        <v>-0.392472669615288</v>
      </c>
      <c r="F7">
        <v>-0.370231318880949</v>
      </c>
      <c r="G7">
        <v>-0.222662381343897</v>
      </c>
      <c r="H7">
        <v>-0.6955770863214581</v>
      </c>
      <c r="I7">
        <v>-0.725283018867924</v>
      </c>
    </row>
    <row r="8" spans="1:9">
      <c r="A8" s="1" t="s">
        <v>20</v>
      </c>
      <c r="B8">
        <f>HYPERLINK("https://www.suredividend.com/sure-analysis-research-database/","Applied Optoelectronics Inc")</f>
        <v>0</v>
      </c>
      <c r="C8">
        <v>-0.239574090505767</v>
      </c>
      <c r="D8">
        <v>0.159675236806495</v>
      </c>
      <c r="E8">
        <v>3.632432432432432</v>
      </c>
      <c r="F8">
        <v>3.534391534391535</v>
      </c>
      <c r="G8">
        <v>2.308880308880309</v>
      </c>
      <c r="H8">
        <v>0.09033078880407101</v>
      </c>
      <c r="I8">
        <v>-0.5817471937530501</v>
      </c>
    </row>
    <row r="9" spans="1:9">
      <c r="A9" s="1" t="s">
        <v>21</v>
      </c>
      <c r="B9">
        <f>HYPERLINK("https://www.suredividend.com/sure-analysis-research-database/","AAON Inc.")</f>
        <v>0</v>
      </c>
      <c r="C9">
        <v>-0.003682272488164</v>
      </c>
      <c r="D9">
        <v>-0.198052291732825</v>
      </c>
      <c r="E9">
        <v>-0.127226478738241</v>
      </c>
      <c r="F9">
        <v>0.138684200506215</v>
      </c>
      <c r="G9">
        <v>0.358624828737234</v>
      </c>
      <c r="H9">
        <v>0.204114587969026</v>
      </c>
      <c r="I9">
        <v>1.263609744437583</v>
      </c>
    </row>
    <row r="10" spans="1:9">
      <c r="A10" s="1" t="s">
        <v>22</v>
      </c>
      <c r="B10">
        <f>HYPERLINK("https://www.suredividend.com/sure-analysis-AAP/","Advance Auto Parts Inc")</f>
        <v>0</v>
      </c>
      <c r="C10">
        <v>-0.0137284381177</v>
      </c>
      <c r="D10">
        <v>-0.236079445428886</v>
      </c>
      <c r="E10">
        <v>-0.569866962630262</v>
      </c>
      <c r="F10">
        <v>-0.632344770878705</v>
      </c>
      <c r="G10">
        <v>-0.70770227151886</v>
      </c>
      <c r="H10">
        <v>-0.7520054114723961</v>
      </c>
      <c r="I10">
        <v>-0.651342141762941</v>
      </c>
    </row>
    <row r="11" spans="1:9">
      <c r="A11" s="1" t="s">
        <v>23</v>
      </c>
      <c r="B11">
        <f>HYPERLINK("https://www.suredividend.com/sure-analysis-AAPL/","Apple Inc")</f>
        <v>0</v>
      </c>
      <c r="C11">
        <v>0.021985611510791</v>
      </c>
      <c r="D11">
        <v>-0.07544998724363601</v>
      </c>
      <c r="E11">
        <v>0.057886157937631</v>
      </c>
      <c r="F11">
        <v>0.3743425105802</v>
      </c>
      <c r="G11">
        <v>0.23485036036462</v>
      </c>
      <c r="H11">
        <v>0.200466476245204</v>
      </c>
      <c r="I11">
        <v>2.583790296701589</v>
      </c>
    </row>
    <row r="12" spans="1:9">
      <c r="A12" s="1" t="s">
        <v>24</v>
      </c>
      <c r="B12">
        <f>HYPERLINK("https://www.suredividend.com/sure-analysis-AAT/","American Assets Trust Inc")</f>
        <v>0</v>
      </c>
      <c r="C12">
        <v>0.0005252100840330001</v>
      </c>
      <c r="D12">
        <v>-0.130791869139689</v>
      </c>
      <c r="E12">
        <v>0.111584401640827</v>
      </c>
      <c r="F12">
        <v>-0.246588886691714</v>
      </c>
      <c r="G12">
        <v>-0.265066144047035</v>
      </c>
      <c r="H12">
        <v>-0.449687578538682</v>
      </c>
      <c r="I12">
        <v>-0.397003057716778</v>
      </c>
    </row>
    <row r="13" spans="1:9">
      <c r="A13" s="1" t="s">
        <v>25</v>
      </c>
      <c r="B13">
        <f>HYPERLINK("https://www.suredividend.com/sure-analysis-research-database/","Atlas Air Worldwide Holdings Inc.")</f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>
      <c r="A14" s="1" t="s">
        <v>26</v>
      </c>
      <c r="B14">
        <f>HYPERLINK("https://www.suredividend.com/sure-analysis-ABBV/","Abbvie Inc")</f>
        <v>0</v>
      </c>
      <c r="C14">
        <v>-0.023986788462796</v>
      </c>
      <c r="D14">
        <v>-0.031369929330437</v>
      </c>
      <c r="E14">
        <v>-0.035100362763468</v>
      </c>
      <c r="F14">
        <v>-0.07773402997911601</v>
      </c>
      <c r="G14">
        <v>0.031327119166299</v>
      </c>
      <c r="H14">
        <v>0.328879617012553</v>
      </c>
      <c r="I14">
        <v>1.274311205657996</v>
      </c>
    </row>
    <row r="15" spans="1:9">
      <c r="A15" s="1" t="s">
        <v>27</v>
      </c>
      <c r="B15">
        <f>HYPERLINK("https://www.suredividend.com/sure-analysis-research-database/","Ameris Bancorp")</f>
        <v>0</v>
      </c>
      <c r="C15">
        <v>0.07175006619009701</v>
      </c>
      <c r="D15">
        <v>-0.067882472137791</v>
      </c>
      <c r="E15">
        <v>0.339718619374952</v>
      </c>
      <c r="F15">
        <v>-0.123084455112235</v>
      </c>
      <c r="G15">
        <v>-0.183657006876802</v>
      </c>
      <c r="H15">
        <v>-0.206703823029105</v>
      </c>
      <c r="I15">
        <v>0.010184193911444</v>
      </c>
    </row>
    <row r="16" spans="1:9">
      <c r="A16" s="1" t="s">
        <v>28</v>
      </c>
      <c r="B16">
        <f>HYPERLINK("https://www.suredividend.com/sure-analysis-research-database/","Abeona Therapeutics Inc")</f>
        <v>0</v>
      </c>
      <c r="C16">
        <v>-0.022222222222222</v>
      </c>
      <c r="D16">
        <v>0.237499999999999</v>
      </c>
      <c r="E16">
        <v>0.207317073170731</v>
      </c>
      <c r="F16">
        <v>0.285714285714285</v>
      </c>
      <c r="G16">
        <v>-0.112107623318385</v>
      </c>
      <c r="H16">
        <v>3.351648351648351</v>
      </c>
      <c r="I16">
        <v>-0.570964247020585</v>
      </c>
    </row>
    <row r="17" spans="1:9">
      <c r="A17" s="1" t="s">
        <v>29</v>
      </c>
      <c r="B17">
        <f>HYPERLINK("https://www.suredividend.com/sure-analysis-research-database/","Asbury Automotive Group Inc")</f>
        <v>0</v>
      </c>
      <c r="C17">
        <v>-0.07804432259538401</v>
      </c>
      <c r="D17">
        <v>-0.103921481547275</v>
      </c>
      <c r="E17">
        <v>0.029071250063752</v>
      </c>
      <c r="F17">
        <v>0.125634588563458</v>
      </c>
      <c r="G17">
        <v>0.29889275138406</v>
      </c>
      <c r="H17">
        <v>0.09135655560363401</v>
      </c>
      <c r="I17">
        <v>1.961978860833823</v>
      </c>
    </row>
    <row r="18" spans="1:9">
      <c r="A18" s="1" t="s">
        <v>30</v>
      </c>
      <c r="B18">
        <f>HYPERLINK("https://www.suredividend.com/sure-analysis-research-database/","ARCA biopharma Inc")</f>
        <v>0</v>
      </c>
      <c r="C18">
        <v>-0.104477611940298</v>
      </c>
      <c r="D18">
        <v>-0.121951219512195</v>
      </c>
      <c r="E18">
        <v>-0.122422114962702</v>
      </c>
      <c r="F18">
        <v>-0.240506329113924</v>
      </c>
      <c r="G18">
        <v>-0.152941176470588</v>
      </c>
      <c r="H18">
        <v>-0.320754716981132</v>
      </c>
      <c r="I18">
        <v>-0.869960988296488</v>
      </c>
    </row>
    <row r="19" spans="1:9">
      <c r="A19" s="1" t="s">
        <v>31</v>
      </c>
      <c r="B19">
        <f>HYPERLINK("https://www.suredividend.com/sure-analysis-ABM/","ABM Industries Inc.")</f>
        <v>0</v>
      </c>
      <c r="C19">
        <v>0.011673348083749</v>
      </c>
      <c r="D19">
        <v>-0.114702343499906</v>
      </c>
      <c r="E19">
        <v>-0.03557316055422</v>
      </c>
      <c r="F19">
        <v>-0.07830923759395</v>
      </c>
      <c r="G19">
        <v>-0.077270007823645</v>
      </c>
      <c r="H19">
        <v>-0.079251001687657</v>
      </c>
      <c r="I19">
        <v>0.382496423092172</v>
      </c>
    </row>
    <row r="20" spans="1:9">
      <c r="A20" s="1" t="s">
        <v>32</v>
      </c>
      <c r="B20">
        <f>HYPERLINK("https://www.suredividend.com/sure-analysis-research-database/","Abiomed Inc.")</f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>
      <c r="A21" s="1" t="s">
        <v>33</v>
      </c>
      <c r="B21">
        <f>HYPERLINK("https://www.suredividend.com/sure-analysis-ABR/","Arbor Realty Trust Inc.")</f>
        <v>0</v>
      </c>
      <c r="C21">
        <v>-0.07564191533657101</v>
      </c>
      <c r="D21">
        <v>-0.159515396264512</v>
      </c>
      <c r="E21">
        <v>0.253187065453621</v>
      </c>
      <c r="F21">
        <v>0.133221599271743</v>
      </c>
      <c r="G21">
        <v>0.152199299338263</v>
      </c>
      <c r="H21">
        <v>-0.143121815655396</v>
      </c>
      <c r="I21">
        <v>0.8247575209600521</v>
      </c>
    </row>
    <row r="22" spans="1:9">
      <c r="A22" s="1" t="s">
        <v>34</v>
      </c>
      <c r="B22">
        <f>HYPERLINK("https://www.suredividend.com/sure-analysis-ABT/","Abbott Laboratories")</f>
        <v>0</v>
      </c>
      <c r="C22">
        <v>0.007951430101992001</v>
      </c>
      <c r="D22">
        <v>-0.111662439132769</v>
      </c>
      <c r="E22">
        <v>-0.130457633369549</v>
      </c>
      <c r="F22">
        <v>-0.108482515721868</v>
      </c>
      <c r="G22">
        <v>-0.001635503323026</v>
      </c>
      <c r="H22">
        <v>-0.220718050333363</v>
      </c>
      <c r="I22">
        <v>0.486769978277912</v>
      </c>
    </row>
    <row r="23" spans="1:9">
      <c r="A23" s="1" t="s">
        <v>35</v>
      </c>
      <c r="B23">
        <f>HYPERLINK("https://www.suredividend.com/sure-analysis-research-database/","Allegiance Bancshares Inc")</f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 s="1" t="s">
        <v>36</v>
      </c>
      <c r="B24">
        <f>HYPERLINK("https://www.suredividend.com/sure-analysis-research-database/","Associated Capital Group Inc")</f>
        <v>0</v>
      </c>
      <c r="C24">
        <v>-0.060363836824696</v>
      </c>
      <c r="D24">
        <v>-0.07864864864864801</v>
      </c>
      <c r="E24">
        <v>-0.08078024472978801</v>
      </c>
      <c r="F24">
        <v>-0.185857953826276</v>
      </c>
      <c r="G24">
        <v>-0.173108689271758</v>
      </c>
      <c r="H24">
        <v>-0.050573861120317</v>
      </c>
      <c r="I24">
        <v>-0.149907110706582</v>
      </c>
    </row>
    <row r="25" spans="1:9">
      <c r="A25" s="1" t="s">
        <v>37</v>
      </c>
      <c r="B25">
        <f>HYPERLINK("https://www.suredividend.com/sure-analysis-research-database/","Arcosa Inc")</f>
        <v>0</v>
      </c>
      <c r="C25">
        <v>-0.07328239279225901</v>
      </c>
      <c r="D25">
        <v>-0.143424461188475</v>
      </c>
      <c r="E25">
        <v>-0.058893557018278</v>
      </c>
      <c r="F25">
        <v>0.202395191895923</v>
      </c>
      <c r="G25">
        <v>0.043406946328774</v>
      </c>
      <c r="H25">
        <v>0.217146935831654</v>
      </c>
      <c r="I25">
        <v>1.328915520502251</v>
      </c>
    </row>
    <row r="26" spans="1:9">
      <c r="A26" s="1" t="s">
        <v>38</v>
      </c>
      <c r="B26">
        <f>HYPERLINK("https://www.suredividend.com/sure-analysis-research-database/","Acadia Pharmaceuticals Inc")</f>
        <v>0</v>
      </c>
      <c r="C26">
        <v>0.07079646017699101</v>
      </c>
      <c r="D26">
        <v>-0.212671232876712</v>
      </c>
      <c r="E26">
        <v>0.07530402245088801</v>
      </c>
      <c r="F26">
        <v>0.4440954773869341</v>
      </c>
      <c r="G26">
        <v>0.443188951663527</v>
      </c>
      <c r="H26">
        <v>0.198644421272158</v>
      </c>
      <c r="I26">
        <v>0.011438627364716</v>
      </c>
    </row>
    <row r="27" spans="1:9">
      <c r="A27" s="1" t="s">
        <v>39</v>
      </c>
      <c r="B27">
        <f>HYPERLINK("https://www.suredividend.com/sure-analysis-research-database/","Atlantic Capital Bancshares Inc")</f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>
      <c r="A28" s="1" t="s">
        <v>40</v>
      </c>
      <c r="B28">
        <f>HYPERLINK("https://www.suredividend.com/sure-analysis-research-database/","American Campus Communities Inc.")</f>
        <v>0</v>
      </c>
      <c r="C28">
        <v>0.007857032814666001</v>
      </c>
      <c r="D28">
        <v>0.016154085119602</v>
      </c>
      <c r="E28">
        <v>0.255180353031466</v>
      </c>
      <c r="F28">
        <v>0.152219016721442</v>
      </c>
      <c r="G28">
        <v>0.3726596907633971</v>
      </c>
      <c r="H28">
        <v>0.9934182460844661</v>
      </c>
      <c r="I28">
        <v>0.706730392949758</v>
      </c>
    </row>
    <row r="29" spans="1:9">
      <c r="A29" s="1" t="s">
        <v>41</v>
      </c>
      <c r="B29">
        <f>HYPERLINK("https://www.suredividend.com/sure-analysis-research-database/","Acco Brands Corporation")</f>
        <v>0</v>
      </c>
      <c r="C29">
        <v>-0.037174721189591</v>
      </c>
      <c r="D29">
        <v>-0.14567974535319</v>
      </c>
      <c r="E29">
        <v>0.208557896455985</v>
      </c>
      <c r="F29">
        <v>-0.03322135125046601</v>
      </c>
      <c r="G29">
        <v>0.201716738197424</v>
      </c>
      <c r="H29">
        <v>-0.319674284213291</v>
      </c>
      <c r="I29">
        <v>-0.296864395276231</v>
      </c>
    </row>
    <row r="30" spans="1:9">
      <c r="A30" s="1" t="s">
        <v>42</v>
      </c>
      <c r="B30">
        <f>HYPERLINK("https://www.suredividend.com/sure-analysis-research-database/","Acer Therapeutics Inc")</f>
        <v>0</v>
      </c>
      <c r="C30">
        <v>0.089494163424124</v>
      </c>
      <c r="D30">
        <v>0.019417475728155</v>
      </c>
      <c r="E30">
        <v>0.031434184675834</v>
      </c>
      <c r="F30">
        <v>-0.6653386454183261</v>
      </c>
      <c r="G30">
        <v>-0.353945546838947</v>
      </c>
      <c r="H30">
        <v>-0.65</v>
      </c>
      <c r="I30">
        <v>-0.9665205261060181</v>
      </c>
    </row>
    <row r="31" spans="1:9">
      <c r="A31" s="1" t="s">
        <v>43</v>
      </c>
      <c r="B31">
        <f>HYPERLINK("https://www.suredividend.com/sure-analysis-research-database/","Arch Capital Group Ltd")</f>
        <v>0</v>
      </c>
      <c r="C31">
        <v>0.08277686783419401</v>
      </c>
      <c r="D31">
        <v>0.110910031023784</v>
      </c>
      <c r="E31">
        <v>0.130343285545179</v>
      </c>
      <c r="F31">
        <v>0.368907295316979</v>
      </c>
      <c r="G31">
        <v>0.5286374955531831</v>
      </c>
      <c r="H31">
        <v>0.9911955514365151</v>
      </c>
      <c r="I31">
        <v>2.066000713521227</v>
      </c>
    </row>
    <row r="32" spans="1:9">
      <c r="A32" s="1" t="s">
        <v>44</v>
      </c>
      <c r="B32">
        <f>HYPERLINK("https://www.suredividend.com/sure-analysis-research-database/","Acadia Healthcare Company Inc")</f>
        <v>0</v>
      </c>
      <c r="C32">
        <v>0.052601322219028</v>
      </c>
      <c r="D32">
        <v>-0.070263408441764</v>
      </c>
      <c r="E32">
        <v>0.08971879184645101</v>
      </c>
      <c r="F32">
        <v>-0.110301263362487</v>
      </c>
      <c r="G32">
        <v>-0.060423348300192</v>
      </c>
      <c r="H32">
        <v>0.167357347784507</v>
      </c>
      <c r="I32">
        <v>0.6366480446927371</v>
      </c>
    </row>
    <row r="33" spans="1:9">
      <c r="A33" s="1" t="s">
        <v>45</v>
      </c>
      <c r="B33">
        <f>HYPERLINK("https://www.suredividend.com/sure-analysis-research-database/","Achison Inc")</f>
        <v>0</v>
      </c>
      <c r="C33">
        <v>-0.216633663366336</v>
      </c>
      <c r="D33">
        <v>0.014098948987439</v>
      </c>
      <c r="E33">
        <v>2.516444444444444</v>
      </c>
      <c r="F33">
        <v>2.956</v>
      </c>
      <c r="G33">
        <v>2.87843137254902</v>
      </c>
      <c r="H33">
        <v>0.5513725490196071</v>
      </c>
      <c r="I33">
        <v>0.5513725490196071</v>
      </c>
    </row>
    <row r="34" spans="1:9">
      <c r="A34" s="1" t="s">
        <v>46</v>
      </c>
      <c r="B34">
        <f>HYPERLINK("https://www.suredividend.com/sure-analysis-research-database/","Achieve Life Sciences Inc.")</f>
        <v>0</v>
      </c>
      <c r="C34">
        <v>0.011764705882352</v>
      </c>
      <c r="D34">
        <v>-0.228007181328545</v>
      </c>
      <c r="E34">
        <v>-0.507445589919816</v>
      </c>
      <c r="F34">
        <v>0.755102040816326</v>
      </c>
      <c r="G34">
        <v>0.99074074074074</v>
      </c>
      <c r="H34">
        <v>-0.5</v>
      </c>
      <c r="I34">
        <v>-0.9027149321266961</v>
      </c>
    </row>
    <row r="35" spans="1:9">
      <c r="A35" s="1" t="s">
        <v>47</v>
      </c>
      <c r="B35">
        <f>HYPERLINK("https://www.suredividend.com/sure-analysis-research-database/","Acacia Communications Inc")</f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>
      <c r="A36" s="1" t="s">
        <v>48</v>
      </c>
      <c r="B36">
        <f>HYPERLINK("https://www.suredividend.com/sure-analysis-research-database/","ACI Worldwide Inc")</f>
        <v>0</v>
      </c>
      <c r="C36">
        <v>0.04302536231884</v>
      </c>
      <c r="D36">
        <v>0.018575851393188</v>
      </c>
      <c r="E36">
        <v>-0.067611336032388</v>
      </c>
      <c r="F36">
        <v>0.001304347826087</v>
      </c>
      <c r="G36">
        <v>0.149201596806387</v>
      </c>
      <c r="H36">
        <v>-0.236152570480928</v>
      </c>
      <c r="I36">
        <v>-0.09863013698630101</v>
      </c>
    </row>
    <row r="37" spans="1:9">
      <c r="A37" s="1" t="s">
        <v>49</v>
      </c>
      <c r="B37">
        <f>HYPERLINK("https://www.suredividend.com/sure-analysis-research-database/","Axcelis Technologies Inc")</f>
        <v>0</v>
      </c>
      <c r="C37">
        <v>-0.212752874623378</v>
      </c>
      <c r="D37">
        <v>-0.322664268331393</v>
      </c>
      <c r="E37">
        <v>0.051753881541115</v>
      </c>
      <c r="F37">
        <v>0.61328125</v>
      </c>
      <c r="G37">
        <v>1.232043235704323</v>
      </c>
      <c r="H37">
        <v>1.244958793617394</v>
      </c>
      <c r="I37">
        <v>6.083264177040111</v>
      </c>
    </row>
    <row r="38" spans="1:9">
      <c r="A38" s="1" t="s">
        <v>50</v>
      </c>
      <c r="B38">
        <f>HYPERLINK("https://www.suredividend.com/sure-analysis-research-database/","AECOM")</f>
        <v>0</v>
      </c>
      <c r="C38">
        <v>-0.038041858780093</v>
      </c>
      <c r="D38">
        <v>-0.107310871530789</v>
      </c>
      <c r="E38">
        <v>-0.056388661139222</v>
      </c>
      <c r="F38">
        <v>-0.076020474816213</v>
      </c>
      <c r="G38">
        <v>0.064481879179938</v>
      </c>
      <c r="H38">
        <v>0.15841556148164</v>
      </c>
      <c r="I38">
        <v>1.564203976164109</v>
      </c>
    </row>
    <row r="39" spans="1:9">
      <c r="A39" s="1" t="s">
        <v>51</v>
      </c>
      <c r="B39">
        <f>HYPERLINK("https://www.suredividend.com/sure-analysis-research-database/","ACM Research Inc")</f>
        <v>0</v>
      </c>
      <c r="C39">
        <v>-0.219119226638023</v>
      </c>
      <c r="D39">
        <v>0.212677231025854</v>
      </c>
      <c r="E39">
        <v>0.582154515778019</v>
      </c>
      <c r="F39">
        <v>0.8858625162127101</v>
      </c>
      <c r="G39">
        <v>1.403305785123966</v>
      </c>
      <c r="H39">
        <v>-0.5993386607880961</v>
      </c>
      <c r="I39">
        <v>3.353293413173652</v>
      </c>
    </row>
    <row r="40" spans="1:9">
      <c r="A40" s="1" t="s">
        <v>52</v>
      </c>
      <c r="B40">
        <f>HYPERLINK("https://www.suredividend.com/sure-analysis-ACN/","Accenture plc")</f>
        <v>0</v>
      </c>
      <c r="C40">
        <v>0.003691363928351</v>
      </c>
      <c r="D40">
        <v>-0.026376808480115</v>
      </c>
      <c r="E40">
        <v>0.122066828744604</v>
      </c>
      <c r="F40">
        <v>0.173045089824827</v>
      </c>
      <c r="G40">
        <v>0.14889126697963</v>
      </c>
      <c r="H40">
        <v>-0.122308023395624</v>
      </c>
      <c r="I40">
        <v>1.099758281104015</v>
      </c>
    </row>
    <row r="41" spans="1:9">
      <c r="A41" s="1" t="s">
        <v>53</v>
      </c>
      <c r="B41">
        <f>HYPERLINK("https://www.suredividend.com/sure-analysis-research-database/","ACNB Corp.")</f>
        <v>0</v>
      </c>
      <c r="C41">
        <v>0.104614412136536</v>
      </c>
      <c r="D41">
        <v>0.013819270398217</v>
      </c>
      <c r="E41">
        <v>0.257614957521761</v>
      </c>
      <c r="F41">
        <v>-0.08400427726758</v>
      </c>
      <c r="G41">
        <v>0.037643139827979</v>
      </c>
      <c r="H41">
        <v>0.357429157345264</v>
      </c>
      <c r="I41">
        <v>0.0664852065228</v>
      </c>
    </row>
    <row r="42" spans="1:9">
      <c r="A42" s="1" t="s">
        <v>54</v>
      </c>
      <c r="B42">
        <f>HYPERLINK("https://www.suredividend.com/sure-analysis-research-database/","Acorda Therapeutics Inc")</f>
        <v>0</v>
      </c>
      <c r="C42">
        <v>-0.274079320113314</v>
      </c>
      <c r="D42">
        <v>-0.309764309764309</v>
      </c>
      <c r="E42">
        <v>20.80851063829788</v>
      </c>
      <c r="F42">
        <v>12.36898395721925</v>
      </c>
      <c r="G42">
        <v>13.23611111111111</v>
      </c>
      <c r="H42">
        <v>1.518427518427518</v>
      </c>
      <c r="I42">
        <v>-0.47327852004111</v>
      </c>
    </row>
    <row r="43" spans="1:9">
      <c r="A43" s="1" t="s">
        <v>55</v>
      </c>
      <c r="B43">
        <f>HYPERLINK("https://www.suredividend.com/sure-analysis-ACRE/","Ares Commercial Real Estate Corp")</f>
        <v>0</v>
      </c>
      <c r="C43">
        <v>0.054466230936819</v>
      </c>
      <c r="D43">
        <v>-0.03366210118596</v>
      </c>
      <c r="E43">
        <v>0.314985124910002</v>
      </c>
      <c r="F43">
        <v>0.043362040160815</v>
      </c>
      <c r="G43">
        <v>-0.07841121139418801</v>
      </c>
      <c r="H43">
        <v>-0.286293592862936</v>
      </c>
      <c r="I43">
        <v>0.033812504004955</v>
      </c>
    </row>
    <row r="44" spans="1:9">
      <c r="A44" s="1" t="s">
        <v>56</v>
      </c>
      <c r="B44">
        <f>HYPERLINK("https://www.suredividend.com/sure-analysis-research-database/","Aclaris Therapeutics Inc")</f>
        <v>0</v>
      </c>
      <c r="C44">
        <v>-0.21879815100154</v>
      </c>
      <c r="D44">
        <v>-0.4767801857585131</v>
      </c>
      <c r="E44">
        <v>-0.433519553072625</v>
      </c>
      <c r="F44">
        <v>-0.6780952380952381</v>
      </c>
      <c r="G44">
        <v>-0.6660079051383391</v>
      </c>
      <c r="H44">
        <v>-0.6923543689320381</v>
      </c>
      <c r="I44">
        <v>-0.5851063829787231</v>
      </c>
    </row>
    <row r="45" spans="1:9">
      <c r="A45" s="1" t="s">
        <v>57</v>
      </c>
      <c r="B45">
        <f>HYPERLINK("https://www.suredividend.com/sure-analysis-research-database/","Acelrx Pharmaceuticals Inc")</f>
        <v>0</v>
      </c>
      <c r="C45">
        <v>-0.05545454545454501</v>
      </c>
      <c r="D45">
        <v>-0.4804480448044801</v>
      </c>
      <c r="E45">
        <v>-0.212878787878788</v>
      </c>
      <c r="F45">
        <v>-0.7701327433628311</v>
      </c>
      <c r="G45">
        <v>-0.7711453744493391</v>
      </c>
      <c r="H45">
        <v>-0.9712665929203541</v>
      </c>
      <c r="I45">
        <v>-0.9945885416666661</v>
      </c>
    </row>
    <row r="46" spans="1:9">
      <c r="A46" s="1" t="s">
        <v>58</v>
      </c>
      <c r="B46">
        <f>HYPERLINK("https://www.suredividend.com/sure-analysis-research-database/","Acacia Research Corp")</f>
        <v>0</v>
      </c>
      <c r="C46">
        <v>0.036619718309859</v>
      </c>
      <c r="D46">
        <v>-0.082294264339151</v>
      </c>
      <c r="E46">
        <v>-0.008086253369272</v>
      </c>
      <c r="F46">
        <v>-0.125890736342042</v>
      </c>
      <c r="G46">
        <v>-0.09135802469135701</v>
      </c>
      <c r="H46">
        <v>-0.334538878842676</v>
      </c>
      <c r="I46">
        <v>0.121951219512195</v>
      </c>
    </row>
    <row r="47" spans="1:9">
      <c r="A47" s="1" t="s">
        <v>59</v>
      </c>
      <c r="B47">
        <f>HYPERLINK("https://www.suredividend.com/sure-analysis-research-database/","Acme United Corp.")</f>
        <v>0</v>
      </c>
      <c r="C47">
        <v>0.144479529469162</v>
      </c>
      <c r="D47">
        <v>0.119313964584879</v>
      </c>
      <c r="E47">
        <v>0.37492571819314</v>
      </c>
      <c r="F47">
        <v>0.594291135118297</v>
      </c>
      <c r="G47">
        <v>0.445999743161679</v>
      </c>
      <c r="H47">
        <v>-0.068436031504401</v>
      </c>
      <c r="I47">
        <v>1.117682460473688</v>
      </c>
    </row>
    <row r="48" spans="1:9">
      <c r="A48" s="1" t="s">
        <v>60</v>
      </c>
      <c r="B48">
        <f>HYPERLINK("https://www.suredividend.com/sure-analysis-research-database/","Adobe Inc")</f>
        <v>0</v>
      </c>
      <c r="C48">
        <v>0.07211252470592701</v>
      </c>
      <c r="D48">
        <v>0.053573448991137</v>
      </c>
      <c r="E48">
        <v>0.5155156512776</v>
      </c>
      <c r="F48">
        <v>0.660208599530502</v>
      </c>
      <c r="G48">
        <v>0.8548237168846691</v>
      </c>
      <c r="H48">
        <v>-0.127560899437851</v>
      </c>
      <c r="I48">
        <v>1.331455516608246</v>
      </c>
    </row>
    <row r="49" spans="1:9">
      <c r="A49" s="1" t="s">
        <v>61</v>
      </c>
      <c r="B49">
        <f>HYPERLINK("https://www.suredividend.com/sure-analysis-ADC/","Agree Realty Corp.")</f>
        <v>0</v>
      </c>
      <c r="C49">
        <v>0.084769029620386</v>
      </c>
      <c r="D49">
        <v>-0.065585728010899</v>
      </c>
      <c r="E49">
        <v>-0.10748128948697</v>
      </c>
      <c r="F49">
        <v>-0.148395334330972</v>
      </c>
      <c r="G49">
        <v>-0.085075690479973</v>
      </c>
      <c r="H49">
        <v>-0.114801804489306</v>
      </c>
      <c r="I49">
        <v>0.246821847680216</v>
      </c>
    </row>
    <row r="50" spans="1:9">
      <c r="A50" s="1" t="s">
        <v>62</v>
      </c>
      <c r="B50">
        <f>HYPERLINK("https://www.suredividend.com/sure-analysis-research-database/","Advanced Emissions Solutions Inc")</f>
        <v>0</v>
      </c>
      <c r="C50">
        <v>0.023255813953488</v>
      </c>
      <c r="D50">
        <v>-0.293172690763052</v>
      </c>
      <c r="E50">
        <v>0.035294117647058</v>
      </c>
      <c r="F50">
        <v>-0.275720164609053</v>
      </c>
      <c r="G50">
        <v>-0.366906474820143</v>
      </c>
      <c r="H50">
        <v>-0.738095238095238</v>
      </c>
      <c r="I50">
        <v>-0.800401465234698</v>
      </c>
    </row>
    <row r="51" spans="1:9">
      <c r="A51" s="1" t="s">
        <v>63</v>
      </c>
      <c r="B51">
        <f>HYPERLINK("https://www.suredividend.com/sure-analysis-ADI/","Analog Devices Inc.")</f>
        <v>0</v>
      </c>
      <c r="C51">
        <v>-0.06321609758878101</v>
      </c>
      <c r="D51">
        <v>-0.13797308801707</v>
      </c>
      <c r="E51">
        <v>-0.08799509868121601</v>
      </c>
      <c r="F51">
        <v>0.025899691056494</v>
      </c>
      <c r="G51">
        <v>0.196739659969808</v>
      </c>
      <c r="H51">
        <v>-0.032700651046495</v>
      </c>
      <c r="I51">
        <v>1.094028692550869</v>
      </c>
    </row>
    <row r="52" spans="1:9">
      <c r="A52" s="1" t="s">
        <v>64</v>
      </c>
      <c r="B52">
        <f>HYPERLINK("https://www.suredividend.com/sure-analysis-ADM/","Archer Daniels Midland Co.")</f>
        <v>0</v>
      </c>
      <c r="C52">
        <v>-0.02398921832884</v>
      </c>
      <c r="D52">
        <v>-0.141340845711684</v>
      </c>
      <c r="E52">
        <v>-0.030204016042744</v>
      </c>
      <c r="F52">
        <v>-0.206893304041755</v>
      </c>
      <c r="G52">
        <v>-0.228041226563824</v>
      </c>
      <c r="H52">
        <v>0.190699326223993</v>
      </c>
      <c r="I52">
        <v>0.726081661156965</v>
      </c>
    </row>
    <row r="53" spans="1:9">
      <c r="A53" s="1" t="s">
        <v>65</v>
      </c>
      <c r="B53">
        <f>HYPERLINK("https://www.suredividend.com/sure-analysis-research-database/","Adma Biologics Inc")</f>
        <v>0</v>
      </c>
      <c r="C53">
        <v>-0.022662889518413</v>
      </c>
      <c r="D53">
        <v>-0.148148148148148</v>
      </c>
      <c r="E53">
        <v>0.045454545454545</v>
      </c>
      <c r="F53">
        <v>-0.110824742268041</v>
      </c>
      <c r="G53">
        <v>0.306818181818181</v>
      </c>
      <c r="H53">
        <v>1.446808510638298</v>
      </c>
      <c r="I53">
        <v>-0.386120996441281</v>
      </c>
    </row>
    <row r="54" spans="1:9">
      <c r="A54" s="1" t="s">
        <v>66</v>
      </c>
      <c r="B54">
        <f>HYPERLINK("https://www.suredividend.com/sure-analysis-research-database/","Adamis Pharmaceuticals Corp")</f>
        <v>0</v>
      </c>
      <c r="C54">
        <v>-0.430073529411764</v>
      </c>
      <c r="D54">
        <v>-0.641157407407407</v>
      </c>
      <c r="E54">
        <v>-0.9290201465201461</v>
      </c>
      <c r="F54">
        <v>-0.9345962366045061</v>
      </c>
      <c r="G54">
        <v>-0.96592967032967</v>
      </c>
      <c r="H54">
        <v>-0.9899337662337661</v>
      </c>
      <c r="I54">
        <v>-0.996369555035128</v>
      </c>
    </row>
    <row r="55" spans="1:9">
      <c r="A55" s="1" t="s">
        <v>67</v>
      </c>
      <c r="B55">
        <f>HYPERLINK("https://www.suredividend.com/sure-analysis-research-database/","Adamas Pharmaceuticals Inc")</f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>
      <c r="A56" s="1" t="s">
        <v>68</v>
      </c>
      <c r="B56">
        <f>HYPERLINK("https://www.suredividend.com/sure-analysis-research-database/","Adient plc")</f>
        <v>0</v>
      </c>
      <c r="C56">
        <v>-0.047960308710033</v>
      </c>
      <c r="D56">
        <v>-0.204147465437788</v>
      </c>
      <c r="E56">
        <v>-0.07050592034445601</v>
      </c>
      <c r="F56">
        <v>-0.00432401268377</v>
      </c>
      <c r="G56">
        <v>0.054012816600549</v>
      </c>
      <c r="H56">
        <v>-0.222072072072072</v>
      </c>
      <c r="I56">
        <v>0.071007751937984</v>
      </c>
    </row>
    <row r="57" spans="1:9">
      <c r="A57" s="1" t="s">
        <v>69</v>
      </c>
      <c r="B57">
        <f>HYPERLINK("https://www.suredividend.com/sure-analysis-ADP/","Automatic Data Processing Inc.")</f>
        <v>0</v>
      </c>
      <c r="C57">
        <v>-0.08693654175544101</v>
      </c>
      <c r="D57">
        <v>-0.107566493564401</v>
      </c>
      <c r="E57">
        <v>0.03133160500981001</v>
      </c>
      <c r="F57">
        <v>-0.05974467352843101</v>
      </c>
      <c r="G57">
        <v>-0.04953829374380801</v>
      </c>
      <c r="H57">
        <v>0.020938678749518</v>
      </c>
      <c r="I57">
        <v>0.7423580507528741</v>
      </c>
    </row>
    <row r="58" spans="1:9">
      <c r="A58" s="1" t="s">
        <v>70</v>
      </c>
      <c r="B58">
        <f>HYPERLINK("https://www.suredividend.com/sure-analysis-research-database/","Autodesk Inc.")</f>
        <v>0</v>
      </c>
      <c r="C58">
        <v>-0.046652949901909</v>
      </c>
      <c r="D58">
        <v>-0.036463874649385</v>
      </c>
      <c r="E58">
        <v>0.03544330111215</v>
      </c>
      <c r="F58">
        <v>0.06619575105688401</v>
      </c>
      <c r="G58">
        <v>-0.0007021767479180001</v>
      </c>
      <c r="H58">
        <v>-0.367331385748761</v>
      </c>
      <c r="I58">
        <v>0.485424588086185</v>
      </c>
    </row>
    <row r="59" spans="1:9">
      <c r="A59" s="1" t="s">
        <v>71</v>
      </c>
      <c r="B59">
        <f>HYPERLINK("https://www.suredividend.com/sure-analysis-research-database/","ADT Inc")</f>
        <v>0</v>
      </c>
      <c r="C59">
        <v>0.07973421926910301</v>
      </c>
      <c r="D59">
        <v>0.037973874996007</v>
      </c>
      <c r="E59">
        <v>0.151624676659225</v>
      </c>
      <c r="F59">
        <v>-0.271414800367655</v>
      </c>
      <c r="G59">
        <v>-0.19613153761486</v>
      </c>
      <c r="H59">
        <v>-0.220614156045036</v>
      </c>
      <c r="I59">
        <v>-0.078589249262871</v>
      </c>
    </row>
    <row r="60" spans="1:9">
      <c r="A60" s="1" t="s">
        <v>72</v>
      </c>
      <c r="B60">
        <f>HYPERLINK("https://www.suredividend.com/sure-analysis-research-database/","ADTRAN Holdings Inc")</f>
        <v>0</v>
      </c>
      <c r="C60">
        <v>-0.17237308146399</v>
      </c>
      <c r="D60">
        <v>-0.24513266712612</v>
      </c>
      <c r="E60">
        <v>-0.177741545752055</v>
      </c>
      <c r="F60">
        <v>-0.6128333858024181</v>
      </c>
      <c r="G60">
        <v>-0.6736894044482511</v>
      </c>
      <c r="H60">
        <v>-0.6348273634639821</v>
      </c>
      <c r="I60">
        <v>-0.6348273634639821</v>
      </c>
    </row>
    <row r="61" spans="1:9">
      <c r="A61" s="1" t="s">
        <v>73</v>
      </c>
      <c r="B61">
        <f>HYPERLINK("https://www.suredividend.com/sure-analysis-research-database/","Addus HomeCare Corporation")</f>
        <v>0</v>
      </c>
      <c r="C61">
        <v>-0.03343930295537501</v>
      </c>
      <c r="D61">
        <v>-0.140598827470686</v>
      </c>
      <c r="E61">
        <v>-0.05098265895953701</v>
      </c>
      <c r="F61">
        <v>-0.174891948939591</v>
      </c>
      <c r="G61">
        <v>-0.238497217068645</v>
      </c>
      <c r="H61">
        <v>-0.117691315563198</v>
      </c>
      <c r="I61">
        <v>0.255198776758409</v>
      </c>
    </row>
    <row r="62" spans="1:9">
      <c r="A62" s="1" t="s">
        <v>74</v>
      </c>
      <c r="B62">
        <f>HYPERLINK("https://www.suredividend.com/sure-analysis-research-database/","Adverum Biotechnologies Inc")</f>
        <v>0</v>
      </c>
      <c r="C62">
        <v>-0.229523809523809</v>
      </c>
      <c r="D62">
        <v>-0.537714285714285</v>
      </c>
      <c r="E62">
        <v>0.2944</v>
      </c>
      <c r="F62">
        <v>0.6752372735116471</v>
      </c>
      <c r="G62">
        <v>0.153380064155874</v>
      </c>
      <c r="H62">
        <v>-0.579740259740259</v>
      </c>
      <c r="I62">
        <v>-0.7093413173652691</v>
      </c>
    </row>
    <row r="63" spans="1:9">
      <c r="A63" s="1" t="s">
        <v>75</v>
      </c>
      <c r="B63">
        <f>HYPERLINK("https://www.suredividend.com/sure-analysis-research-database/","Ayala Pharmaceuticals Inc.")</f>
        <v>0</v>
      </c>
      <c r="C63">
        <v>-0.111111111111111</v>
      </c>
      <c r="D63">
        <v>-0.249466950959488</v>
      </c>
      <c r="E63">
        <v>-0.145631067961165</v>
      </c>
      <c r="F63">
        <v>-0.266666666666666</v>
      </c>
      <c r="G63">
        <v>-0.5243243243243241</v>
      </c>
      <c r="H63">
        <v>5.518518518518518</v>
      </c>
      <c r="I63">
        <v>5.518518518518518</v>
      </c>
    </row>
    <row r="64" spans="1:9">
      <c r="A64" s="1" t="s">
        <v>76</v>
      </c>
      <c r="B64">
        <f>HYPERLINK("https://www.suredividend.com/sure-analysis-research-database/","Adams Resources &amp; Energy Inc.")</f>
        <v>0</v>
      </c>
      <c r="C64">
        <v>0.00830258302583</v>
      </c>
      <c r="D64">
        <v>-0.039346087364134</v>
      </c>
      <c r="E64">
        <v>-0.09019525147957701</v>
      </c>
      <c r="F64">
        <v>-0.130672237717</v>
      </c>
      <c r="G64">
        <v>-0.04899461415980001</v>
      </c>
      <c r="H64">
        <v>0.108935401722755</v>
      </c>
      <c r="I64">
        <v>-0.04532591100189801</v>
      </c>
    </row>
    <row r="65" spans="1:9">
      <c r="A65" s="1" t="s">
        <v>77</v>
      </c>
      <c r="B65">
        <f>HYPERLINK("https://www.suredividend.com/sure-analysis-AEE/","Ameren Corp.")</f>
        <v>0</v>
      </c>
      <c r="C65">
        <v>0.09827077182623301</v>
      </c>
      <c r="D65">
        <v>-0.066881830115636</v>
      </c>
      <c r="E65">
        <v>-0.109592398025419</v>
      </c>
      <c r="F65">
        <v>-0.100889787641032</v>
      </c>
      <c r="G65">
        <v>-0.008338738894269001</v>
      </c>
      <c r="H65">
        <v>-0.020598523124757</v>
      </c>
      <c r="I65">
        <v>0.403854309681778</v>
      </c>
    </row>
    <row r="66" spans="1:9">
      <c r="A66" s="1" t="s">
        <v>78</v>
      </c>
      <c r="B66">
        <f>HYPERLINK("https://www.suredividend.com/sure-analysis-research-database/","Aegion Corp")</f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>
      <c r="A67" s="1" t="s">
        <v>79</v>
      </c>
      <c r="B67">
        <f>HYPERLINK("https://www.suredividend.com/sure-analysis-research-database/","Aehr Test Systems")</f>
        <v>0</v>
      </c>
      <c r="C67">
        <v>-0.471129170230966</v>
      </c>
      <c r="D67">
        <v>-0.505894105894105</v>
      </c>
      <c r="E67">
        <v>-0.0108</v>
      </c>
      <c r="F67">
        <v>0.230348258706467</v>
      </c>
      <c r="G67">
        <v>0.386210762331838</v>
      </c>
      <c r="H67">
        <v>0.05368555602897301</v>
      </c>
      <c r="I67">
        <v>11.48989898989899</v>
      </c>
    </row>
    <row r="68" spans="1:9">
      <c r="A68" s="1" t="s">
        <v>80</v>
      </c>
      <c r="B68">
        <f>HYPERLINK("https://www.suredividend.com/sure-analysis-research-database/","Advanced Energy Industries Inc.")</f>
        <v>0</v>
      </c>
      <c r="C68">
        <v>-0.136554827350093</v>
      </c>
      <c r="D68">
        <v>-0.282753666878203</v>
      </c>
      <c r="E68">
        <v>0.011930624228327</v>
      </c>
      <c r="F68">
        <v>0.033271409624746</v>
      </c>
      <c r="G68">
        <v>0.105591711381319</v>
      </c>
      <c r="H68">
        <v>-0.032858911569098</v>
      </c>
      <c r="I68">
        <v>0.907909383490434</v>
      </c>
    </row>
    <row r="69" spans="1:9">
      <c r="A69" s="1" t="s">
        <v>81</v>
      </c>
      <c r="B69">
        <f>HYPERLINK("https://www.suredividend.com/sure-analysis-AEL/","American Equity Investment Life Holding Co")</f>
        <v>0</v>
      </c>
      <c r="C69">
        <v>0.006761833208114001</v>
      </c>
      <c r="D69">
        <v>0.001494768310911</v>
      </c>
      <c r="E69">
        <v>0.3828689370485031</v>
      </c>
      <c r="F69">
        <v>0.17492327926348</v>
      </c>
      <c r="G69">
        <v>0.292189006750241</v>
      </c>
      <c r="H69">
        <v>0.5801886792452831</v>
      </c>
      <c r="I69">
        <v>0.7247870563741501</v>
      </c>
    </row>
    <row r="70" spans="1:9">
      <c r="A70" s="1" t="s">
        <v>82</v>
      </c>
      <c r="B70">
        <f>HYPERLINK("https://www.suredividend.com/sure-analysis-research-database/","Aethlon Medical Inc")</f>
        <v>0</v>
      </c>
      <c r="C70">
        <v>-0.268558951965065</v>
      </c>
      <c r="D70">
        <v>-0.5108060747663551</v>
      </c>
      <c r="E70">
        <v>-0.48556511056511</v>
      </c>
      <c r="F70">
        <v>-0.391793754538852</v>
      </c>
      <c r="G70">
        <v>-0.653352649006622</v>
      </c>
      <c r="H70">
        <v>-0.951449275362318</v>
      </c>
      <c r="I70">
        <v>-0.9898484848484841</v>
      </c>
    </row>
    <row r="71" spans="1:9">
      <c r="A71" s="1" t="s">
        <v>83</v>
      </c>
      <c r="B71">
        <f>HYPERLINK("https://www.suredividend.com/sure-analysis-research-database/","American Eagle Outfitters Inc.")</f>
        <v>0</v>
      </c>
      <c r="C71">
        <v>0.116136740466204</v>
      </c>
      <c r="D71">
        <v>0.276251681571371</v>
      </c>
      <c r="E71">
        <v>0.454236426597197</v>
      </c>
      <c r="F71">
        <v>0.340066600797745</v>
      </c>
      <c r="G71">
        <v>0.800517243074744</v>
      </c>
      <c r="H71">
        <v>-0.229166228134801</v>
      </c>
      <c r="I71">
        <v>-0.078315496984767</v>
      </c>
    </row>
    <row r="72" spans="1:9">
      <c r="A72" s="1" t="s">
        <v>84</v>
      </c>
      <c r="B72">
        <f>HYPERLINK("https://www.suredividend.com/sure-analysis-AEP/","American Electric Power Company Inc.")</f>
        <v>0</v>
      </c>
      <c r="C72">
        <v>0.103006681514476</v>
      </c>
      <c r="D72">
        <v>-0.052518049268104</v>
      </c>
      <c r="E72">
        <v>-0.106884227444712</v>
      </c>
      <c r="F72">
        <v>-0.133446409609515</v>
      </c>
      <c r="G72">
        <v>-0.058479094409927</v>
      </c>
      <c r="H72">
        <v>0.007020165820281</v>
      </c>
      <c r="I72">
        <v>0.304359992823056</v>
      </c>
    </row>
    <row r="73" spans="1:9">
      <c r="A73" s="1" t="s">
        <v>85</v>
      </c>
      <c r="B73">
        <f>HYPERLINK("https://www.suredividend.com/sure-analysis-research-database/","Aerie Pharmaceuticals Inc")</f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>
      <c r="A74" s="1" t="s">
        <v>86</v>
      </c>
      <c r="B74">
        <f>HYPERLINK("https://www.suredividend.com/sure-analysis-AES/","AES Corp.")</f>
        <v>0</v>
      </c>
      <c r="C74">
        <v>0.106913567903791</v>
      </c>
      <c r="D74">
        <v>-0.255040492153894</v>
      </c>
      <c r="E74">
        <v>-0.301118661033532</v>
      </c>
      <c r="F74">
        <v>-0.443427053036015</v>
      </c>
      <c r="G74">
        <v>-0.380292501939084</v>
      </c>
      <c r="H74">
        <v>-0.351282577124131</v>
      </c>
      <c r="I74">
        <v>0.233879955421111</v>
      </c>
    </row>
    <row r="75" spans="1:9">
      <c r="A75" s="1" t="s">
        <v>87</v>
      </c>
      <c r="B75">
        <f>HYPERLINK("https://www.suredividend.com/sure-analysis-research-database/","Addvantage Technologies Group")</f>
        <v>0</v>
      </c>
      <c r="C75">
        <v>-0.248704663212435</v>
      </c>
      <c r="D75">
        <v>-0.5428751576292561</v>
      </c>
      <c r="E75">
        <v>-0.685159048963196</v>
      </c>
      <c r="F75">
        <v>-0.8</v>
      </c>
      <c r="G75">
        <v>-0.844086021505376</v>
      </c>
      <c r="H75">
        <v>-0.8705357142857141</v>
      </c>
      <c r="I75">
        <v>-0.778625954198473</v>
      </c>
    </row>
    <row r="76" spans="1:9">
      <c r="A76" s="1" t="s">
        <v>88</v>
      </c>
      <c r="B76">
        <f>HYPERLINK("https://www.suredividend.com/sure-analysis-AFG/","American Financial Group Inc")</f>
        <v>0</v>
      </c>
      <c r="C76">
        <v>-0.004340453336237</v>
      </c>
      <c r="D76">
        <v>-0.107921785730684</v>
      </c>
      <c r="E76">
        <v>-0.09171128106276401</v>
      </c>
      <c r="F76">
        <v>-0.166234968473259</v>
      </c>
      <c r="G76">
        <v>-0.174685291875429</v>
      </c>
      <c r="H76">
        <v>-0.040753008888023</v>
      </c>
      <c r="I76">
        <v>0.749435212207456</v>
      </c>
    </row>
    <row r="77" spans="1:9">
      <c r="A77" s="1" t="s">
        <v>89</v>
      </c>
      <c r="B77">
        <f>HYPERLINK("https://www.suredividend.com/sure-analysis-research-database/","Armstrong Flooring Inc")</f>
        <v>0</v>
      </c>
      <c r="C77">
        <v>-0.7946198830409351</v>
      </c>
      <c r="D77">
        <v>-0.7417647058823521</v>
      </c>
      <c r="E77">
        <v>-0.8410859728506781</v>
      </c>
      <c r="F77">
        <v>-0.822626262626262</v>
      </c>
      <c r="G77">
        <v>-0.9452959501557631</v>
      </c>
      <c r="H77">
        <v>-0.8817508417508411</v>
      </c>
      <c r="I77">
        <v>-0.9817083333333331</v>
      </c>
    </row>
    <row r="78" spans="1:9">
      <c r="A78" s="1" t="s">
        <v>90</v>
      </c>
      <c r="B78">
        <f>HYPERLINK("https://www.suredividend.com/sure-analysis-AFL/","Aflac Inc.")</f>
        <v>0</v>
      </c>
      <c r="C78">
        <v>0.06878514450111101</v>
      </c>
      <c r="D78">
        <v>0.07809138384300701</v>
      </c>
      <c r="E78">
        <v>0.205119509282059</v>
      </c>
      <c r="F78">
        <v>0.156678818894071</v>
      </c>
      <c r="G78">
        <v>0.255042512971946</v>
      </c>
      <c r="H78">
        <v>0.557844977937042</v>
      </c>
      <c r="I78">
        <v>1.152381102868173</v>
      </c>
    </row>
    <row r="79" spans="1:9">
      <c r="A79" s="1" t="s">
        <v>91</v>
      </c>
      <c r="B79">
        <f>HYPERLINK("https://www.suredividend.com/sure-analysis-research-database/","AGCO Corp.")</f>
        <v>0</v>
      </c>
      <c r="C79">
        <v>0.004595353586928</v>
      </c>
      <c r="D79">
        <v>-0.100852305184666</v>
      </c>
      <c r="E79">
        <v>-0.03346875414490801</v>
      </c>
      <c r="F79">
        <v>-0.106764527845036</v>
      </c>
      <c r="G79">
        <v>0.07329500201839401</v>
      </c>
      <c r="H79">
        <v>0.040173335788747</v>
      </c>
      <c r="I79">
        <v>1.390363221816797</v>
      </c>
    </row>
    <row r="80" spans="1:9">
      <c r="A80" s="1" t="s">
        <v>92</v>
      </c>
      <c r="B80">
        <f>HYPERLINK("https://www.suredividend.com/sure-analysis-research-database/","AgeX Therapeutics Inc")</f>
        <v>0</v>
      </c>
      <c r="C80">
        <v>-0.145114942528735</v>
      </c>
      <c r="D80">
        <v>-0.206666666666666</v>
      </c>
      <c r="E80">
        <v>0.07887579329102401</v>
      </c>
      <c r="F80">
        <v>0.07809385758289501</v>
      </c>
      <c r="G80">
        <v>-0.08489695478314301</v>
      </c>
      <c r="H80">
        <v>-0.273504273504273</v>
      </c>
      <c r="I80">
        <v>-0.780442804428044</v>
      </c>
    </row>
    <row r="81" spans="1:9">
      <c r="A81" s="1" t="s">
        <v>93</v>
      </c>
      <c r="B81">
        <f>HYPERLINK("https://www.suredividend.com/sure-analysis-research-database/","Agenus Inc")</f>
        <v>0</v>
      </c>
      <c r="C81">
        <v>-0.19047619047619</v>
      </c>
      <c r="D81">
        <v>-0.413793103448275</v>
      </c>
      <c r="E81">
        <v>-0.397163120567375</v>
      </c>
      <c r="F81">
        <v>-0.6320505605817931</v>
      </c>
      <c r="G81">
        <v>-0.636596836254809</v>
      </c>
      <c r="H81">
        <v>-0.7974599089761001</v>
      </c>
      <c r="I81">
        <v>-0.532761653474054</v>
      </c>
    </row>
    <row r="82" spans="1:9">
      <c r="A82" s="1" t="s">
        <v>94</v>
      </c>
      <c r="B82">
        <f>HYPERLINK("https://www.suredividend.com/sure-analysis-research-database/","AgroFresh Solutions Inc")</f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>
      <c r="A83" s="1" t="s">
        <v>95</v>
      </c>
      <c r="B83">
        <f>HYPERLINK("https://www.suredividend.com/sure-analysis-research-database/","Agios Pharmaceuticals Inc")</f>
        <v>0</v>
      </c>
      <c r="C83">
        <v>-0.132947976878612</v>
      </c>
      <c r="D83">
        <v>-0.191685912240184</v>
      </c>
      <c r="E83">
        <v>-0.072028281042863</v>
      </c>
      <c r="F83">
        <v>-0.252136752136752</v>
      </c>
      <c r="G83">
        <v>-0.245147375988497</v>
      </c>
      <c r="H83">
        <v>-0.578143832864604</v>
      </c>
      <c r="I83">
        <v>-0.7015349630471851</v>
      </c>
    </row>
    <row r="84" spans="1:9">
      <c r="A84" s="1" t="s">
        <v>96</v>
      </c>
      <c r="B84">
        <f>HYPERLINK("https://www.suredividend.com/sure-analysis-research-database/","Aeglea BioTherapeutics Inc")</f>
        <v>0</v>
      </c>
      <c r="C84">
        <v>-0.016239316239316</v>
      </c>
      <c r="D84">
        <v>-0.166395075140322</v>
      </c>
      <c r="E84">
        <v>1.747016706443914</v>
      </c>
      <c r="F84">
        <v>0.023338519671037</v>
      </c>
      <c r="G84">
        <v>-0.622622950819672</v>
      </c>
      <c r="H84">
        <v>-0.9385313751668891</v>
      </c>
      <c r="I84">
        <v>-0.9503344120819841</v>
      </c>
    </row>
    <row r="85" spans="1:9">
      <c r="A85" s="1" t="s">
        <v>97</v>
      </c>
      <c r="B85">
        <f>HYPERLINK("https://www.suredividend.com/sure-analysis-AGM/","Federal Agricultural Mortgage Corp.")</f>
        <v>0</v>
      </c>
      <c r="C85">
        <v>0.046889446572447</v>
      </c>
      <c r="D85">
        <v>-0.037139846144034</v>
      </c>
      <c r="E85">
        <v>0.245776877683288</v>
      </c>
      <c r="F85">
        <v>0.438534241416392</v>
      </c>
      <c r="G85">
        <v>0.434246943448942</v>
      </c>
      <c r="H85">
        <v>0.309268950206152</v>
      </c>
      <c r="I85">
        <v>1.657978883051947</v>
      </c>
    </row>
    <row r="86" spans="1:9">
      <c r="A86" s="1" t="s">
        <v>98</v>
      </c>
      <c r="B86">
        <f>HYPERLINK("https://www.suredividend.com/sure-analysis-AGNC/","AGNC Investment Corp")</f>
        <v>0</v>
      </c>
      <c r="C86">
        <v>-0.07276941957183701</v>
      </c>
      <c r="D86">
        <v>-0.115878433284576</v>
      </c>
      <c r="E86">
        <v>0.03398464228693</v>
      </c>
      <c r="F86">
        <v>-0.021723493022586</v>
      </c>
      <c r="G86">
        <v>0.270929055369519</v>
      </c>
      <c r="H86">
        <v>-0.265156154317207</v>
      </c>
      <c r="I86">
        <v>-0.09102048545744101</v>
      </c>
    </row>
    <row r="87" spans="1:9">
      <c r="A87" s="1" t="s">
        <v>99</v>
      </c>
      <c r="B87">
        <f>HYPERLINK("https://www.suredividend.com/sure-analysis-AGO/","Assured Guaranty Ltd")</f>
        <v>0</v>
      </c>
      <c r="C87">
        <v>0.095061520310129</v>
      </c>
      <c r="D87">
        <v>0.068228864375874</v>
      </c>
      <c r="E87">
        <v>0.243649672481977</v>
      </c>
      <c r="F87">
        <v>0.059223247154264</v>
      </c>
      <c r="G87">
        <v>0.137481748118786</v>
      </c>
      <c r="H87">
        <v>0.202375510551553</v>
      </c>
      <c r="I87">
        <v>0.7881323278471951</v>
      </c>
    </row>
    <row r="88" spans="1:9">
      <c r="A88" s="1" t="s">
        <v>100</v>
      </c>
      <c r="B88">
        <f>HYPERLINK("https://www.suredividend.com/sure-analysis-research-database/","Avangrid Inc")</f>
        <v>0</v>
      </c>
      <c r="C88">
        <v>0.122355430183356</v>
      </c>
      <c r="D88">
        <v>-0.113481597014301</v>
      </c>
      <c r="E88">
        <v>-0.178553086942271</v>
      </c>
      <c r="F88">
        <v>-0.232599686096384</v>
      </c>
      <c r="G88">
        <v>-0.180821494749845</v>
      </c>
      <c r="H88">
        <v>-0.34264466257618</v>
      </c>
      <c r="I88">
        <v>-0.18171862226404</v>
      </c>
    </row>
    <row r="89" spans="1:9">
      <c r="A89" s="1" t="s">
        <v>101</v>
      </c>
      <c r="B89">
        <f>HYPERLINK("https://www.suredividend.com/sure-analysis-research-database/","Agile Therapeutics Inc")</f>
        <v>0</v>
      </c>
      <c r="C89">
        <v>-0.2007722007722</v>
      </c>
      <c r="D89">
        <v>-0.244525547445255</v>
      </c>
      <c r="E89">
        <v>-0.6505031404065641</v>
      </c>
      <c r="F89">
        <v>-0.8176211453744491</v>
      </c>
      <c r="G89">
        <v>-0.8521428571428571</v>
      </c>
      <c r="H89">
        <v>-0.9987965116279071</v>
      </c>
      <c r="I89">
        <v>-0.9990142857142851</v>
      </c>
    </row>
    <row r="90" spans="1:9">
      <c r="A90" s="1" t="s">
        <v>102</v>
      </c>
      <c r="B90">
        <f>HYPERLINK("https://www.suredividend.com/sure-analysis-research-database/","PlayAGS Inc")</f>
        <v>0</v>
      </c>
      <c r="C90">
        <v>0.101949025487256</v>
      </c>
      <c r="D90">
        <v>0.09538002980625901</v>
      </c>
      <c r="E90">
        <v>0.399999999999999</v>
      </c>
      <c r="F90">
        <v>0.4411764705882351</v>
      </c>
      <c r="G90">
        <v>0.092124814264487</v>
      </c>
      <c r="H90">
        <v>-0.224683544303797</v>
      </c>
      <c r="I90">
        <v>-0.696280991735537</v>
      </c>
    </row>
    <row r="91" spans="1:9">
      <c r="A91" s="1" t="s">
        <v>103</v>
      </c>
      <c r="B91">
        <f>HYPERLINK("https://www.suredividend.com/sure-analysis-research-database/","Applied Genetic Technologies Corp")</f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>
      <c r="A92" s="1" t="s">
        <v>104</v>
      </c>
      <c r="B92">
        <f>HYPERLINK("https://www.suredividend.com/sure-analysis-research-database/","Argan, Inc.")</f>
        <v>0</v>
      </c>
      <c r="C92">
        <v>0.02683476250163</v>
      </c>
      <c r="D92">
        <v>0.210511776755046</v>
      </c>
      <c r="E92">
        <v>0.134066427727375</v>
      </c>
      <c r="F92">
        <v>0.292928280753322</v>
      </c>
      <c r="G92">
        <v>0.397921626103365</v>
      </c>
      <c r="H92">
        <v>0.146404067328101</v>
      </c>
      <c r="I92">
        <v>0.207293142211074</v>
      </c>
    </row>
    <row r="93" spans="1:9">
      <c r="A93" s="1" t="s">
        <v>105</v>
      </c>
      <c r="B93">
        <f>HYPERLINK("https://www.suredividend.com/sure-analysis-research-database/","Agilysys, Inc")</f>
        <v>0</v>
      </c>
      <c r="C93">
        <v>0.3452290942083771</v>
      </c>
      <c r="D93">
        <v>0.213973799126637</v>
      </c>
      <c r="E93">
        <v>0.17407945097004</v>
      </c>
      <c r="F93">
        <v>0.124083901945918</v>
      </c>
      <c r="G93">
        <v>0.481925703814759</v>
      </c>
      <c r="H93">
        <v>0.8724479057040621</v>
      </c>
      <c r="I93">
        <v>4.454322501532802</v>
      </c>
    </row>
    <row r="94" spans="1:9">
      <c r="A94" s="1" t="s">
        <v>106</v>
      </c>
      <c r="B94">
        <f>HYPERLINK("https://www.suredividend.com/sure-analysis-research-database/","A.H. Belo Corp")</f>
        <v>0</v>
      </c>
      <c r="C94">
        <v>0.044198895027624</v>
      </c>
      <c r="D94">
        <v>-0.09879839786381801</v>
      </c>
      <c r="E94">
        <v>0.343522303181091</v>
      </c>
      <c r="F94">
        <v>0</v>
      </c>
      <c r="G94">
        <v>0.242787394584997</v>
      </c>
      <c r="H94">
        <v>-0.371576296123889</v>
      </c>
      <c r="I94">
        <v>-0.41443918610145</v>
      </c>
    </row>
    <row r="95" spans="1:9">
      <c r="A95" s="1" t="s">
        <v>107</v>
      </c>
      <c r="B95">
        <f>HYPERLINK("https://www.suredividend.com/sure-analysis-research-database/","Armada Hoffler Properties Inc")</f>
        <v>0</v>
      </c>
      <c r="C95">
        <v>-0.006815968841285</v>
      </c>
      <c r="D95">
        <v>-0.128458396705231</v>
      </c>
      <c r="E95">
        <v>-0.10013233348037</v>
      </c>
      <c r="F95">
        <v>-0.065771517022192</v>
      </c>
      <c r="G95">
        <v>-0.037781236734116</v>
      </c>
      <c r="H95">
        <v>-0.207015579811549</v>
      </c>
      <c r="I95">
        <v>-0.099838500436843</v>
      </c>
    </row>
    <row r="96" spans="1:9">
      <c r="A96" s="1" t="s">
        <v>108</v>
      </c>
      <c r="B96">
        <f>HYPERLINK("https://www.suredividend.com/sure-analysis-research-database/","Ashford Hospitality Trust Inc")</f>
        <v>0</v>
      </c>
      <c r="C96">
        <v>-0.02880658436214</v>
      </c>
      <c r="D96">
        <v>-0.360433604336043</v>
      </c>
      <c r="E96">
        <v>-0.3058823529411761</v>
      </c>
      <c r="F96">
        <v>-0.472035794183445</v>
      </c>
      <c r="G96">
        <v>-0.6456456456456451</v>
      </c>
      <c r="H96">
        <v>-0.84</v>
      </c>
      <c r="I96">
        <v>-0.9948316655965</v>
      </c>
    </row>
    <row r="97" spans="1:9">
      <c r="A97" s="1" t="s">
        <v>109</v>
      </c>
      <c r="B97">
        <f>HYPERLINK("https://www.suredividend.com/sure-analysis-research-database/","American International Group Inc")</f>
        <v>0</v>
      </c>
      <c r="C97">
        <v>0.071773522064946</v>
      </c>
      <c r="D97">
        <v>0.056705135593526</v>
      </c>
      <c r="E97">
        <v>0.254849967829359</v>
      </c>
      <c r="F97">
        <v>0.037351755084409</v>
      </c>
      <c r="G97">
        <v>0.151084283478649</v>
      </c>
      <c r="H97">
        <v>0.125344020254793</v>
      </c>
      <c r="I97">
        <v>0.714095479059857</v>
      </c>
    </row>
    <row r="98" spans="1:9">
      <c r="A98" s="1" t="s">
        <v>110</v>
      </c>
      <c r="B98">
        <f>HYPERLINK("https://www.suredividend.com/sure-analysis-research-database/","Altra Industrial Motion Corp")</f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>
      <c r="A99" s="1" t="s">
        <v>111</v>
      </c>
      <c r="B99">
        <f>HYPERLINK("https://www.suredividend.com/sure-analysis-research-database/","Aimmune Therapeutics Inc")</f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>
      <c r="A100" s="1" t="s">
        <v>112</v>
      </c>
      <c r="B100">
        <f>HYPERLINK("https://www.suredividend.com/sure-analysis-research-database/","Albany International Corp.")</f>
        <v>0</v>
      </c>
      <c r="C100">
        <v>-0.000938416422287</v>
      </c>
      <c r="D100">
        <v>-0.110228455138464</v>
      </c>
      <c r="E100">
        <v>-0.07261115980770501</v>
      </c>
      <c r="F100">
        <v>-0.128871214701487</v>
      </c>
      <c r="G100">
        <v>-0.071960389696003</v>
      </c>
      <c r="H100">
        <v>0.06718223543165301</v>
      </c>
      <c r="I100">
        <v>0.274397141471998</v>
      </c>
    </row>
    <row r="101" spans="1:9">
      <c r="A101" s="1" t="s">
        <v>113</v>
      </c>
      <c r="B101">
        <f>HYPERLINK("https://www.suredividend.com/sure-analysis-research-database/","Ashford Inc")</f>
        <v>0</v>
      </c>
      <c r="C101">
        <v>-0.08766233766233701</v>
      </c>
      <c r="D101">
        <v>-0.389130434782608</v>
      </c>
      <c r="E101">
        <v>-0.456479690522243</v>
      </c>
      <c r="F101">
        <v>-0.5950979473915511</v>
      </c>
      <c r="G101">
        <v>-0.6283756976221331</v>
      </c>
      <c r="H101">
        <v>-0.6575258988421691</v>
      </c>
      <c r="I101">
        <v>-0.9099791766778791</v>
      </c>
    </row>
    <row r="102" spans="1:9">
      <c r="A102" s="1" t="s">
        <v>114</v>
      </c>
      <c r="B102">
        <f>HYPERLINK("https://www.suredividend.com/sure-analysis-research-database/","AAR Corp.")</f>
        <v>0</v>
      </c>
      <c r="C102">
        <v>0.041215868109222</v>
      </c>
      <c r="D102">
        <v>0.027627118644067</v>
      </c>
      <c r="E102">
        <v>0.128</v>
      </c>
      <c r="F102">
        <v>0.35033407572383</v>
      </c>
      <c r="G102">
        <v>0.4219043151969981</v>
      </c>
      <c r="H102">
        <v>0.6767146017699111</v>
      </c>
      <c r="I102">
        <v>0.257051868161942</v>
      </c>
    </row>
    <row r="103" spans="1:9">
      <c r="A103" s="1" t="s">
        <v>115</v>
      </c>
      <c r="B103">
        <f>HYPERLINK("https://www.suredividend.com/sure-analysis-research-database/","Airgain Inc")</f>
        <v>0</v>
      </c>
      <c r="C103">
        <v>-0.161290322580645</v>
      </c>
      <c r="D103">
        <v>-0.360655737704918</v>
      </c>
      <c r="E103">
        <v>-0.461139896373056</v>
      </c>
      <c r="F103">
        <v>-0.5207373271889401</v>
      </c>
      <c r="G103">
        <v>-0.554285714285714</v>
      </c>
      <c r="H103">
        <v>-0.729636048526863</v>
      </c>
      <c r="I103">
        <v>-0.7748917748917741</v>
      </c>
    </row>
    <row r="104" spans="1:9">
      <c r="A104" s="1" t="s">
        <v>116</v>
      </c>
      <c r="B104">
        <f>HYPERLINK("https://www.suredividend.com/sure-analysis-research-database/","Air Industries Group")</f>
        <v>0</v>
      </c>
      <c r="C104">
        <v>0.181481481481481</v>
      </c>
      <c r="D104">
        <v>0.029032258064516</v>
      </c>
      <c r="E104">
        <v>-0.184330972410442</v>
      </c>
      <c r="F104">
        <v>-0.249411764705882</v>
      </c>
      <c r="G104">
        <v>-0.405959031657355</v>
      </c>
      <c r="H104">
        <v>-0.7046296296296291</v>
      </c>
      <c r="I104">
        <v>-0.722608695652173</v>
      </c>
    </row>
    <row r="105" spans="1:9">
      <c r="A105" s="1" t="s">
        <v>117</v>
      </c>
      <c r="B105">
        <f>HYPERLINK("https://www.suredividend.com/sure-analysis-research-database/","Air T Inc")</f>
        <v>0</v>
      </c>
      <c r="C105">
        <v>0.0232</v>
      </c>
      <c r="D105">
        <v>0.066789237668161</v>
      </c>
      <c r="E105">
        <v>-0.07685681024447001</v>
      </c>
      <c r="F105">
        <v>-0.037645631067961</v>
      </c>
      <c r="G105">
        <v>0.117922932330827</v>
      </c>
      <c r="H105">
        <v>-0.124746136865342</v>
      </c>
      <c r="I105">
        <v>-0.012887966804979</v>
      </c>
    </row>
    <row r="106" spans="1:9">
      <c r="A106" s="1" t="s">
        <v>118</v>
      </c>
      <c r="B106">
        <f>HYPERLINK("https://www.suredividend.com/sure-analysis-AIT/","Applied Industrial Technologies Inc.")</f>
        <v>0</v>
      </c>
      <c r="C106">
        <v>0.001876051235606</v>
      </c>
      <c r="D106">
        <v>0.07244750983325</v>
      </c>
      <c r="E106">
        <v>0.172524747790206</v>
      </c>
      <c r="F106">
        <v>0.23806166245772</v>
      </c>
      <c r="G106">
        <v>0.250417828647462</v>
      </c>
      <c r="H106">
        <v>0.639583767834853</v>
      </c>
      <c r="I106">
        <v>1.512324780473719</v>
      </c>
    </row>
    <row r="107" spans="1:9">
      <c r="A107" s="1" t="s">
        <v>119</v>
      </c>
      <c r="B107">
        <f>HYPERLINK("https://www.suredividend.com/sure-analysis-research-database/","Apartment Investment &amp; Management Co.")</f>
        <v>0</v>
      </c>
      <c r="C107">
        <v>-0.096240601503759</v>
      </c>
      <c r="D107">
        <v>-0.267965895249695</v>
      </c>
      <c r="E107">
        <v>-0.233418367346938</v>
      </c>
      <c r="F107">
        <v>-0.155898876404494</v>
      </c>
      <c r="G107">
        <v>-0.193288590604026</v>
      </c>
      <c r="H107">
        <v>-0.216764625389337</v>
      </c>
      <c r="I107">
        <v>0.173323962359923</v>
      </c>
    </row>
    <row r="108" spans="1:9">
      <c r="A108" s="1" t="s">
        <v>120</v>
      </c>
      <c r="B108">
        <f>HYPERLINK("https://www.suredividend.com/sure-analysis-AIZ/","Assurant Inc")</f>
        <v>0</v>
      </c>
      <c r="C108">
        <v>0.13420123260162</v>
      </c>
      <c r="D108">
        <v>0.153060125408224</v>
      </c>
      <c r="E108">
        <v>0.370110527323997</v>
      </c>
      <c r="F108">
        <v>0.33092484609734</v>
      </c>
      <c r="G108">
        <v>0.277420793905441</v>
      </c>
      <c r="H108">
        <v>0.052029165724621</v>
      </c>
      <c r="I108">
        <v>0.8727632376313471</v>
      </c>
    </row>
    <row r="109" spans="1:9">
      <c r="A109" s="1" t="s">
        <v>121</v>
      </c>
      <c r="B109">
        <f>HYPERLINK("https://www.suredividend.com/sure-analysis-AJG/","Arthur J. Gallagher &amp; Co.")</f>
        <v>0</v>
      </c>
      <c r="C109">
        <v>0.07687519452225301</v>
      </c>
      <c r="D109">
        <v>0.095818020007953</v>
      </c>
      <c r="E109">
        <v>0.158719170391519</v>
      </c>
      <c r="F109">
        <v>0.295014035556743</v>
      </c>
      <c r="G109">
        <v>0.320684858528041</v>
      </c>
      <c r="H109">
        <v>0.5197005775740631</v>
      </c>
      <c r="I109">
        <v>2.497599191306545</v>
      </c>
    </row>
    <row r="110" spans="1:9">
      <c r="A110" s="1" t="s">
        <v>122</v>
      </c>
      <c r="B110">
        <f>HYPERLINK("https://www.suredividend.com/sure-analysis-research-database/","Aerojet Rocketdyne Holdings Inc")</f>
        <v>0</v>
      </c>
      <c r="C110">
        <v>0.05359738372093</v>
      </c>
      <c r="D110">
        <v>0.028191489361702</v>
      </c>
      <c r="E110">
        <v>0.039992826398852</v>
      </c>
      <c r="F110">
        <v>0.03683175397818701</v>
      </c>
      <c r="G110">
        <v>0.344228094575799</v>
      </c>
      <c r="H110">
        <v>0.239102564102564</v>
      </c>
      <c r="I110">
        <v>1.292629506485702</v>
      </c>
    </row>
    <row r="111" spans="1:9">
      <c r="A111" s="1" t="s">
        <v>123</v>
      </c>
      <c r="B111">
        <f>HYPERLINK("https://www.suredividend.com/sure-analysis-research-database/","Great Ajax Corp")</f>
        <v>0</v>
      </c>
      <c r="C111">
        <v>-0.324451410658307</v>
      </c>
      <c r="D111">
        <v>-0.349895168710499</v>
      </c>
      <c r="E111">
        <v>-0.236370723410286</v>
      </c>
      <c r="F111">
        <v>-0.340221967087638</v>
      </c>
      <c r="G111">
        <v>-0.405115181294944</v>
      </c>
      <c r="H111">
        <v>-0.61122837401454</v>
      </c>
      <c r="I111">
        <v>-0.466181151611984</v>
      </c>
    </row>
    <row r="112" spans="1:9">
      <c r="A112" s="1" t="s">
        <v>124</v>
      </c>
      <c r="B112">
        <f>HYPERLINK("https://www.suredividend.com/sure-analysis-research-database/","Akamai Technologies Inc")</f>
        <v>0</v>
      </c>
      <c r="C112">
        <v>-0.014602639707947</v>
      </c>
      <c r="D112">
        <v>0.139039169011036</v>
      </c>
      <c r="E112">
        <v>0.333206686930091</v>
      </c>
      <c r="F112">
        <v>0.248754448398576</v>
      </c>
      <c r="G112">
        <v>0.232525465402177</v>
      </c>
      <c r="H112">
        <v>0.001331684580994</v>
      </c>
      <c r="I112">
        <v>0.466973244147157</v>
      </c>
    </row>
    <row r="113" spans="1:9">
      <c r="A113" s="1" t="s">
        <v>125</v>
      </c>
      <c r="B113">
        <f>HYPERLINK("https://www.suredividend.com/sure-analysis-research-database/","Akebia Therapeutics Inc.")</f>
        <v>0</v>
      </c>
      <c r="C113">
        <v>-0.231739130434782</v>
      </c>
      <c r="D113">
        <v>-0.489306358381502</v>
      </c>
      <c r="E113">
        <v>-0.0006786562606040001</v>
      </c>
      <c r="F113">
        <v>0.531195840554592</v>
      </c>
      <c r="G113">
        <v>2.326430722891566</v>
      </c>
      <c r="H113">
        <v>-0.7273148148148141</v>
      </c>
      <c r="I113">
        <v>-0.887308673469387</v>
      </c>
    </row>
    <row r="114" spans="1:9">
      <c r="A114" s="1" t="s">
        <v>126</v>
      </c>
      <c r="B114">
        <f>HYPERLINK("https://www.suredividend.com/sure-analysis-research-database/","Akcea Therapeutics Inc")</f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>
      <c r="A115" s="1" t="s">
        <v>127</v>
      </c>
      <c r="B115">
        <f>HYPERLINK("https://www.suredividend.com/sure-analysis-AKR/","Acadia Realty Trust")</f>
        <v>0</v>
      </c>
      <c r="C115">
        <v>0.063480741797432</v>
      </c>
      <c r="D115">
        <v>-0.0552288741319</v>
      </c>
      <c r="E115">
        <v>0.161151650610948</v>
      </c>
      <c r="F115">
        <v>0.07996523250760501</v>
      </c>
      <c r="G115">
        <v>0.140100016822401</v>
      </c>
      <c r="H115">
        <v>-0.25876211782252</v>
      </c>
      <c r="I115">
        <v>-0.361412345171403</v>
      </c>
    </row>
    <row r="116" spans="1:9">
      <c r="A116" s="1" t="s">
        <v>128</v>
      </c>
      <c r="B116">
        <f>HYPERLINK("https://www.suredividend.com/sure-analysis-research-database/","Akoustis Technologies Inc")</f>
        <v>0</v>
      </c>
      <c r="C116">
        <v>-0.22705518018018</v>
      </c>
      <c r="D116">
        <v>-0.762294372294372</v>
      </c>
      <c r="E116">
        <v>-0.7951119402985071</v>
      </c>
      <c r="F116">
        <v>-0.8052836879432621</v>
      </c>
      <c r="G116">
        <v>-0.8273270440251571</v>
      </c>
      <c r="H116">
        <v>-0.9282222222222221</v>
      </c>
      <c r="I116">
        <v>-0.854735449735449</v>
      </c>
    </row>
    <row r="117" spans="1:9">
      <c r="A117" s="1" t="s">
        <v>129</v>
      </c>
      <c r="B117">
        <f>HYPERLINK("https://www.suredividend.com/sure-analysis-research-database/","Air Lease Corp")</f>
        <v>0</v>
      </c>
      <c r="C117">
        <v>-0.07414199633219701</v>
      </c>
      <c r="D117">
        <v>-0.150352096591551</v>
      </c>
      <c r="E117">
        <v>-0.08560014282646301</v>
      </c>
      <c r="F117">
        <v>-0.07085823357898301</v>
      </c>
      <c r="G117">
        <v>0.03494021419221</v>
      </c>
      <c r="H117">
        <v>-0.162356778178611</v>
      </c>
      <c r="I117">
        <v>-0.015236800160504</v>
      </c>
    </row>
    <row r="118" spans="1:9">
      <c r="A118" s="1" t="s">
        <v>130</v>
      </c>
      <c r="B118">
        <f>HYPERLINK("https://www.suredividend.com/sure-analysis-ALB/","Albemarle Corp.")</f>
        <v>0</v>
      </c>
      <c r="C118">
        <v>-0.232682716581491</v>
      </c>
      <c r="D118">
        <v>-0.384441514781652</v>
      </c>
      <c r="E118">
        <v>-0.278481650263346</v>
      </c>
      <c r="F118">
        <v>-0.4219996345175021</v>
      </c>
      <c r="G118">
        <v>-0.5289462563285321</v>
      </c>
      <c r="H118">
        <v>-0.5140021737697661</v>
      </c>
      <c r="I118">
        <v>0.244764786201509</v>
      </c>
    </row>
    <row r="119" spans="1:9">
      <c r="A119" s="1" t="s">
        <v>131</v>
      </c>
      <c r="B119">
        <f>HYPERLINK("https://www.suredividend.com/sure-analysis-research-database/","Albireo Pharma Inc")</f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>
      <c r="A120" s="1" t="s">
        <v>132</v>
      </c>
      <c r="B120">
        <f>HYPERLINK("https://www.suredividend.com/sure-analysis-research-database/","Alico Inc.")</f>
        <v>0</v>
      </c>
      <c r="C120">
        <v>0.014078841512469</v>
      </c>
      <c r="D120">
        <v>-0.024305286786903</v>
      </c>
      <c r="E120">
        <v>0.07899197069045201</v>
      </c>
      <c r="F120">
        <v>0.066746781987593</v>
      </c>
      <c r="G120">
        <v>-0.186569523944734</v>
      </c>
      <c r="H120">
        <v>-0.233286497205038</v>
      </c>
      <c r="I120">
        <v>-0.14544690313483</v>
      </c>
    </row>
    <row r="121" spans="1:9">
      <c r="A121" s="1" t="s">
        <v>133</v>
      </c>
      <c r="B121">
        <f>HYPERLINK("https://www.suredividend.com/sure-analysis-research-database/","Aldeyra Therapeutics Inc")</f>
        <v>0</v>
      </c>
      <c r="C121">
        <v>-0.6551155115511551</v>
      </c>
      <c r="D121">
        <v>-0.737766624843161</v>
      </c>
      <c r="E121">
        <v>-0.794695481335952</v>
      </c>
      <c r="F121">
        <v>-0.6997126436781601</v>
      </c>
      <c r="G121">
        <v>-0.6136783733826241</v>
      </c>
      <c r="H121">
        <v>-0.762769580022701</v>
      </c>
      <c r="I121">
        <v>-0.8100000000000001</v>
      </c>
    </row>
    <row r="122" spans="1:9">
      <c r="A122" s="1" t="s">
        <v>134</v>
      </c>
      <c r="B122">
        <f>HYPERLINK("https://www.suredividend.com/sure-analysis-ALE/","Allete, Inc.")</f>
        <v>0</v>
      </c>
      <c r="C122">
        <v>0.119841269841269</v>
      </c>
      <c r="D122">
        <v>-0.008476437261188</v>
      </c>
      <c r="E122">
        <v>-0.072602841016456</v>
      </c>
      <c r="F122">
        <v>-0.09481507379887301</v>
      </c>
      <c r="G122">
        <v>0.07534461899000601</v>
      </c>
      <c r="H122">
        <v>-0.022949605042438</v>
      </c>
      <c r="I122">
        <v>-0.07102143201618301</v>
      </c>
    </row>
    <row r="123" spans="1:9">
      <c r="A123" s="1" t="s">
        <v>135</v>
      </c>
      <c r="B123">
        <f>HYPERLINK("https://www.suredividend.com/sure-analysis-research-database/","Alector Inc")</f>
        <v>0</v>
      </c>
      <c r="C123">
        <v>-0.101777059773828</v>
      </c>
      <c r="D123">
        <v>-0.157575757575757</v>
      </c>
      <c r="E123">
        <v>-0.129890453834115</v>
      </c>
      <c r="F123">
        <v>-0.397616468039003</v>
      </c>
      <c r="G123">
        <v>-0.383592017738359</v>
      </c>
      <c r="H123">
        <v>-0.763404255319148</v>
      </c>
      <c r="I123">
        <v>-0.691111111111111</v>
      </c>
    </row>
    <row r="124" spans="1:9">
      <c r="A124" s="1" t="s">
        <v>136</v>
      </c>
      <c r="B124">
        <f>HYPERLINK("https://www.suredividend.com/sure-analysis-research-database/","Alexander &amp; Baldwin Inc.")</f>
        <v>0</v>
      </c>
      <c r="C124">
        <v>-0.00792199878123</v>
      </c>
      <c r="D124">
        <v>-0.144661489802137</v>
      </c>
      <c r="E124">
        <v>-0.135376281268256</v>
      </c>
      <c r="F124">
        <v>-0.09815587278901301</v>
      </c>
      <c r="G124">
        <v>-0.100105024597866</v>
      </c>
      <c r="H124">
        <v>-0.287343340293555</v>
      </c>
      <c r="I124">
        <v>-0.09488677745222801</v>
      </c>
    </row>
    <row r="125" spans="1:9">
      <c r="A125" s="1" t="s">
        <v>137</v>
      </c>
      <c r="B125">
        <f>HYPERLINK("https://www.suredividend.com/sure-analysis-research-database/","Alamo Group Inc.")</f>
        <v>0</v>
      </c>
      <c r="C125">
        <v>-0.07205908783385401</v>
      </c>
      <c r="D125">
        <v>-0.16628268632646</v>
      </c>
      <c r="E125">
        <v>-0.089927225614068</v>
      </c>
      <c r="F125">
        <v>0.150742105151082</v>
      </c>
      <c r="G125">
        <v>0.085865926502442</v>
      </c>
      <c r="H125">
        <v>0.055281877167584</v>
      </c>
      <c r="I125">
        <v>0.847698241199157</v>
      </c>
    </row>
    <row r="126" spans="1:9">
      <c r="A126" s="1" t="s">
        <v>138</v>
      </c>
      <c r="B126">
        <f>HYPERLINK("https://www.suredividend.com/sure-analysis-research-database/","Align Technology, Inc.")</f>
        <v>0</v>
      </c>
      <c r="C126">
        <v>-0.358420069388844</v>
      </c>
      <c r="D126">
        <v>-0.476537833424061</v>
      </c>
      <c r="E126">
        <v>-0.373223830009125</v>
      </c>
      <c r="F126">
        <v>-0.08809862494073001</v>
      </c>
      <c r="G126">
        <v>0.073933437569801</v>
      </c>
      <c r="H126">
        <v>-0.7116901028393241</v>
      </c>
      <c r="I126">
        <v>-0.162916213275299</v>
      </c>
    </row>
    <row r="127" spans="1:9">
      <c r="A127" s="1" t="s">
        <v>139</v>
      </c>
      <c r="B127">
        <f>HYPERLINK("https://www.suredividend.com/sure-analysis-research-database/","Allegiant Travel")</f>
        <v>0</v>
      </c>
      <c r="C127">
        <v>-0.144394261424017</v>
      </c>
      <c r="D127">
        <v>-0.481677655164755</v>
      </c>
      <c r="E127">
        <v>-0.331968437297754</v>
      </c>
      <c r="F127">
        <v>-0.04172462787047401</v>
      </c>
      <c r="G127">
        <v>-0.09785240971871001</v>
      </c>
      <c r="H127">
        <v>-0.6379980126703501</v>
      </c>
      <c r="I127">
        <v>-0.45357972722252</v>
      </c>
    </row>
    <row r="128" spans="1:9">
      <c r="A128" s="1" t="s">
        <v>140</v>
      </c>
      <c r="B128">
        <f>HYPERLINK("https://www.suredividend.com/sure-analysis-research-database/","Alimera Sciences Inc.")</f>
        <v>0</v>
      </c>
      <c r="C128">
        <v>0.090301003344481</v>
      </c>
      <c r="D128">
        <v>0.05161290322580601</v>
      </c>
      <c r="E128">
        <v>0.8628571428571421</v>
      </c>
      <c r="F128">
        <v>0.202952029520295</v>
      </c>
      <c r="G128">
        <v>-0.3870221687381301</v>
      </c>
      <c r="H128">
        <v>-0.195061728395061</v>
      </c>
      <c r="I128">
        <v>-0.8006116207951071</v>
      </c>
    </row>
    <row r="129" spans="1:9">
      <c r="A129" s="1" t="s">
        <v>141</v>
      </c>
      <c r="B129">
        <f>HYPERLINK("https://www.suredividend.com/sure-analysis-research-database/","Alj Regional Holdings Inc")</f>
        <v>0</v>
      </c>
      <c r="C129">
        <v>0.026737967914438</v>
      </c>
      <c r="D129">
        <v>-0.06341463414634101</v>
      </c>
      <c r="E129">
        <v>0.129411764705882</v>
      </c>
      <c r="F129">
        <v>0.032258064516129</v>
      </c>
      <c r="G129">
        <v>-0.527093596059113</v>
      </c>
      <c r="H129">
        <v>-0.527093596059113</v>
      </c>
      <c r="I129">
        <v>-0.527093596059113</v>
      </c>
    </row>
    <row r="130" spans="1:9">
      <c r="A130" s="1" t="s">
        <v>142</v>
      </c>
      <c r="B130">
        <f>HYPERLINK("https://www.suredividend.com/sure-analysis-research-database/","Alaska Air Group Inc.")</f>
        <v>0</v>
      </c>
      <c r="C130">
        <v>-0.127884876459408</v>
      </c>
      <c r="D130">
        <v>-0.329716193656093</v>
      </c>
      <c r="E130">
        <v>-0.259395895780493</v>
      </c>
      <c r="F130">
        <v>-0.251979506287843</v>
      </c>
      <c r="G130">
        <v>-0.262626262626262</v>
      </c>
      <c r="H130">
        <v>-0.41010101010101</v>
      </c>
      <c r="I130">
        <v>-0.480794907522654</v>
      </c>
    </row>
    <row r="131" spans="1:9">
      <c r="A131" s="1" t="s">
        <v>143</v>
      </c>
      <c r="B131">
        <f>HYPERLINK("https://www.suredividend.com/sure-analysis-research-database/","Alkermes plc")</f>
        <v>0</v>
      </c>
      <c r="C131">
        <v>-0.125400783754898</v>
      </c>
      <c r="D131">
        <v>-0.1216457960644</v>
      </c>
      <c r="E131">
        <v>-0.138898632058926</v>
      </c>
      <c r="F131">
        <v>-0.06046689628779101</v>
      </c>
      <c r="G131">
        <v>0.020365752285951</v>
      </c>
      <c r="H131">
        <v>-0.173400673400673</v>
      </c>
      <c r="I131">
        <v>-0.349496555378908</v>
      </c>
    </row>
    <row r="132" spans="1:9">
      <c r="A132" s="1" t="s">
        <v>144</v>
      </c>
      <c r="B132">
        <f>HYPERLINK("https://www.suredividend.com/sure-analysis-ALL/","Allstate Corp (The)")</f>
        <v>0</v>
      </c>
      <c r="C132">
        <v>0.184383734559552</v>
      </c>
      <c r="D132">
        <v>0.24369913387944</v>
      </c>
      <c r="E132">
        <v>0.188383586627789</v>
      </c>
      <c r="F132">
        <v>-0.008318618410274</v>
      </c>
      <c r="G132">
        <v>0.097281855087959</v>
      </c>
      <c r="H132">
        <v>0.111102652656081</v>
      </c>
      <c r="I132">
        <v>0.658652874863631</v>
      </c>
    </row>
    <row r="133" spans="1:9">
      <c r="A133" s="1" t="s">
        <v>145</v>
      </c>
      <c r="B133">
        <f>HYPERLINK("https://www.suredividend.com/sure-analysis-research-database/","Allegion plc")</f>
        <v>0</v>
      </c>
      <c r="C133">
        <v>-0.03878599825463</v>
      </c>
      <c r="D133">
        <v>-0.130403507509952</v>
      </c>
      <c r="E133">
        <v>-0.088283714556374</v>
      </c>
      <c r="F133">
        <v>-0.04655739218586701</v>
      </c>
      <c r="G133">
        <v>-0.012493014331951</v>
      </c>
      <c r="H133">
        <v>-0.220763090912807</v>
      </c>
      <c r="I133">
        <v>0.199190458736017</v>
      </c>
    </row>
    <row r="134" spans="1:9">
      <c r="A134" s="1" t="s">
        <v>146</v>
      </c>
      <c r="B134">
        <f>HYPERLINK("https://www.suredividend.com/sure-analysis-research-database/","Allakos Inc")</f>
        <v>0</v>
      </c>
      <c r="C134">
        <v>-0.09502262443438901</v>
      </c>
      <c r="D134">
        <v>-0.6357012750455371</v>
      </c>
      <c r="E134">
        <v>-0.5121951219512191</v>
      </c>
      <c r="F134">
        <v>-0.762470308788598</v>
      </c>
      <c r="G134">
        <v>-0.6497373029772321</v>
      </c>
      <c r="H134">
        <v>-0.979564728721773</v>
      </c>
      <c r="I134">
        <v>-0.9614271938283511</v>
      </c>
    </row>
    <row r="135" spans="1:9">
      <c r="A135" s="1" t="s">
        <v>147</v>
      </c>
      <c r="B135">
        <f>HYPERLINK("https://www.suredividend.com/sure-analysis-research-database/","Allogene Therapeutics Inc")</f>
        <v>0</v>
      </c>
      <c r="C135">
        <v>-0.041935483870967</v>
      </c>
      <c r="D135">
        <v>-0.366737739872068</v>
      </c>
      <c r="E135">
        <v>-0.444859813084112</v>
      </c>
      <c r="F135">
        <v>-0.527821939586645</v>
      </c>
      <c r="G135">
        <v>-0.7079646017699111</v>
      </c>
      <c r="H135">
        <v>-0.8482370975983641</v>
      </c>
      <c r="I135">
        <v>-0.8927410617551461</v>
      </c>
    </row>
    <row r="136" spans="1:9">
      <c r="A136" s="1" t="s">
        <v>148</v>
      </c>
      <c r="B136">
        <f>HYPERLINK("https://www.suredividend.com/sure-analysis-ALLY/","Ally Financial Inc")</f>
        <v>0</v>
      </c>
      <c r="C136">
        <v>0.024556196670586</v>
      </c>
      <c r="D136">
        <v>-0.09810692783118301</v>
      </c>
      <c r="E136">
        <v>0.058434039499649</v>
      </c>
      <c r="F136">
        <v>0.109349560490746</v>
      </c>
      <c r="G136">
        <v>0.017392871979369</v>
      </c>
      <c r="H136">
        <v>-0.428714784315624</v>
      </c>
      <c r="I136">
        <v>0.197140880793175</v>
      </c>
    </row>
    <row r="137" spans="1:9">
      <c r="A137" s="1" t="s">
        <v>149</v>
      </c>
      <c r="B137">
        <f>HYPERLINK("https://www.suredividend.com/sure-analysis-research-database/","Allena Pharmaceuticals Inc")</f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>
      <c r="A138" s="1" t="s">
        <v>150</v>
      </c>
      <c r="B138">
        <f>HYPERLINK("https://www.suredividend.com/sure-analysis-research-database/","Alnylam Pharmaceuticals Inc")</f>
        <v>0</v>
      </c>
      <c r="C138">
        <v>-0.097396066160035</v>
      </c>
      <c r="D138">
        <v>-0.136249398427891</v>
      </c>
      <c r="E138">
        <v>-0.188373027836398</v>
      </c>
      <c r="F138">
        <v>-0.320302966547443</v>
      </c>
      <c r="G138">
        <v>-0.246419407511079</v>
      </c>
      <c r="H138">
        <v>-0.036504622725917</v>
      </c>
      <c r="I138">
        <v>0.8301608882846131</v>
      </c>
    </row>
    <row r="139" spans="1:9">
      <c r="A139" s="1" t="s">
        <v>151</v>
      </c>
      <c r="B139">
        <f>HYPERLINK("https://www.suredividend.com/sure-analysis-research-database/","AstroNova Inc")</f>
        <v>0</v>
      </c>
      <c r="C139">
        <v>0.086082059533387</v>
      </c>
      <c r="D139">
        <v>-0.03156384505021501</v>
      </c>
      <c r="E139">
        <v>-0.042553191489361</v>
      </c>
      <c r="F139">
        <v>0.053042121684867</v>
      </c>
      <c r="G139">
        <v>0.10655737704918</v>
      </c>
      <c r="H139">
        <v>-0.189675870348139</v>
      </c>
      <c r="I139">
        <v>-0.278437576833035</v>
      </c>
    </row>
    <row r="140" spans="1:9">
      <c r="A140" s="1" t="s">
        <v>152</v>
      </c>
      <c r="B140">
        <f>HYPERLINK("https://www.suredividend.com/sure-analysis-research-database/","Alpine Immune Sciences Inc")</f>
        <v>0</v>
      </c>
      <c r="C140">
        <v>0.294635004397537</v>
      </c>
      <c r="D140">
        <v>0.07054545454545401</v>
      </c>
      <c r="E140">
        <v>1.07909604519774</v>
      </c>
      <c r="F140">
        <v>1.002721088435374</v>
      </c>
      <c r="G140">
        <v>1.453333333333333</v>
      </c>
      <c r="H140">
        <v>0.113464447806354</v>
      </c>
      <c r="I140">
        <v>2.085953878406709</v>
      </c>
    </row>
    <row r="141" spans="1:9">
      <c r="A141" s="1" t="s">
        <v>153</v>
      </c>
      <c r="B141">
        <f>HYPERLINK("https://www.suredividend.com/sure-analysis-research-database/","Alarm.com Holdings Inc")</f>
        <v>0</v>
      </c>
      <c r="C141">
        <v>-0.133778148457047</v>
      </c>
      <c r="D141">
        <v>-0.029527191179218</v>
      </c>
      <c r="E141">
        <v>0.145851721094439</v>
      </c>
      <c r="F141">
        <v>0.04951495553759101</v>
      </c>
      <c r="G141">
        <v>-0.07532051282051201</v>
      </c>
      <c r="H141">
        <v>-0.395037278657968</v>
      </c>
      <c r="I141">
        <v>0.107958182206101</v>
      </c>
    </row>
    <row r="142" spans="1:9">
      <c r="A142" s="1" t="s">
        <v>154</v>
      </c>
      <c r="B142">
        <f>HYPERLINK("https://www.suredividend.com/sure-analysis-research-database/","Alaska Communications Systems Group Inc")</f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>
      <c r="A143" s="1" t="s">
        <v>155</v>
      </c>
      <c r="B143">
        <f>HYPERLINK("https://www.suredividend.com/sure-analysis-research-database/","Allison Transmission Holdings Inc")</f>
        <v>0</v>
      </c>
      <c r="C143">
        <v>-0.118565545641729</v>
      </c>
      <c r="D143">
        <v>-0.133389229193834</v>
      </c>
      <c r="E143">
        <v>0.07806020516092201</v>
      </c>
      <c r="F143">
        <v>0.251635507756631</v>
      </c>
      <c r="G143">
        <v>0.257632214186737</v>
      </c>
      <c r="H143">
        <v>0.57790624097703</v>
      </c>
      <c r="I143">
        <v>0.256992125753045</v>
      </c>
    </row>
    <row r="144" spans="1:9">
      <c r="A144" s="1" t="s">
        <v>156</v>
      </c>
      <c r="B144">
        <f>HYPERLINK("https://www.suredividend.com/sure-analysis-research-database/","Altimmune Inc")</f>
        <v>0</v>
      </c>
      <c r="C144">
        <v>0.007874015748031</v>
      </c>
      <c r="D144">
        <v>-0.160655737704917</v>
      </c>
      <c r="E144">
        <v>-0.459915611814346</v>
      </c>
      <c r="F144">
        <v>-0.844376899696048</v>
      </c>
      <c r="G144">
        <v>-0.7837837837837831</v>
      </c>
      <c r="H144">
        <v>-0.771428571428571</v>
      </c>
      <c r="I144">
        <v>-0.36</v>
      </c>
    </row>
    <row r="145" spans="1:9">
      <c r="A145" s="1" t="s">
        <v>157</v>
      </c>
      <c r="B145">
        <f>HYPERLINK("https://www.suredividend.com/sure-analysis-research-database/","Altair Engineering Inc")</f>
        <v>0</v>
      </c>
      <c r="C145">
        <v>-0.05875796178343901</v>
      </c>
      <c r="D145">
        <v>-0.181415316438166</v>
      </c>
      <c r="E145">
        <v>-0.124166543191583</v>
      </c>
      <c r="F145">
        <v>0.299978007477457</v>
      </c>
      <c r="G145">
        <v>0.256056098597535</v>
      </c>
      <c r="H145">
        <v>-0.249396825396825</v>
      </c>
      <c r="I145">
        <v>0.5596306068601581</v>
      </c>
    </row>
    <row r="146" spans="1:9">
      <c r="A146" s="1" t="s">
        <v>158</v>
      </c>
      <c r="B146">
        <f>HYPERLINK("https://www.suredividend.com/sure-analysis-ALV/","Autoliv Inc.")</f>
        <v>0</v>
      </c>
      <c r="C146">
        <v>-0.022872731088028</v>
      </c>
      <c r="D146">
        <v>-0.069295650783498</v>
      </c>
      <c r="E146">
        <v>0.114483134960999</v>
      </c>
      <c r="F146">
        <v>0.242493739501908</v>
      </c>
      <c r="G146">
        <v>0.211711957865263</v>
      </c>
      <c r="H146">
        <v>0.010148121794816</v>
      </c>
      <c r="I146">
        <v>0.213823485327372</v>
      </c>
    </row>
    <row r="147" spans="1:9">
      <c r="A147" s="1" t="s">
        <v>159</v>
      </c>
      <c r="B147">
        <f>HYPERLINK("https://www.suredividend.com/sure-analysis-research-database/","Alexander`s Inc.")</f>
        <v>0</v>
      </c>
      <c r="C147">
        <v>0.101475290290009</v>
      </c>
      <c r="D147">
        <v>0.041232510464821</v>
      </c>
      <c r="E147">
        <v>0.153211649810333</v>
      </c>
      <c r="F147">
        <v>-0.04456987154534801</v>
      </c>
      <c r="G147">
        <v>-0.09565614669197801</v>
      </c>
      <c r="H147">
        <v>-0.165877614756608</v>
      </c>
      <c r="I147">
        <v>-0.126162998458903</v>
      </c>
    </row>
    <row r="148" spans="1:9">
      <c r="A148" s="1" t="s">
        <v>160</v>
      </c>
      <c r="B148">
        <f>HYPERLINK("https://www.suredividend.com/sure-analysis-research-database/","Alexion Pharmaceuticals Inc.")</f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>
      <c r="A149" s="1" t="s">
        <v>161</v>
      </c>
      <c r="B149">
        <f>HYPERLINK("https://www.suredividend.com/sure-analysis-AM/","Antero Midstream Corp")</f>
        <v>0</v>
      </c>
      <c r="C149">
        <v>0.12820602174519</v>
      </c>
      <c r="D149">
        <v>0.126282831796834</v>
      </c>
      <c r="E149">
        <v>0.276365069978316</v>
      </c>
      <c r="F149">
        <v>0.299483217098991</v>
      </c>
      <c r="G149">
        <v>0.314107117488279</v>
      </c>
      <c r="H149">
        <v>0.433965606971619</v>
      </c>
      <c r="I149">
        <v>-0.022228262510948</v>
      </c>
    </row>
    <row r="150" spans="1:9">
      <c r="A150" s="1" t="s">
        <v>162</v>
      </c>
      <c r="B150">
        <f>HYPERLINK("https://www.suredividend.com/sure-analysis-research-database/","Amalgamated Financial Corp")</f>
        <v>0</v>
      </c>
      <c r="C150">
        <v>0.08504398826979401</v>
      </c>
      <c r="D150">
        <v>-0.04298299613572</v>
      </c>
      <c r="E150">
        <v>0.256230222862032</v>
      </c>
      <c r="F150">
        <v>-0.17857000137645</v>
      </c>
      <c r="G150">
        <v>-0.244321175754555</v>
      </c>
      <c r="H150">
        <v>0.029207232267037</v>
      </c>
      <c r="I150">
        <v>0.07517507918519101</v>
      </c>
    </row>
    <row r="151" spans="1:9">
      <c r="A151" s="1" t="s">
        <v>163</v>
      </c>
      <c r="B151">
        <f>HYPERLINK("https://www.suredividend.com/sure-analysis-AMAT/","Applied Materials Inc.")</f>
        <v>0</v>
      </c>
      <c r="C151">
        <v>-0.007167944950182001</v>
      </c>
      <c r="D151">
        <v>-0.05578445353976801</v>
      </c>
      <c r="E151">
        <v>0.24348898716381</v>
      </c>
      <c r="F151">
        <v>0.435576298221775</v>
      </c>
      <c r="G151">
        <v>0.5968190433150561</v>
      </c>
      <c r="H151">
        <v>0.0007817817398320001</v>
      </c>
      <c r="I151">
        <v>3.181345601753321</v>
      </c>
    </row>
    <row r="152" spans="1:9">
      <c r="A152" s="1" t="s">
        <v>164</v>
      </c>
      <c r="B152">
        <f>HYPERLINK("https://www.suredividend.com/sure-analysis-research-database/","AMBAC Financial Group Inc.")</f>
        <v>0</v>
      </c>
      <c r="C152">
        <v>0.027227722772277</v>
      </c>
      <c r="D152">
        <v>-0.10752688172043</v>
      </c>
      <c r="E152">
        <v>-0.191033138401559</v>
      </c>
      <c r="F152">
        <v>-0.286123853211009</v>
      </c>
      <c r="G152">
        <v>-0.08185840707964601</v>
      </c>
      <c r="H152">
        <v>-0.244996967859308</v>
      </c>
      <c r="I152">
        <v>-0.402591170825335</v>
      </c>
    </row>
    <row r="153" spans="1:9">
      <c r="A153" s="1" t="s">
        <v>165</v>
      </c>
      <c r="B153">
        <f>HYPERLINK("https://www.suredividend.com/sure-analysis-research-database/","AMC Entertainment Holdings Inc")</f>
        <v>0</v>
      </c>
      <c r="C153">
        <v>0.287116564417177</v>
      </c>
      <c r="D153">
        <v>-0.752319788444738</v>
      </c>
      <c r="E153">
        <v>-0.783842371840575</v>
      </c>
      <c r="F153">
        <v>-0.7078954549758011</v>
      </c>
      <c r="G153">
        <v>-0.795375765390219</v>
      </c>
      <c r="H153">
        <v>-0.9693512157838021</v>
      </c>
      <c r="I153">
        <v>-0.931365730366117</v>
      </c>
    </row>
    <row r="154" spans="1:9">
      <c r="A154" s="1" t="s">
        <v>166</v>
      </c>
      <c r="B154">
        <f>HYPERLINK("https://www.suredividend.com/sure-analysis-AMCR/","Amcor Plc")</f>
        <v>0</v>
      </c>
      <c r="C154">
        <v>-0.027593818984547</v>
      </c>
      <c r="D154">
        <v>-0.09387310109331701</v>
      </c>
      <c r="E154">
        <v>-0.172793254650103</v>
      </c>
      <c r="F154">
        <v>-0.233266320287546</v>
      </c>
      <c r="G154">
        <v>-0.148882727439595</v>
      </c>
      <c r="H154">
        <v>-0.205361330591333</v>
      </c>
      <c r="I154">
        <v>-0.05407146538395401</v>
      </c>
    </row>
    <row r="155" spans="1:9">
      <c r="A155" s="1" t="s">
        <v>167</v>
      </c>
      <c r="B155">
        <f>HYPERLINK("https://www.suredividend.com/sure-analysis-research-database/","AMC Networks Inc")</f>
        <v>0</v>
      </c>
      <c r="C155">
        <v>0.154115586690017</v>
      </c>
      <c r="D155">
        <v>0.089256198347107</v>
      </c>
      <c r="E155">
        <v>-0.238150289017341</v>
      </c>
      <c r="F155">
        <v>-0.158902361199744</v>
      </c>
      <c r="G155">
        <v>-0.39374425022999</v>
      </c>
      <c r="H155">
        <v>-0.6871587942084021</v>
      </c>
      <c r="I155">
        <v>-0.7765344184469311</v>
      </c>
    </row>
    <row r="156" spans="1:9">
      <c r="A156" s="1" t="s">
        <v>168</v>
      </c>
      <c r="B156">
        <f>HYPERLINK("https://www.suredividend.com/sure-analysis-research-database/","Advanced Micro Devices Inc.")</f>
        <v>0</v>
      </c>
      <c r="C156">
        <v>0.04415609567154</v>
      </c>
      <c r="D156">
        <v>-0.013900320073159</v>
      </c>
      <c r="E156">
        <v>0.199310421532643</v>
      </c>
      <c r="F156">
        <v>0.664813957078894</v>
      </c>
      <c r="G156">
        <v>0.8391608391608391</v>
      </c>
      <c r="H156">
        <v>-0.155135939826059</v>
      </c>
      <c r="I156">
        <v>4.330202669303016</v>
      </c>
    </row>
    <row r="157" spans="1:9">
      <c r="A157" s="1" t="s">
        <v>169</v>
      </c>
      <c r="B157">
        <f>HYPERLINK("https://www.suredividend.com/sure-analysis-research-database/","Ametek Inc")</f>
        <v>0</v>
      </c>
      <c r="C157">
        <v>-0.025234025234025</v>
      </c>
      <c r="D157">
        <v>-0.09296565514768801</v>
      </c>
      <c r="E157">
        <v>-0.009774087917176001</v>
      </c>
      <c r="F157">
        <v>0.033734861755047</v>
      </c>
      <c r="G157">
        <v>0.111979509243281</v>
      </c>
      <c r="H157">
        <v>0.04131189356444601</v>
      </c>
      <c r="I157">
        <v>1.046877336922846</v>
      </c>
    </row>
    <row r="158" spans="1:9">
      <c r="A158" s="1" t="s">
        <v>170</v>
      </c>
      <c r="B158">
        <f>HYPERLINK("https://www.suredividend.com/sure-analysis-research-database/","Amedisys Inc.")</f>
        <v>0</v>
      </c>
      <c r="C158">
        <v>-0.021299254526091</v>
      </c>
      <c r="D158">
        <v>-0.001846421201259</v>
      </c>
      <c r="E158">
        <v>0.189490033652601</v>
      </c>
      <c r="F158">
        <v>0.100071821881733</v>
      </c>
      <c r="G158">
        <v>0.024297815425769</v>
      </c>
      <c r="H158">
        <v>-0.470103211670414</v>
      </c>
      <c r="I158">
        <v>-0.152526742899299</v>
      </c>
    </row>
    <row r="159" spans="1:9">
      <c r="A159" s="1" t="s">
        <v>171</v>
      </c>
      <c r="B159">
        <f>HYPERLINK("https://www.suredividend.com/sure-analysis-research-database/","Apollo Medical Holdings Inc")</f>
        <v>0</v>
      </c>
      <c r="C159">
        <v>0.004246978111728</v>
      </c>
      <c r="D159">
        <v>-0.152701212789415</v>
      </c>
      <c r="E159">
        <v>-0.121965152813481</v>
      </c>
      <c r="F159">
        <v>0.03886448124366301</v>
      </c>
      <c r="G159">
        <v>-0.120206067544361</v>
      </c>
      <c r="H159">
        <v>-0.569769069279216</v>
      </c>
      <c r="I159">
        <v>0.4438703616721461</v>
      </c>
    </row>
    <row r="160" spans="1:9">
      <c r="A160" s="1" t="s">
        <v>172</v>
      </c>
      <c r="B160">
        <f>HYPERLINK("https://www.suredividend.com/sure-analysis-research-database/","Affiliated Managers Group Inc.")</f>
        <v>0</v>
      </c>
      <c r="C160">
        <v>-0.047219467541383</v>
      </c>
      <c r="D160">
        <v>-0.096824858503766</v>
      </c>
      <c r="E160">
        <v>-0.127971720869961</v>
      </c>
      <c r="F160">
        <v>-0.211477951686136</v>
      </c>
      <c r="G160">
        <v>0.009319844488782</v>
      </c>
      <c r="H160">
        <v>-0.335802933953605</v>
      </c>
      <c r="I160">
        <v>0.092614138374463</v>
      </c>
    </row>
    <row r="161" spans="1:9">
      <c r="A161" s="1" t="s">
        <v>173</v>
      </c>
      <c r="B161">
        <f>HYPERLINK("https://www.suredividend.com/sure-analysis-AMGN/","AMGEN Inc.")</f>
        <v>0</v>
      </c>
      <c r="C161">
        <v>0.001051406255867</v>
      </c>
      <c r="D161">
        <v>0.166398755327964</v>
      </c>
      <c r="E161">
        <v>0.149661729749497</v>
      </c>
      <c r="F161">
        <v>0.042027409554022</v>
      </c>
      <c r="G161">
        <v>0.024360010343888</v>
      </c>
      <c r="H161">
        <v>0.328725317851889</v>
      </c>
      <c r="I161">
        <v>0.6716066397753211</v>
      </c>
    </row>
    <row r="162" spans="1:9">
      <c r="A162" s="1" t="s">
        <v>174</v>
      </c>
      <c r="B162">
        <f>HYPERLINK("https://www.suredividend.com/sure-analysis-AMH/","American Homes 4 Rent")</f>
        <v>0</v>
      </c>
      <c r="C162">
        <v>0.011476895197825</v>
      </c>
      <c r="D162">
        <v>-0.09711962558367701</v>
      </c>
      <c r="E162">
        <v>0.018001203727908</v>
      </c>
      <c r="F162">
        <v>0.133394701574366</v>
      </c>
      <c r="G162">
        <v>0.08801944075345901</v>
      </c>
      <c r="H162">
        <v>-0.140005289904756</v>
      </c>
      <c r="I162">
        <v>0.7981690783645191</v>
      </c>
    </row>
    <row r="163" spans="1:9">
      <c r="A163" s="1" t="s">
        <v>175</v>
      </c>
      <c r="B163">
        <f>HYPERLINK("https://www.suredividend.com/sure-analysis-research-database/","AMKOR Technology Inc.")</f>
        <v>0</v>
      </c>
      <c r="C163">
        <v>0.0008857395925590001</v>
      </c>
      <c r="D163">
        <v>-0.210976503857836</v>
      </c>
      <c r="E163">
        <v>0.07703158657237001</v>
      </c>
      <c r="F163">
        <v>-0.052200279307351</v>
      </c>
      <c r="G163">
        <v>0.11332242999862</v>
      </c>
      <c r="H163">
        <v>0.024678427798709</v>
      </c>
      <c r="I163">
        <v>2.246333510493127</v>
      </c>
    </row>
    <row r="164" spans="1:9">
      <c r="A164" s="1" t="s">
        <v>176</v>
      </c>
      <c r="B164">
        <f>HYPERLINK("https://www.suredividend.com/sure-analysis-research-database/","AMN Healthcare Services Inc.")</f>
        <v>0</v>
      </c>
      <c r="C164">
        <v>-0.140172556435409</v>
      </c>
      <c r="D164">
        <v>-0.323759063022866</v>
      </c>
      <c r="E164">
        <v>-0.133412745681953</v>
      </c>
      <c r="F164">
        <v>-0.292452830188679</v>
      </c>
      <c r="G164">
        <v>-0.402660316938993</v>
      </c>
      <c r="H164">
        <v>-0.290174651185481</v>
      </c>
      <c r="I164">
        <v>0.259740259740259</v>
      </c>
    </row>
    <row r="165" spans="1:9">
      <c r="A165" s="1" t="s">
        <v>177</v>
      </c>
      <c r="B165">
        <f>HYPERLINK("https://www.suredividend.com/sure-analysis-research-database/","American National Bankshares Inc.")</f>
        <v>0</v>
      </c>
      <c r="C165">
        <v>0.08355579284570201</v>
      </c>
      <c r="D165">
        <v>-0.004280685400286001</v>
      </c>
      <c r="E165">
        <v>0.4827343096463571</v>
      </c>
      <c r="F165">
        <v>0.151019158131146</v>
      </c>
      <c r="G165">
        <v>0.144854079759013</v>
      </c>
      <c r="H165">
        <v>0.176569483979059</v>
      </c>
      <c r="I165">
        <v>0.353496281970055</v>
      </c>
    </row>
    <row r="166" spans="1:9">
      <c r="A166" s="1" t="s">
        <v>178</v>
      </c>
      <c r="B166">
        <f>HYPERLINK("https://www.suredividend.com/sure-analysis-AMP/","Ameriprise Financial Inc")</f>
        <v>0</v>
      </c>
      <c r="C166">
        <v>0.016909102068372</v>
      </c>
      <c r="D166">
        <v>-0.043466739562985</v>
      </c>
      <c r="E166">
        <v>0.13611156158169</v>
      </c>
      <c r="F166">
        <v>0.07728023557966901</v>
      </c>
      <c r="G166">
        <v>0.09077957641398601</v>
      </c>
      <c r="H166">
        <v>0.112166844157356</v>
      </c>
      <c r="I166">
        <v>1.895760656035682</v>
      </c>
    </row>
    <row r="167" spans="1:9">
      <c r="A167" s="1" t="s">
        <v>179</v>
      </c>
      <c r="B167">
        <f>HYPERLINK("https://www.suredividend.com/sure-analysis-research-database/","Ampio Pharmaceuticals Inc")</f>
        <v>0</v>
      </c>
      <c r="C167">
        <v>-0.298342541436464</v>
      </c>
      <c r="D167">
        <v>-0.451522349384582</v>
      </c>
      <c r="E167">
        <v>-0.358585858585858</v>
      </c>
      <c r="F167">
        <v>-0.436056838365896</v>
      </c>
      <c r="G167">
        <v>1.174657534246575</v>
      </c>
      <c r="H167">
        <v>-0.9185897435897431</v>
      </c>
      <c r="I167">
        <v>-0.726469954770622</v>
      </c>
    </row>
    <row r="168" spans="1:9">
      <c r="A168" s="1" t="s">
        <v>180</v>
      </c>
      <c r="B168">
        <f>HYPERLINK("https://www.suredividend.com/sure-analysis-research-database/","Amphastar Pharmaceuticals Inc")</f>
        <v>0</v>
      </c>
      <c r="C168">
        <v>-0.006340183646698001</v>
      </c>
      <c r="D168">
        <v>-0.263251742583887</v>
      </c>
      <c r="E168">
        <v>0.230040595399188</v>
      </c>
      <c r="F168">
        <v>0.6220556745182011</v>
      </c>
      <c r="G168">
        <v>0.497528830313014</v>
      </c>
      <c r="H168">
        <v>1.363494539781591</v>
      </c>
      <c r="I168">
        <v>1.42141715503463</v>
      </c>
    </row>
    <row r="169" spans="1:9">
      <c r="A169" s="1" t="s">
        <v>181</v>
      </c>
      <c r="B169">
        <f>HYPERLINK("https://www.suredividend.com/sure-analysis-research-database/","Alpha Metallurgical Resources Inc")</f>
        <v>0</v>
      </c>
      <c r="C169">
        <v>-0.133057621187418</v>
      </c>
      <c r="D169">
        <v>0.280702403674154</v>
      </c>
      <c r="E169">
        <v>0.5537427804163261</v>
      </c>
      <c r="F169">
        <v>0.5016127821335561</v>
      </c>
      <c r="G169">
        <v>0.413356775827262</v>
      </c>
      <c r="H169">
        <v>2.868319913126488</v>
      </c>
      <c r="I169">
        <v>1.9068</v>
      </c>
    </row>
    <row r="170" spans="1:9">
      <c r="A170" s="1" t="s">
        <v>182</v>
      </c>
      <c r="B170">
        <f>HYPERLINK("https://www.suredividend.com/sure-analysis-research-database/","American River Bancshares")</f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>
      <c r="A171" s="1" t="s">
        <v>183</v>
      </c>
      <c r="B171">
        <f>HYPERLINK("https://www.suredividend.com/sure-analysis-research-database/","Ameresco Inc.")</f>
        <v>0</v>
      </c>
      <c r="C171">
        <v>-0.233549844676644</v>
      </c>
      <c r="D171">
        <v>-0.470025385666861</v>
      </c>
      <c r="E171">
        <v>-0.395141519946512</v>
      </c>
      <c r="F171">
        <v>-0.5250262513125651</v>
      </c>
      <c r="G171">
        <v>-0.478076923076923</v>
      </c>
      <c r="H171">
        <v>-0.7099497702254991</v>
      </c>
      <c r="I171">
        <v>0.7319719208679001</v>
      </c>
    </row>
    <row r="172" spans="1:9">
      <c r="A172" s="1" t="s">
        <v>184</v>
      </c>
      <c r="B172">
        <f>HYPERLINK("https://www.suredividend.com/sure-analysis-research-database/","A-Mark Precious Metals Inc")</f>
        <v>0</v>
      </c>
      <c r="C172">
        <v>-0.042592671890834</v>
      </c>
      <c r="D172">
        <v>-0.269920053116513</v>
      </c>
      <c r="E172">
        <v>-0.181308319958012</v>
      </c>
      <c r="F172">
        <v>-0.149301812370794</v>
      </c>
      <c r="G172">
        <v>-0.016812758347747</v>
      </c>
      <c r="H172">
        <v>-0.199025575653721</v>
      </c>
      <c r="I172">
        <v>4.347284504235176</v>
      </c>
    </row>
    <row r="173" spans="1:9">
      <c r="A173" s="1" t="s">
        <v>185</v>
      </c>
      <c r="B173">
        <f>HYPERLINK("https://www.suredividend.com/sure-analysis-research-database/","Amyris Inc")</f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>
      <c r="A174" s="1" t="s">
        <v>186</v>
      </c>
      <c r="B174">
        <f>HYPERLINK("https://www.suredividend.com/sure-analysis-research-database/","Amneal Pharmaceuticals Inc")</f>
        <v>0</v>
      </c>
      <c r="C174">
        <v>-0.0303738317757</v>
      </c>
      <c r="D174">
        <v>0.300940438871473</v>
      </c>
      <c r="E174">
        <v>1.231182795698925</v>
      </c>
      <c r="F174">
        <v>1.085427135678392</v>
      </c>
      <c r="G174">
        <v>0.966824644549763</v>
      </c>
      <c r="H174">
        <v>-0.286941580756013</v>
      </c>
      <c r="I174">
        <v>-0.7812335266209801</v>
      </c>
    </row>
    <row r="175" spans="1:9">
      <c r="A175" s="1" t="s">
        <v>187</v>
      </c>
      <c r="B175">
        <f>HYPERLINK("https://www.suredividend.com/sure-analysis-research-database/","American Shared Hospital Services")</f>
        <v>0</v>
      </c>
      <c r="C175">
        <v>-0.08267716535433001</v>
      </c>
      <c r="D175">
        <v>-0.110687022900763</v>
      </c>
      <c r="E175">
        <v>-0.170818505338078</v>
      </c>
      <c r="F175">
        <v>-0.204778156996587</v>
      </c>
      <c r="G175">
        <v>-0.110687022900763</v>
      </c>
      <c r="H175">
        <v>-0.225913621262458</v>
      </c>
      <c r="I175">
        <v>-0.268147124414988</v>
      </c>
    </row>
    <row r="176" spans="1:9">
      <c r="A176" s="1" t="s">
        <v>188</v>
      </c>
      <c r="B176">
        <f>HYPERLINK("https://www.suredividend.com/sure-analysis-research-database/","American Superconductor Corp.")</f>
        <v>0</v>
      </c>
      <c r="C176">
        <v>0.006934812760055</v>
      </c>
      <c r="D176">
        <v>-0.366492146596858</v>
      </c>
      <c r="E176">
        <v>0.81954887218045</v>
      </c>
      <c r="F176">
        <v>0.9728260869565211</v>
      </c>
      <c r="G176">
        <v>1</v>
      </c>
      <c r="H176">
        <v>-0.601973684210526</v>
      </c>
      <c r="I176">
        <v>-0.075159235668789</v>
      </c>
    </row>
    <row r="177" spans="1:9">
      <c r="A177" s="1" t="s">
        <v>189</v>
      </c>
      <c r="B177">
        <f>HYPERLINK("https://www.suredividend.com/sure-analysis-research-database/","Amerisafe Inc")</f>
        <v>0</v>
      </c>
      <c r="C177">
        <v>0.030694668820678</v>
      </c>
      <c r="D177">
        <v>-0.034799414525663</v>
      </c>
      <c r="E177">
        <v>-0.05571363553950501</v>
      </c>
      <c r="F177">
        <v>0.014661299140201</v>
      </c>
      <c r="G177">
        <v>-0.05795844238301</v>
      </c>
      <c r="H177">
        <v>-0.047970782551602</v>
      </c>
      <c r="I177">
        <v>0.11507027083711</v>
      </c>
    </row>
    <row r="178" spans="1:9">
      <c r="A178" s="1" t="s">
        <v>190</v>
      </c>
      <c r="B178">
        <f>HYPERLINK("https://www.suredividend.com/sure-analysis-research-database/","American Software Inc.")</f>
        <v>0</v>
      </c>
      <c r="C178">
        <v>-0.051528384279475</v>
      </c>
      <c r="D178">
        <v>-0.047117662542774</v>
      </c>
      <c r="E178">
        <v>-0.098051592113349</v>
      </c>
      <c r="F178">
        <v>-0.240777119846757</v>
      </c>
      <c r="G178">
        <v>-0.313019110214254</v>
      </c>
      <c r="H178">
        <v>-0.6197705318661001</v>
      </c>
      <c r="I178">
        <v>0.07370606554945801</v>
      </c>
    </row>
    <row r="179" spans="1:9">
      <c r="A179" s="1" t="s">
        <v>191</v>
      </c>
      <c r="B179">
        <f>HYPERLINK("https://www.suredividend.com/sure-analysis-AMT/","American Tower Corp.")</f>
        <v>0</v>
      </c>
      <c r="C179">
        <v>0.150268187698283</v>
      </c>
      <c r="D179">
        <v>-0.024184745169939</v>
      </c>
      <c r="E179">
        <v>-0.043821680921503</v>
      </c>
      <c r="F179">
        <v>-0.108230286271879</v>
      </c>
      <c r="G179">
        <v>-0.072430976322434</v>
      </c>
      <c r="H179">
        <v>-0.310624174311943</v>
      </c>
      <c r="I179">
        <v>0.355883533175521</v>
      </c>
    </row>
    <row r="180" spans="1:9">
      <c r="A180" s="1" t="s">
        <v>192</v>
      </c>
      <c r="B180">
        <f>HYPERLINK("https://www.suredividend.com/sure-analysis-research-database/","AMTD IDEA Group")</f>
        <v>0</v>
      </c>
      <c r="C180">
        <v>-0.399193548387096</v>
      </c>
      <c r="D180">
        <v>-0.5</v>
      </c>
      <c r="E180">
        <v>-0.5565476190476191</v>
      </c>
      <c r="F180">
        <v>-0.586111111111111</v>
      </c>
      <c r="G180">
        <v>-0.6311881188118811</v>
      </c>
      <c r="H180">
        <v>-0.8079896907216491</v>
      </c>
      <c r="I180">
        <v>-0.926164519326065</v>
      </c>
    </row>
    <row r="181" spans="1:9">
      <c r="A181" s="1" t="s">
        <v>193</v>
      </c>
      <c r="B181">
        <f>HYPERLINK("https://www.suredividend.com/sure-analysis-research-database/","Aemetis Inc")</f>
        <v>0</v>
      </c>
      <c r="C181">
        <v>0.122685185185185</v>
      </c>
      <c r="D181">
        <v>-0.28728875826598</v>
      </c>
      <c r="E181">
        <v>1.342995169082125</v>
      </c>
      <c r="F181">
        <v>0.224747474747474</v>
      </c>
      <c r="G181">
        <v>-0.295058139534883</v>
      </c>
      <c r="H181">
        <v>-0.7678314983245571</v>
      </c>
      <c r="I181">
        <v>4.159574468085106</v>
      </c>
    </row>
    <row r="182" spans="1:9">
      <c r="A182" s="1" t="s">
        <v>194</v>
      </c>
      <c r="B182">
        <f>HYPERLINK("https://www.suredividend.com/sure-analysis-research-database/","American Woodmark Corp.")</f>
        <v>0</v>
      </c>
      <c r="C182">
        <v>-0.06418383518225</v>
      </c>
      <c r="D182">
        <v>-0.081291326332166</v>
      </c>
      <c r="E182">
        <v>0.4107107306390601</v>
      </c>
      <c r="F182">
        <v>0.450266066311911</v>
      </c>
      <c r="G182">
        <v>0.5652750165672621</v>
      </c>
      <c r="H182">
        <v>0.000423549343498</v>
      </c>
      <c r="I182">
        <v>0.082327783717733</v>
      </c>
    </row>
    <row r="183" spans="1:9">
      <c r="A183" s="1" t="s">
        <v>195</v>
      </c>
      <c r="B183">
        <f>HYPERLINK("https://www.suredividend.com/sure-analysis-research-database/","Amazon.com Inc.")</f>
        <v>0</v>
      </c>
      <c r="C183">
        <v>0.066507029198207</v>
      </c>
      <c r="D183">
        <v>0.07690507760705001</v>
      </c>
      <c r="E183">
        <v>0.332336196082215</v>
      </c>
      <c r="F183">
        <v>0.643690476190476</v>
      </c>
      <c r="G183">
        <v>0.4988059053408591</v>
      </c>
      <c r="H183">
        <v>-0.166432722058712</v>
      </c>
      <c r="I183">
        <v>0.6579707360419801</v>
      </c>
    </row>
    <row r="184" spans="1:9">
      <c r="A184" s="1" t="s">
        <v>196</v>
      </c>
      <c r="B184">
        <f>HYPERLINK("https://www.suredividend.com/sure-analysis-research-database/","Autonation Inc.")</f>
        <v>0</v>
      </c>
      <c r="C184">
        <v>-0.07439375256884401</v>
      </c>
      <c r="D184">
        <v>-0.1477229721206</v>
      </c>
      <c r="E184">
        <v>0.002076535152773</v>
      </c>
      <c r="F184">
        <v>0.259273066169617</v>
      </c>
      <c r="G184">
        <v>0.271119473189087</v>
      </c>
      <c r="H184">
        <v>0.124968778619598</v>
      </c>
      <c r="I184">
        <v>2.31990171990172</v>
      </c>
    </row>
    <row r="185" spans="1:9">
      <c r="A185" s="1" t="s">
        <v>197</v>
      </c>
      <c r="B185">
        <f>HYPERLINK("https://www.suredividend.com/sure-analysis-research-database/","AnaptysBio Inc")</f>
        <v>0</v>
      </c>
      <c r="C185">
        <v>-0.08111174134997101</v>
      </c>
      <c r="D185">
        <v>-0.201577131591917</v>
      </c>
      <c r="E185">
        <v>-0.227467811158798</v>
      </c>
      <c r="F185">
        <v>-0.477250726040658</v>
      </c>
      <c r="G185">
        <v>-0.445585215605749</v>
      </c>
      <c r="H185">
        <v>-0.474708171206225</v>
      </c>
      <c r="I185">
        <v>-0.8005417384880571</v>
      </c>
    </row>
    <row r="186" spans="1:9">
      <c r="A186" s="1" t="s">
        <v>198</v>
      </c>
      <c r="B186">
        <f>HYPERLINK("https://www.suredividend.com/sure-analysis-research-database/","American National Group Inc")</f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>
      <c r="A187" s="1" t="s">
        <v>199</v>
      </c>
      <c r="B187">
        <f>HYPERLINK("https://www.suredividend.com/sure-analysis-ANDE/","Andersons Inc.")</f>
        <v>0</v>
      </c>
      <c r="C187">
        <v>0.024842271293375</v>
      </c>
      <c r="D187">
        <v>0.049064661374924</v>
      </c>
      <c r="E187">
        <v>0.202686725327915</v>
      </c>
      <c r="F187">
        <v>0.515125016760232</v>
      </c>
      <c r="G187">
        <v>0.4588665858368131</v>
      </c>
      <c r="H187">
        <v>0.5895246715757021</v>
      </c>
      <c r="I187">
        <v>0.6191734054350391</v>
      </c>
    </row>
    <row r="188" spans="1:9">
      <c r="A188" s="1" t="s">
        <v>200</v>
      </c>
      <c r="B188">
        <f>HYPERLINK("https://www.suredividend.com/sure-analysis-research-database/","Arista Networks Inc")</f>
        <v>0</v>
      </c>
      <c r="C188">
        <v>0.127096533730898</v>
      </c>
      <c r="D188">
        <v>0.194043321299639</v>
      </c>
      <c r="E188">
        <v>0.568232330715661</v>
      </c>
      <c r="F188">
        <v>0.744375772558714</v>
      </c>
      <c r="G188">
        <v>0.692898272552783</v>
      </c>
      <c r="H188">
        <v>0.721430459267692</v>
      </c>
      <c r="I188">
        <v>2.28478876517826</v>
      </c>
    </row>
    <row r="189" spans="1:9">
      <c r="A189" s="1" t="s">
        <v>201</v>
      </c>
      <c r="B189">
        <f>HYPERLINK("https://www.suredividend.com/sure-analysis-research-database/","Abercrombie &amp; Fitch Co.")</f>
        <v>0</v>
      </c>
      <c r="C189">
        <v>0.08574858514834501</v>
      </c>
      <c r="D189">
        <v>0.62667009249743</v>
      </c>
      <c r="E189">
        <v>1.745446660884649</v>
      </c>
      <c r="F189">
        <v>1.763422086425142</v>
      </c>
      <c r="G189">
        <v>2.827690447400242</v>
      </c>
      <c r="H189">
        <v>0.4938650306748461</v>
      </c>
      <c r="I189">
        <v>2.35426104002755</v>
      </c>
    </row>
    <row r="190" spans="1:9">
      <c r="A190" s="1" t="s">
        <v>202</v>
      </c>
      <c r="B190">
        <f>HYPERLINK("https://www.suredividend.com/sure-analysis-research-database/","Angi Inc")</f>
        <v>0</v>
      </c>
      <c r="C190">
        <v>-0.183673469387755</v>
      </c>
      <c r="D190">
        <v>-0.5886889460154241</v>
      </c>
      <c r="E190">
        <v>-0.304347826086956</v>
      </c>
      <c r="F190">
        <v>-0.319148936170212</v>
      </c>
      <c r="G190">
        <v>-0.272727272727272</v>
      </c>
      <c r="H190">
        <v>-0.8644067796610171</v>
      </c>
      <c r="I190">
        <v>-0.916142557651991</v>
      </c>
    </row>
    <row r="191" spans="1:9">
      <c r="A191" s="1" t="s">
        <v>203</v>
      </c>
      <c r="B191">
        <f>HYPERLINK("https://www.suredividend.com/sure-analysis-research-database/","Angiodynamic Inc")</f>
        <v>0</v>
      </c>
      <c r="C191">
        <v>-0.12768817204301</v>
      </c>
      <c r="D191">
        <v>-0.226460071513706</v>
      </c>
      <c r="E191">
        <v>-0.237367802585193</v>
      </c>
      <c r="F191">
        <v>-0.5286855482933911</v>
      </c>
      <c r="G191">
        <v>-0.533764367816091</v>
      </c>
      <c r="H191">
        <v>-0.780520798106188</v>
      </c>
      <c r="I191">
        <v>-0.688430148823811</v>
      </c>
    </row>
    <row r="192" spans="1:9">
      <c r="A192" s="1" t="s">
        <v>204</v>
      </c>
      <c r="B192">
        <f>HYPERLINK("https://www.suredividend.com/sure-analysis-research-database/","Anworth Mortgage Asset Corp.")</f>
        <v>0</v>
      </c>
      <c r="C192">
        <v>0.09833407047029301</v>
      </c>
      <c r="D192">
        <v>0.165610576546976</v>
      </c>
      <c r="E192">
        <v>0.779848294809771</v>
      </c>
      <c r="F192">
        <v>0.114560347084564</v>
      </c>
      <c r="G192">
        <v>1.549187339606501</v>
      </c>
      <c r="H192">
        <v>-0.09636727515313201</v>
      </c>
      <c r="I192">
        <v>0.114018691588785</v>
      </c>
    </row>
    <row r="193" spans="1:9">
      <c r="A193" s="1" t="s">
        <v>205</v>
      </c>
      <c r="B193">
        <f>HYPERLINK("https://www.suredividend.com/sure-analysis-research-database/","Anika Therapeutics Inc.")</f>
        <v>0</v>
      </c>
      <c r="C193">
        <v>0.01605136436597</v>
      </c>
      <c r="D193">
        <v>-0.151853506029477</v>
      </c>
      <c r="E193">
        <v>-0.264808362369338</v>
      </c>
      <c r="F193">
        <v>-0.358445945945946</v>
      </c>
      <c r="G193">
        <v>-0.36889332003988</v>
      </c>
      <c r="H193">
        <v>-0.5535966149506341</v>
      </c>
      <c r="I193">
        <v>-0.475269411439624</v>
      </c>
    </row>
    <row r="194" spans="1:9">
      <c r="A194" s="1" t="s">
        <v>206</v>
      </c>
      <c r="B194">
        <f>HYPERLINK("https://www.suredividend.com/sure-analysis-research-database/","ANI Pharmaceuticals Inc")</f>
        <v>0</v>
      </c>
      <c r="C194">
        <v>0.100052751890276</v>
      </c>
      <c r="D194">
        <v>0.223547819284177</v>
      </c>
      <c r="E194">
        <v>0.6467491445117131</v>
      </c>
      <c r="F194">
        <v>0.5550584141188171</v>
      </c>
      <c r="G194">
        <v>0.639842726081258</v>
      </c>
      <c r="H194">
        <v>0.100439753737906</v>
      </c>
      <c r="I194">
        <v>0.205162781737622</v>
      </c>
    </row>
    <row r="195" spans="1:9">
      <c r="A195" s="1" t="s">
        <v>207</v>
      </c>
      <c r="B195">
        <f>HYPERLINK("https://www.suredividend.com/sure-analysis-research-database/","Anixa Biosciences Inc")</f>
        <v>0</v>
      </c>
      <c r="C195">
        <v>0.059602649006622</v>
      </c>
      <c r="D195">
        <v>-0.113573407202215</v>
      </c>
      <c r="E195">
        <v>-0.18158567774936</v>
      </c>
      <c r="F195">
        <v>-0.247058823529411</v>
      </c>
      <c r="G195">
        <v>-0.397363465160075</v>
      </c>
      <c r="H195">
        <v>-0.384615384615384</v>
      </c>
      <c r="I195">
        <v>-0.098591549295774</v>
      </c>
    </row>
    <row r="196" spans="1:9">
      <c r="A196" s="1" t="s">
        <v>208</v>
      </c>
      <c r="B196">
        <f>HYPERLINK("https://www.suredividend.com/sure-analysis-research-database/","Ansys Inc.")</f>
        <v>0</v>
      </c>
      <c r="C196">
        <v>-0.08254875588433</v>
      </c>
      <c r="D196">
        <v>-0.161416233826105</v>
      </c>
      <c r="E196">
        <v>-0.116475616864192</v>
      </c>
      <c r="F196">
        <v>0.129392772879672</v>
      </c>
      <c r="G196">
        <v>0.3026975411792791</v>
      </c>
      <c r="H196">
        <v>-0.289767550823854</v>
      </c>
      <c r="I196">
        <v>0.757148377125193</v>
      </c>
    </row>
    <row r="197" spans="1:9">
      <c r="A197" s="1" t="s">
        <v>209</v>
      </c>
      <c r="B197">
        <f>HYPERLINK("https://www.suredividend.com/sure-analysis-AON/","Aon plc.")</f>
        <v>0</v>
      </c>
      <c r="C197">
        <v>0.001652531803442</v>
      </c>
      <c r="D197">
        <v>-0.004634915579098</v>
      </c>
      <c r="E197">
        <v>0.004989754579155001</v>
      </c>
      <c r="F197">
        <v>0.07842689658784001</v>
      </c>
      <c r="G197">
        <v>0.159599935315079</v>
      </c>
      <c r="H197">
        <v>0.07036023410985601</v>
      </c>
      <c r="I197">
        <v>1.105212801790856</v>
      </c>
    </row>
    <row r="198" spans="1:9">
      <c r="A198" s="1" t="s">
        <v>210</v>
      </c>
      <c r="B198">
        <f>HYPERLINK("https://www.suredividend.com/sure-analysis-AOS/","A.O. Smith Corp.")</f>
        <v>0</v>
      </c>
      <c r="C198">
        <v>0.085364239720223</v>
      </c>
      <c r="D198">
        <v>-0.012421208237251</v>
      </c>
      <c r="E198">
        <v>0.031547871194585</v>
      </c>
      <c r="F198">
        <v>0.269460012454408</v>
      </c>
      <c r="G198">
        <v>0.353145327997875</v>
      </c>
      <c r="H198">
        <v>-0.05528846472128</v>
      </c>
      <c r="I198">
        <v>0.6279621610028331</v>
      </c>
    </row>
    <row r="199" spans="1:9">
      <c r="A199" s="1" t="s">
        <v>211</v>
      </c>
      <c r="B199">
        <f>HYPERLINK("https://www.suredividend.com/sure-analysis-research-database/","Alpha &amp; Omega Semiconductor Ltd")</f>
        <v>0</v>
      </c>
      <c r="C199">
        <v>-0.163017851128326</v>
      </c>
      <c r="D199">
        <v>-0.232550957381099</v>
      </c>
      <c r="E199">
        <v>0.036280233527939</v>
      </c>
      <c r="F199">
        <v>-0.130206510325516</v>
      </c>
      <c r="G199">
        <v>-0.224648985959438</v>
      </c>
      <c r="H199">
        <v>-0.330549568965517</v>
      </c>
      <c r="I199">
        <v>1.257039055404178</v>
      </c>
    </row>
    <row r="200" spans="1:9">
      <c r="A200" s="1" t="s">
        <v>212</v>
      </c>
      <c r="B200">
        <f>HYPERLINK("https://www.suredividend.com/sure-analysis-research-database/","Ampco-Pittsburgh Corp.")</f>
        <v>0</v>
      </c>
      <c r="C200">
        <v>0.07251908396946501</v>
      </c>
      <c r="D200">
        <v>-0.258575197889182</v>
      </c>
      <c r="E200">
        <v>-0.06333333333333301</v>
      </c>
      <c r="F200">
        <v>0.119521912350597</v>
      </c>
      <c r="G200">
        <v>-0.060200668896321</v>
      </c>
      <c r="H200">
        <v>-0.470809792843691</v>
      </c>
      <c r="I200">
        <v>-0.329355608591885</v>
      </c>
    </row>
    <row r="201" spans="1:9">
      <c r="A201" s="1" t="s">
        <v>213</v>
      </c>
      <c r="B201">
        <f>HYPERLINK("https://www.suredividend.com/sure-analysis-APA/","APA Corporation")</f>
        <v>0</v>
      </c>
      <c r="C201">
        <v>0.015736364078402</v>
      </c>
      <c r="D201">
        <v>0.029278286351494</v>
      </c>
      <c r="E201">
        <v>0.18408334228332</v>
      </c>
      <c r="F201">
        <v>-0.117888265847007</v>
      </c>
      <c r="G201">
        <v>-0.06923625311896101</v>
      </c>
      <c r="H201">
        <v>0.5335929892891911</v>
      </c>
      <c r="I201">
        <v>1.157381789719143</v>
      </c>
    </row>
    <row r="202" spans="1:9">
      <c r="A202" s="1" t="s">
        <v>214</v>
      </c>
      <c r="B202">
        <f>HYPERLINK("https://www.suredividend.com/sure-analysis-APAM/","Artisan Partners Asset Management Inc")</f>
        <v>0</v>
      </c>
      <c r="C202">
        <v>-0.024489795918367</v>
      </c>
      <c r="D202">
        <v>-0.053575294223245</v>
      </c>
      <c r="E202">
        <v>0.108160823964711</v>
      </c>
      <c r="F202">
        <v>0.258451104698919</v>
      </c>
      <c r="G202">
        <v>0.308451465027665</v>
      </c>
      <c r="H202">
        <v>-0.171965548223479</v>
      </c>
      <c r="I202">
        <v>0.9532526969597911</v>
      </c>
    </row>
    <row r="203" spans="1:9">
      <c r="A203" s="1" t="s">
        <v>215</v>
      </c>
      <c r="B203">
        <f>HYPERLINK("https://www.suredividend.com/sure-analysis-APD/","Air Products &amp; Chemicals Inc.")</f>
        <v>0</v>
      </c>
      <c r="C203">
        <v>0.03776694854522</v>
      </c>
      <c r="D203">
        <v>-0.02646808793855</v>
      </c>
      <c r="E203">
        <v>0.001736315276115</v>
      </c>
      <c r="F203">
        <v>-0.04306915693804601</v>
      </c>
      <c r="G203">
        <v>0.209471310448509</v>
      </c>
      <c r="H203">
        <v>0.020039432226652</v>
      </c>
      <c r="I203">
        <v>1.084966600364123</v>
      </c>
    </row>
    <row r="204" spans="1:9">
      <c r="A204" s="1" t="s">
        <v>216</v>
      </c>
      <c r="B204">
        <f>HYPERLINK("https://www.suredividend.com/sure-analysis-research-database/","Applied Dna Sciences Inc")</f>
        <v>0</v>
      </c>
      <c r="C204">
        <v>-0.280701754385964</v>
      </c>
      <c r="D204">
        <v>-0.5367231638418081</v>
      </c>
      <c r="E204">
        <v>-0.18</v>
      </c>
      <c r="F204">
        <v>-0.506024096385542</v>
      </c>
      <c r="G204">
        <v>-0.506024096385542</v>
      </c>
      <c r="H204">
        <v>-0.8535714285714281</v>
      </c>
      <c r="I204">
        <v>-0.983057851239669</v>
      </c>
    </row>
    <row r="205" spans="1:9">
      <c r="A205" s="1" t="s">
        <v>217</v>
      </c>
      <c r="B205">
        <f>HYPERLINK("https://www.suredividend.com/sure-analysis-research-database/","American Public Education Inc")</f>
        <v>0</v>
      </c>
      <c r="C205">
        <v>-0.106157112526539</v>
      </c>
      <c r="D205">
        <v>-0.14430894308943</v>
      </c>
      <c r="E205">
        <v>-0.217472118959107</v>
      </c>
      <c r="F205">
        <v>-0.657445077298616</v>
      </c>
      <c r="G205">
        <v>-0.6602098466505241</v>
      </c>
      <c r="H205">
        <v>-0.8321371610845291</v>
      </c>
      <c r="I205">
        <v>-0.8733453670276771</v>
      </c>
    </row>
    <row r="206" spans="1:9">
      <c r="A206" s="1" t="s">
        <v>218</v>
      </c>
      <c r="B206">
        <f>HYPERLINK("https://www.suredividend.com/sure-analysis-research-database/","Apollo Endosurgery Inc")</f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>
      <c r="A207" s="1" t="s">
        <v>219</v>
      </c>
      <c r="B207">
        <f>HYPERLINK("https://www.suredividend.com/sure-analysis-research-database/","Apex Global Brands Inc")</f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>
      <c r="A208" s="1" t="s">
        <v>220</v>
      </c>
      <c r="B208">
        <f>HYPERLINK("https://www.suredividend.com/sure-analysis-APH/","Amphenol Corp.")</f>
        <v>0</v>
      </c>
      <c r="C208">
        <v>0.005444646098003001</v>
      </c>
      <c r="D208">
        <v>-0.05743306470364701</v>
      </c>
      <c r="E208">
        <v>0.10825711565083</v>
      </c>
      <c r="F208">
        <v>0.09991198056954501</v>
      </c>
      <c r="G208">
        <v>0.134330069574974</v>
      </c>
      <c r="H208">
        <v>0.09073583323160901</v>
      </c>
      <c r="I208">
        <v>0.9386762410677411</v>
      </c>
    </row>
    <row r="209" spans="1:9">
      <c r="A209" s="1" t="s">
        <v>221</v>
      </c>
      <c r="B209">
        <f>HYPERLINK("https://www.suredividend.com/sure-analysis-APLE/","Apple Hospitality REIT Inc")</f>
        <v>0</v>
      </c>
      <c r="C209">
        <v>0.09690417561001301</v>
      </c>
      <c r="D209">
        <v>0.12767959278989</v>
      </c>
      <c r="E209">
        <v>0.172809956917185</v>
      </c>
      <c r="F209">
        <v>0.1125282973509</v>
      </c>
      <c r="G209">
        <v>0.09374281944052301</v>
      </c>
      <c r="H209">
        <v>0.139745370212009</v>
      </c>
      <c r="I209">
        <v>0.259582961607669</v>
      </c>
    </row>
    <row r="210" spans="1:9">
      <c r="A210" s="1" t="s">
        <v>222</v>
      </c>
      <c r="B210">
        <f>HYPERLINK("https://www.suredividend.com/sure-analysis-research-database/","Apellis Pharmaceuticals Inc")</f>
        <v>0</v>
      </c>
      <c r="C210">
        <v>0.32794830371567</v>
      </c>
      <c r="D210">
        <v>1.058430717863105</v>
      </c>
      <c r="E210">
        <v>-0.406783738272792</v>
      </c>
      <c r="F210">
        <v>-0.046219299941984</v>
      </c>
      <c r="G210">
        <v>-0.16759493670886</v>
      </c>
      <c r="H210">
        <v>0.496813353566009</v>
      </c>
      <c r="I210">
        <v>2.288</v>
      </c>
    </row>
    <row r="211" spans="1:9">
      <c r="A211" s="1" t="s">
        <v>223</v>
      </c>
      <c r="B211">
        <f>HYPERLINK("https://www.suredividend.com/sure-analysis-APOG/","Apogee Enterprises Inc.")</f>
        <v>0</v>
      </c>
      <c r="C211">
        <v>-0.04485268326902801</v>
      </c>
      <c r="D211">
        <v>-0.115049640089043</v>
      </c>
      <c r="E211">
        <v>0.071021218855086</v>
      </c>
      <c r="F211">
        <v>0.013795719115528</v>
      </c>
      <c r="G211">
        <v>0.013795719115528</v>
      </c>
      <c r="H211">
        <v>0.005441429632945</v>
      </c>
      <c r="I211">
        <v>0.313409619813584</v>
      </c>
    </row>
    <row r="212" spans="1:9">
      <c r="A212" s="1" t="s">
        <v>224</v>
      </c>
      <c r="B212">
        <f>HYPERLINK("https://www.suredividend.com/sure-analysis-research-database/","Appfolio Inc")</f>
        <v>0</v>
      </c>
      <c r="C212">
        <v>0.018534576197702</v>
      </c>
      <c r="D212">
        <v>0.078565279770444</v>
      </c>
      <c r="E212">
        <v>0.366538209845124</v>
      </c>
      <c r="F212">
        <v>0.783450370089201</v>
      </c>
      <c r="G212">
        <v>0.5724564926372151</v>
      </c>
      <c r="H212">
        <v>0.420881530203371</v>
      </c>
      <c r="I212">
        <v>2.243700379703141</v>
      </c>
    </row>
    <row r="213" spans="1:9">
      <c r="A213" s="1" t="s">
        <v>225</v>
      </c>
      <c r="B213">
        <f>HYPERLINK("https://www.suredividend.com/sure-analysis-research-database/","Appian Corp")</f>
        <v>0</v>
      </c>
      <c r="C213">
        <v>-0.063524130190796</v>
      </c>
      <c r="D213">
        <v>-0.138728323699421</v>
      </c>
      <c r="E213">
        <v>0.14899476728174</v>
      </c>
      <c r="F213">
        <v>0.281326781326781</v>
      </c>
      <c r="G213">
        <v>-0.121314237573715</v>
      </c>
      <c r="H213">
        <v>-0.568874651234886</v>
      </c>
      <c r="I213">
        <v>0.6303243454474401</v>
      </c>
    </row>
    <row r="214" spans="1:9">
      <c r="A214" s="1" t="s">
        <v>226</v>
      </c>
      <c r="B214">
        <f>HYPERLINK("https://www.suredividend.com/sure-analysis-research-database/","Digital Turbine Inc")</f>
        <v>0</v>
      </c>
      <c r="C214">
        <v>-0.196339434276206</v>
      </c>
      <c r="D214">
        <v>-0.533783783783783</v>
      </c>
      <c r="E214">
        <v>-0.572566371681416</v>
      </c>
      <c r="F214">
        <v>-0.6830708661417321</v>
      </c>
      <c r="G214">
        <v>-0.637659414853713</v>
      </c>
      <c r="H214">
        <v>-0.94627363737486</v>
      </c>
      <c r="I214">
        <v>2.577777777777777</v>
      </c>
    </row>
    <row r="215" spans="1:9">
      <c r="A215" s="1" t="s">
        <v>227</v>
      </c>
      <c r="B215">
        <f>HYPERLINK("https://www.suredividend.com/sure-analysis-research-database/","Blue Apron Holdings Inc")</f>
        <v>0</v>
      </c>
      <c r="C215">
        <v>0.010920436817472</v>
      </c>
      <c r="D215">
        <v>1.343580470162748</v>
      </c>
      <c r="E215">
        <v>1</v>
      </c>
      <c r="F215">
        <v>0.301204819277108</v>
      </c>
      <c r="G215">
        <v>-0.522123893805309</v>
      </c>
      <c r="H215">
        <v>-0.892</v>
      </c>
      <c r="I215">
        <v>-0.9489361702127661</v>
      </c>
    </row>
    <row r="216" spans="1:9">
      <c r="A216" s="1" t="s">
        <v>228</v>
      </c>
      <c r="B216">
        <f>HYPERLINK("https://www.suredividend.com/sure-analysis-research-database/","Alpha Pro Tech Ltd.")</f>
        <v>0</v>
      </c>
      <c r="C216">
        <v>-0.04086538461538401</v>
      </c>
      <c r="D216">
        <v>0.017857142857143</v>
      </c>
      <c r="E216">
        <v>-0.009925558312655</v>
      </c>
      <c r="F216">
        <v>-0.007462686567163</v>
      </c>
      <c r="G216">
        <v>-0.038554216867469</v>
      </c>
      <c r="H216">
        <v>-0.356451612903225</v>
      </c>
      <c r="I216">
        <v>0.227692307692307</v>
      </c>
    </row>
    <row r="217" spans="1:9">
      <c r="A217" s="1" t="s">
        <v>229</v>
      </c>
      <c r="B217">
        <f>HYPERLINK("https://www.suredividend.com/sure-analysis-research-database/","Preferred Apartment Communities Inc")</f>
        <v>0</v>
      </c>
      <c r="C217">
        <v>0.003613006824568</v>
      </c>
      <c r="D217">
        <v>0.008471157724889001</v>
      </c>
      <c r="E217">
        <v>0.528472383560973</v>
      </c>
      <c r="F217">
        <v>0.393906953923011</v>
      </c>
      <c r="G217">
        <v>1.526503016644602</v>
      </c>
      <c r="H217">
        <v>2.806449648284052</v>
      </c>
      <c r="I217">
        <v>1.152871068857428</v>
      </c>
    </row>
    <row r="218" spans="1:9">
      <c r="A218" s="1" t="s">
        <v>230</v>
      </c>
      <c r="B218">
        <f>HYPERLINK("https://www.suredividend.com/sure-analysis-research-database/","Aptiv PLC")</f>
        <v>0</v>
      </c>
      <c r="C218">
        <v>-0.206169665809768</v>
      </c>
      <c r="D218">
        <v>-0.273616861121565</v>
      </c>
      <c r="E218">
        <v>-0.237380223253976</v>
      </c>
      <c r="F218">
        <v>-0.171051218726511</v>
      </c>
      <c r="G218">
        <v>-0.122727272727272</v>
      </c>
      <c r="H218">
        <v>-0.557871828646698</v>
      </c>
      <c r="I218">
        <v>-0.012746062173979</v>
      </c>
    </row>
    <row r="219" spans="1:9">
      <c r="A219" s="1" t="s">
        <v>231</v>
      </c>
      <c r="B219">
        <f>HYPERLINK("https://www.suredividend.com/sure-analysis-research-database/","Aptevo Therapeutics Inc")</f>
        <v>0</v>
      </c>
      <c r="C219">
        <v>-0.21108179419525</v>
      </c>
      <c r="D219">
        <v>-0.5549859434430291</v>
      </c>
      <c r="E219">
        <v>-0.844441875252904</v>
      </c>
      <c r="F219">
        <v>-0.884008620689655</v>
      </c>
      <c r="G219">
        <v>-0.9117704918032781</v>
      </c>
      <c r="H219">
        <v>-0.9846140651801021</v>
      </c>
      <c r="I219">
        <v>-0.9947048406139311</v>
      </c>
    </row>
    <row r="220" spans="1:9">
      <c r="A220" s="1" t="s">
        <v>232</v>
      </c>
      <c r="B220">
        <f>HYPERLINK("https://www.suredividend.com/sure-analysis-research-database/","Apyx Medical Corp")</f>
        <v>0</v>
      </c>
      <c r="C220">
        <v>-0.172185430463576</v>
      </c>
      <c r="D220">
        <v>-0.542961608775137</v>
      </c>
      <c r="E220">
        <v>-0.301675977653631</v>
      </c>
      <c r="F220">
        <v>0.06837606837606801</v>
      </c>
      <c r="G220">
        <v>-0.5</v>
      </c>
      <c r="H220">
        <v>-0.829118250170881</v>
      </c>
      <c r="I220">
        <v>-0.558303886925795</v>
      </c>
    </row>
    <row r="221" spans="1:9">
      <c r="A221" s="1" t="s">
        <v>233</v>
      </c>
      <c r="B221">
        <f>HYPERLINK("https://www.suredividend.com/sure-analysis-research-database/","AquaBounty Technologies Inc")</f>
        <v>0</v>
      </c>
      <c r="C221">
        <v>-0.404761904761904</v>
      </c>
      <c r="D221">
        <v>-0.571384039900249</v>
      </c>
      <c r="E221">
        <v>-0.747242647058823</v>
      </c>
      <c r="F221">
        <v>-0.8200261780104711</v>
      </c>
      <c r="G221">
        <v>-0.8001453488372091</v>
      </c>
      <c r="H221">
        <v>-0.9678738317757011</v>
      </c>
      <c r="I221">
        <v>-0.9503610108303241</v>
      </c>
    </row>
    <row r="222" spans="1:9">
      <c r="A222" s="1" t="s">
        <v>234</v>
      </c>
      <c r="B222">
        <f>HYPERLINK("https://www.suredividend.com/sure-analysis-research-database/","Aqua Metals Inc")</f>
        <v>0</v>
      </c>
      <c r="C222">
        <v>-0.113823529411764</v>
      </c>
      <c r="D222">
        <v>-0.299302325581395</v>
      </c>
      <c r="E222">
        <v>-0.122427184466019</v>
      </c>
      <c r="F222">
        <v>-0.27688</v>
      </c>
      <c r="G222">
        <v>0.063286672156217</v>
      </c>
      <c r="H222">
        <v>-0.503351648351648</v>
      </c>
      <c r="I222">
        <v>-0.605283842794759</v>
      </c>
    </row>
    <row r="223" spans="1:9">
      <c r="A223" s="1" t="s">
        <v>235</v>
      </c>
      <c r="B223">
        <f>HYPERLINK("https://www.suredividend.com/sure-analysis-research-database/","Evoqua Water Technologies Corp")</f>
        <v>0</v>
      </c>
      <c r="C223">
        <v>0.004632426988922</v>
      </c>
      <c r="D223">
        <v>0.020249539783186</v>
      </c>
      <c r="E223">
        <v>0.130040779338468</v>
      </c>
      <c r="F223">
        <v>0.259595959595959</v>
      </c>
      <c r="G223">
        <v>0.365453052285792</v>
      </c>
      <c r="H223">
        <v>0.6587961423345521</v>
      </c>
      <c r="I223">
        <v>1.592515592515592</v>
      </c>
    </row>
    <row r="224" spans="1:9">
      <c r="A224" s="1" t="s">
        <v>236</v>
      </c>
      <c r="B224">
        <f>HYPERLINK("https://www.suredividend.com/sure-analysis-research-database/","Antero Resources Corp")</f>
        <v>0</v>
      </c>
      <c r="C224">
        <v>0.257957833815626</v>
      </c>
      <c r="D224">
        <v>0.161007249141549</v>
      </c>
      <c r="E224">
        <v>0.441496920890573</v>
      </c>
      <c r="F224">
        <v>-0.018070345272668</v>
      </c>
      <c r="G224">
        <v>-0.141365688487584</v>
      </c>
      <c r="H224">
        <v>0.4531996179560641</v>
      </c>
      <c r="I224">
        <v>0.9247311827956981</v>
      </c>
    </row>
    <row r="225" spans="1:9">
      <c r="A225" s="1" t="s">
        <v>237</v>
      </c>
      <c r="B225">
        <f>HYPERLINK("https://www.suredividend.com/sure-analysis-research-database/","American Renal Associates Holdings Inc.")</f>
        <v>0</v>
      </c>
      <c r="C225">
        <v>0.005244755244755</v>
      </c>
      <c r="D225">
        <v>0</v>
      </c>
      <c r="E225">
        <v>0.802507836990595</v>
      </c>
      <c r="F225">
        <v>0.004366812227074001</v>
      </c>
      <c r="G225">
        <v>0.171079429735234</v>
      </c>
      <c r="H225">
        <v>-0.05427631578947301</v>
      </c>
      <c r="I225">
        <v>-0.566037735849056</v>
      </c>
    </row>
    <row r="226" spans="1:9">
      <c r="A226" s="1" t="s">
        <v>238</v>
      </c>
      <c r="B226">
        <f>HYPERLINK("https://www.suredividend.com/sure-analysis-research-database/","Aravive Inc")</f>
        <v>0</v>
      </c>
      <c r="C226">
        <v>-0.03785011355034</v>
      </c>
      <c r="D226">
        <v>-0.9003137254901961</v>
      </c>
      <c r="E226">
        <v>-0.916928104575163</v>
      </c>
      <c r="F226">
        <v>-0.9037121212121211</v>
      </c>
      <c r="G226">
        <v>-0.9261046511627901</v>
      </c>
      <c r="H226">
        <v>-0.9656486486486481</v>
      </c>
      <c r="I226">
        <v>-0.9783843537414961</v>
      </c>
    </row>
    <row r="227" spans="1:9">
      <c r="A227" s="1" t="s">
        <v>239</v>
      </c>
      <c r="B227">
        <f>HYPERLINK("https://www.suredividend.com/sure-analysis-research-database/","Accuray Inc")</f>
        <v>0</v>
      </c>
      <c r="C227">
        <v>-0.018726591760299</v>
      </c>
      <c r="D227">
        <v>-0.370192307692307</v>
      </c>
      <c r="E227">
        <v>-0.196319018404907</v>
      </c>
      <c r="F227">
        <v>0.253588516746411</v>
      </c>
      <c r="G227">
        <v>0.357512953367875</v>
      </c>
      <c r="H227">
        <v>-0.511194029850746</v>
      </c>
      <c r="I227">
        <v>-0.4484210526315781</v>
      </c>
    </row>
    <row r="228" spans="1:9">
      <c r="A228" s="1" t="s">
        <v>240</v>
      </c>
      <c r="B228">
        <f>HYPERLINK("https://www.suredividend.com/sure-analysis-research-database/","ARC Document Solutions Inc")</f>
        <v>0</v>
      </c>
      <c r="C228">
        <v>-0.05094575891386</v>
      </c>
      <c r="D228">
        <v>-0.142525381844165</v>
      </c>
      <c r="E228">
        <v>-0.03781905652813</v>
      </c>
      <c r="F228">
        <v>0.046853985678455</v>
      </c>
      <c r="G228">
        <v>0.236794640556557</v>
      </c>
      <c r="H228">
        <v>0.069677611053335</v>
      </c>
      <c r="I228">
        <v>0.511414326948307</v>
      </c>
    </row>
    <row r="229" spans="1:9">
      <c r="A229" s="1" t="s">
        <v>241</v>
      </c>
      <c r="B229">
        <f>HYPERLINK("https://www.suredividend.com/sure-analysis-research-database/","ArcBest Corp")</f>
        <v>0</v>
      </c>
      <c r="C229">
        <v>0.180711987127916</v>
      </c>
      <c r="D229">
        <v>0.017035187806318</v>
      </c>
      <c r="E229">
        <v>0.302106149210429</v>
      </c>
      <c r="F229">
        <v>0.686527887107061</v>
      </c>
      <c r="G229">
        <v>0.6220368229022041</v>
      </c>
      <c r="H229">
        <v>0.125793333838331</v>
      </c>
      <c r="I229">
        <v>1.946150757803874</v>
      </c>
    </row>
    <row r="230" spans="1:9">
      <c r="A230" s="1" t="s">
        <v>242</v>
      </c>
      <c r="B230">
        <f>HYPERLINK("https://www.suredividend.com/sure-analysis-research-database/","Arch Resources Inc")</f>
        <v>0</v>
      </c>
      <c r="C230">
        <v>-0.023993808049535</v>
      </c>
      <c r="D230">
        <v>0.191285008561475</v>
      </c>
      <c r="E230">
        <v>0.272488449888409</v>
      </c>
      <c r="F230">
        <v>0.06590853698911101</v>
      </c>
      <c r="G230">
        <v>0.017148073286822</v>
      </c>
      <c r="H230">
        <v>0.754544632359591</v>
      </c>
      <c r="I230">
        <v>0.6843464419684101</v>
      </c>
    </row>
    <row r="231" spans="1:9">
      <c r="A231" s="1" t="s">
        <v>243</v>
      </c>
      <c r="B231">
        <f>HYPERLINK("https://www.suredividend.com/sure-analysis-research-database/","Ardelyx Inc")</f>
        <v>0</v>
      </c>
      <c r="C231">
        <v>-0.01231527093596</v>
      </c>
      <c r="D231">
        <v>-0.007425742574257</v>
      </c>
      <c r="E231">
        <v>-0.09684684684684601</v>
      </c>
      <c r="F231">
        <v>0.4070175438596491</v>
      </c>
      <c r="G231">
        <v>1.727891156462584</v>
      </c>
      <c r="H231">
        <v>2.31404958677686</v>
      </c>
      <c r="I231">
        <v>0.319078947368421</v>
      </c>
    </row>
    <row r="232" spans="1:9">
      <c r="A232" s="1" t="s">
        <v>244</v>
      </c>
      <c r="B232">
        <f>HYPERLINK("https://www.suredividend.com/sure-analysis-ARE/","Alexandria Real Estate Equities Inc.")</f>
        <v>0</v>
      </c>
      <c r="C232">
        <v>-0.003157465878997</v>
      </c>
      <c r="D232">
        <v>-0.189062661833246</v>
      </c>
      <c r="E232">
        <v>-0.161713780116676</v>
      </c>
      <c r="F232">
        <v>-0.305193196331374</v>
      </c>
      <c r="G232">
        <v>-0.28309084755993</v>
      </c>
      <c r="H232">
        <v>-0.4892751432972771</v>
      </c>
      <c r="I232">
        <v>-0.053399232041473</v>
      </c>
    </row>
    <row r="233" spans="1:9">
      <c r="A233" s="1" t="s">
        <v>245</v>
      </c>
      <c r="B233">
        <f>HYPERLINK("https://www.suredividend.com/sure-analysis-research-database/","Ares Management Corp")</f>
        <v>0</v>
      </c>
      <c r="C233">
        <v>0.010640374853572</v>
      </c>
      <c r="D233">
        <v>0.038248626098118</v>
      </c>
      <c r="E233">
        <v>0.275186880835984</v>
      </c>
      <c r="F233">
        <v>0.552271657285766</v>
      </c>
      <c r="G233">
        <v>0.398137707043356</v>
      </c>
      <c r="H233">
        <v>0.305843311415817</v>
      </c>
      <c r="I233">
        <v>4.409543117501985</v>
      </c>
    </row>
    <row r="234" spans="1:9">
      <c r="A234" s="1" t="s">
        <v>246</v>
      </c>
      <c r="B234">
        <f>HYPERLINK("https://www.suredividend.com/sure-analysis-research-database/","Argo Group International Holdings Ltd")</f>
        <v>0</v>
      </c>
      <c r="C234">
        <v>0.003016085790884</v>
      </c>
      <c r="D234">
        <v>0.007744107744107001</v>
      </c>
      <c r="E234">
        <v>0.017335146159075</v>
      </c>
      <c r="F234">
        <v>0.157833655705996</v>
      </c>
      <c r="G234">
        <v>0.244852971758931</v>
      </c>
      <c r="H234">
        <v>-0.4420916065823121</v>
      </c>
      <c r="I234">
        <v>-0.4542911893461881</v>
      </c>
    </row>
    <row r="235" spans="1:9">
      <c r="A235" s="1" t="s">
        <v>247</v>
      </c>
      <c r="B235">
        <f>HYPERLINK("https://www.suredividend.com/sure-analysis-ARI/","Apollo Commercial Real Estate Finance Inc")</f>
        <v>0</v>
      </c>
      <c r="C235">
        <v>0.06808943089430801</v>
      </c>
      <c r="D235">
        <v>0.035141630224953</v>
      </c>
      <c r="E235">
        <v>0.167946481158389</v>
      </c>
      <c r="F235">
        <v>0.083326461614579</v>
      </c>
      <c r="G235">
        <v>0.08693403934060001</v>
      </c>
      <c r="H235">
        <v>-0.09979357778520101</v>
      </c>
      <c r="I235">
        <v>0.026738176880318</v>
      </c>
    </row>
    <row r="236" spans="1:9">
      <c r="A236" s="1" t="s">
        <v>248</v>
      </c>
      <c r="B236">
        <f>HYPERLINK("https://www.suredividend.com/sure-analysis-research-database/","Ark Restaurants Corp.")</f>
        <v>0</v>
      </c>
      <c r="C236">
        <v>0.015645542992374</v>
      </c>
      <c r="D236">
        <v>-0.120144421601735</v>
      </c>
      <c r="E236">
        <v>-0.09339498638625401</v>
      </c>
      <c r="F236">
        <v>-0.018443104642224</v>
      </c>
      <c r="G236">
        <v>-0.205835183814458</v>
      </c>
      <c r="H236">
        <v>0.038529791352979</v>
      </c>
      <c r="I236">
        <v>-0.23748513219392</v>
      </c>
    </row>
    <row r="237" spans="1:9">
      <c r="A237" s="1" t="s">
        <v>249</v>
      </c>
      <c r="B237">
        <f>HYPERLINK("https://www.suredividend.com/sure-analysis-research-database/","American Realty Investors Inc.")</f>
        <v>0</v>
      </c>
      <c r="C237">
        <v>-0.07922912205567401</v>
      </c>
      <c r="D237">
        <v>-0.27811975377728</v>
      </c>
      <c r="E237">
        <v>-0.262857142857142</v>
      </c>
      <c r="F237">
        <v>-0.4970760233918121</v>
      </c>
      <c r="G237">
        <v>-0.295851528384279</v>
      </c>
      <c r="H237">
        <v>0.07500895840798601</v>
      </c>
      <c r="I237">
        <v>-0.18560606060606</v>
      </c>
    </row>
    <row r="238" spans="1:9">
      <c r="A238" s="1" t="s">
        <v>250</v>
      </c>
      <c r="B238">
        <f>HYPERLINK("https://www.suredividend.com/sure-analysis-research-database/","Arlo Technologies Inc")</f>
        <v>0</v>
      </c>
      <c r="C238">
        <v>-0.139399806389157</v>
      </c>
      <c r="D238">
        <v>-0.209777777777777</v>
      </c>
      <c r="E238">
        <v>0.404423380726698</v>
      </c>
      <c r="F238">
        <v>1.532763532763533</v>
      </c>
      <c r="G238">
        <v>0.8032454361054761</v>
      </c>
      <c r="H238">
        <v>0.334834834834834</v>
      </c>
      <c r="I238">
        <v>-0.31138652207591</v>
      </c>
    </row>
    <row r="239" spans="1:9">
      <c r="A239" s="1" t="s">
        <v>251</v>
      </c>
      <c r="B239">
        <f>HYPERLINK("https://www.suredividend.com/sure-analysis-research-database/","Aramark")</f>
        <v>0</v>
      </c>
      <c r="C239">
        <v>-0.196829971181556</v>
      </c>
      <c r="D239">
        <v>-0.27021825370848</v>
      </c>
      <c r="E239">
        <v>-0.176006930174939</v>
      </c>
      <c r="F239">
        <v>-0.319956957447898</v>
      </c>
      <c r="G239">
        <v>-0.19688783228874</v>
      </c>
      <c r="H239">
        <v>-0.233974482307476</v>
      </c>
      <c r="I239">
        <v>-0.169650997193438</v>
      </c>
    </row>
    <row r="240" spans="1:9">
      <c r="A240" s="1" t="s">
        <v>252</v>
      </c>
      <c r="B240">
        <f>HYPERLINK("https://www.suredividend.com/sure-analysis-research-database/","Armata Pharmaceuticals Inc")</f>
        <v>0</v>
      </c>
      <c r="C240">
        <v>-0.196456140350877</v>
      </c>
      <c r="D240">
        <v>-0.303920972644377</v>
      </c>
      <c r="E240">
        <v>0.519641672196416</v>
      </c>
      <c r="F240">
        <v>0.846854838709677</v>
      </c>
      <c r="G240">
        <v>-0.213024054982818</v>
      </c>
      <c r="H240">
        <v>-0.387673796791444</v>
      </c>
      <c r="I240">
        <v>6.43538961038961</v>
      </c>
    </row>
    <row r="241" spans="1:9">
      <c r="A241" s="1" t="s">
        <v>253</v>
      </c>
      <c r="B241">
        <f>HYPERLINK("https://www.suredividend.com/sure-analysis-research-database/","Arena Pharmaceuticals Inc")</f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>
      <c r="A242" s="1" t="s">
        <v>254</v>
      </c>
      <c r="B242">
        <f>HYPERLINK("https://www.suredividend.com/sure-analysis-research-database/","Arconic Corporation")</f>
        <v>0</v>
      </c>
      <c r="C242">
        <v>0.008406186953597001</v>
      </c>
      <c r="D242">
        <v>0.03951473136915</v>
      </c>
      <c r="E242">
        <v>0.243366500829187</v>
      </c>
      <c r="F242">
        <v>0.417296786389413</v>
      </c>
      <c r="G242">
        <v>0.09692757863935601</v>
      </c>
      <c r="H242">
        <v>-0.145827399601253</v>
      </c>
      <c r="I242">
        <v>3.333815028901734</v>
      </c>
    </row>
    <row r="243" spans="1:9">
      <c r="A243" s="1" t="s">
        <v>255</v>
      </c>
      <c r="B243">
        <f>HYPERLINK("https://www.suredividend.com/sure-analysis-research-database/","Archrock Inc")</f>
        <v>0</v>
      </c>
      <c r="C243">
        <v>0.124897959183673</v>
      </c>
      <c r="D243">
        <v>0.07792675104429</v>
      </c>
      <c r="E243">
        <v>0.42480483895983</v>
      </c>
      <c r="F243">
        <v>0.6016551211120921</v>
      </c>
      <c r="G243">
        <v>0.96772811652149</v>
      </c>
      <c r="H243">
        <v>0.8662982826805351</v>
      </c>
      <c r="I243">
        <v>0.821546596166556</v>
      </c>
    </row>
    <row r="244" spans="1:9">
      <c r="A244" s="1" t="s">
        <v>256</v>
      </c>
      <c r="B244">
        <f>HYPERLINK("https://www.suredividend.com/sure-analysis-AROW/","Arrow Financial Corp.")</f>
        <v>0</v>
      </c>
      <c r="C244">
        <v>0.301713947990543</v>
      </c>
      <c r="D244">
        <v>0.122184349031176</v>
      </c>
      <c r="E244">
        <v>0.170129683839193</v>
      </c>
      <c r="F244">
        <v>-0.293998102369473</v>
      </c>
      <c r="G244">
        <v>-0.286417801162466</v>
      </c>
      <c r="H244">
        <v>-0.291349476515595</v>
      </c>
      <c r="I244">
        <v>-0.11919025490494</v>
      </c>
    </row>
    <row r="245" spans="1:9">
      <c r="A245" s="1" t="s">
        <v>257</v>
      </c>
      <c r="B245">
        <f>HYPERLINK("https://www.suredividend.com/sure-analysis-research-database/","Aerpio Pharmaceuticals Inc")</f>
        <v>0</v>
      </c>
      <c r="C245">
        <v>0.037735849056603</v>
      </c>
      <c r="D245">
        <v>0.301775147928994</v>
      </c>
      <c r="E245">
        <v>0.235955056179775</v>
      </c>
      <c r="F245">
        <v>1.244897959183673</v>
      </c>
      <c r="G245">
        <v>0.486486486486486</v>
      </c>
      <c r="H245">
        <v>2.242924528301887</v>
      </c>
      <c r="I245">
        <v>-0.435897435897435</v>
      </c>
    </row>
    <row r="246" spans="1:9">
      <c r="A246" s="1" t="s">
        <v>258</v>
      </c>
      <c r="B246">
        <f>HYPERLINK("https://www.suredividend.com/sure-analysis-ARR/","ARMOUR Residential REIT Inc")</f>
        <v>0</v>
      </c>
      <c r="C246">
        <v>-0.211831517748775</v>
      </c>
      <c r="D246">
        <v>-0.347105625731816</v>
      </c>
      <c r="E246">
        <v>-0.28659586876619</v>
      </c>
      <c r="F246">
        <v>-0.339483641964973</v>
      </c>
      <c r="G246">
        <v>-0.265927011373944</v>
      </c>
      <c r="H246">
        <v>-0.577766658550225</v>
      </c>
      <c r="I246">
        <v>-0.719493595281519</v>
      </c>
    </row>
    <row r="247" spans="1:9">
      <c r="A247" s="1" t="s">
        <v>259</v>
      </c>
      <c r="B247">
        <f>HYPERLINK("https://www.suredividend.com/sure-analysis-ARTNA/","Artesian Resources Corp.")</f>
        <v>0</v>
      </c>
      <c r="C247">
        <v>-0.011678832116788</v>
      </c>
      <c r="D247">
        <v>-0.108479322953475</v>
      </c>
      <c r="E247">
        <v>-0.241978916488918</v>
      </c>
      <c r="F247">
        <v>-0.295540155251711</v>
      </c>
      <c r="G247">
        <v>-0.184905296911589</v>
      </c>
      <c r="H247">
        <v>0.052989042381383</v>
      </c>
      <c r="I247">
        <v>0.226530747815374</v>
      </c>
    </row>
    <row r="248" spans="1:9">
      <c r="A248" s="1" t="s">
        <v>260</v>
      </c>
      <c r="B248">
        <f>HYPERLINK("https://www.suredividend.com/sure-analysis-research-database/","Art`s-way Manufacturing Co. Inc.")</f>
        <v>0</v>
      </c>
      <c r="C248">
        <v>-0.146750524109014</v>
      </c>
      <c r="D248">
        <v>-0.232104448888721</v>
      </c>
      <c r="E248">
        <v>-0.234962406015037</v>
      </c>
      <c r="F248">
        <v>0.05440414507772001</v>
      </c>
      <c r="G248">
        <v>-0.040094339622641</v>
      </c>
      <c r="H248">
        <v>-0.464473684210526</v>
      </c>
      <c r="I248">
        <v>-0.03095238095238</v>
      </c>
    </row>
    <row r="249" spans="1:9">
      <c r="A249" s="1" t="s">
        <v>261</v>
      </c>
      <c r="B249">
        <f>HYPERLINK("https://www.suredividend.com/sure-analysis-research-database/","Arvinas Inc")</f>
        <v>0</v>
      </c>
      <c r="C249">
        <v>-0.139596602972399</v>
      </c>
      <c r="D249">
        <v>-0.334291581108829</v>
      </c>
      <c r="E249">
        <v>-0.350560897435897</v>
      </c>
      <c r="F249">
        <v>-0.526161940952937</v>
      </c>
      <c r="G249">
        <v>-0.667691676916769</v>
      </c>
      <c r="H249">
        <v>-0.8232086378012871</v>
      </c>
      <c r="I249">
        <v>-0.085214446952595</v>
      </c>
    </row>
    <row r="250" spans="1:9">
      <c r="A250" s="1" t="s">
        <v>262</v>
      </c>
      <c r="B250">
        <f>HYPERLINK("https://www.suredividend.com/sure-analysis-research-database/","Arrow Electronics Inc.")</f>
        <v>0</v>
      </c>
      <c r="C250">
        <v>-0.04238844096751</v>
      </c>
      <c r="D250">
        <v>-0.151206396377273</v>
      </c>
      <c r="E250">
        <v>0.045585287196025</v>
      </c>
      <c r="F250">
        <v>0.147174141723247</v>
      </c>
      <c r="G250">
        <v>0.196131219463555</v>
      </c>
      <c r="H250">
        <v>0.022502557108762</v>
      </c>
      <c r="I250">
        <v>0.599893304881301</v>
      </c>
    </row>
    <row r="251" spans="1:9">
      <c r="A251" s="1" t="s">
        <v>263</v>
      </c>
      <c r="B251">
        <f>HYPERLINK("https://www.suredividend.com/sure-analysis-research-database/","Arrowhead Pharmaceuticals Inc.")</f>
        <v>0</v>
      </c>
      <c r="C251">
        <v>-0.003428571428571</v>
      </c>
      <c r="D251">
        <v>-0.206551410373066</v>
      </c>
      <c r="E251">
        <v>-0.260599208592425</v>
      </c>
      <c r="F251">
        <v>-0.355029585798816</v>
      </c>
      <c r="G251">
        <v>-0.244149089858422</v>
      </c>
      <c r="H251">
        <v>-0.6553359683794461</v>
      </c>
      <c r="I251">
        <v>0.8053830227743271</v>
      </c>
    </row>
    <row r="252" spans="1:9">
      <c r="A252" s="1" t="s">
        <v>264</v>
      </c>
      <c r="B252">
        <f>HYPERLINK("https://www.suredividend.com/sure-analysis-ASB/","Associated Banc-Corp.")</f>
        <v>0</v>
      </c>
      <c r="C252">
        <v>0.010173548773189</v>
      </c>
      <c r="D252">
        <v>-0.06767116629476601</v>
      </c>
      <c r="E252">
        <v>0.06620178247715</v>
      </c>
      <c r="F252">
        <v>-0.242882965315248</v>
      </c>
      <c r="G252">
        <v>-0.257581421942691</v>
      </c>
      <c r="H252">
        <v>-0.189727589103564</v>
      </c>
      <c r="I252">
        <v>-0.125316088380384</v>
      </c>
    </row>
    <row r="253" spans="1:9">
      <c r="A253" s="1" t="s">
        <v>265</v>
      </c>
      <c r="B253">
        <f>HYPERLINK("https://www.suredividend.com/sure-analysis-research-database/","ASGN Inc")</f>
        <v>0</v>
      </c>
      <c r="C253">
        <v>0.08565016830819101</v>
      </c>
      <c r="D253">
        <v>0.110006373486297</v>
      </c>
      <c r="E253">
        <v>0.27086981903094</v>
      </c>
      <c r="F253">
        <v>0.068728522336769</v>
      </c>
      <c r="G253">
        <v>0.064808021521154</v>
      </c>
      <c r="H253">
        <v>-0.287980376124284</v>
      </c>
      <c r="I253">
        <v>0.263310604961555</v>
      </c>
    </row>
    <row r="254" spans="1:9">
      <c r="A254" s="1" t="s">
        <v>266</v>
      </c>
      <c r="B254">
        <f>HYPERLINK("https://www.suredividend.com/sure-analysis-research-database/","Ashland Inc")</f>
        <v>0</v>
      </c>
      <c r="C254">
        <v>-0.044405418966382</v>
      </c>
      <c r="D254">
        <v>-0.155729084124537</v>
      </c>
      <c r="E254">
        <v>-0.231494792060729</v>
      </c>
      <c r="F254">
        <v>-0.282885552563133</v>
      </c>
      <c r="G254">
        <v>-0.232760270316544</v>
      </c>
      <c r="H254">
        <v>-0.191879331396304</v>
      </c>
      <c r="I254">
        <v>0.07024294711583701</v>
      </c>
    </row>
    <row r="255" spans="1:9">
      <c r="A255" s="1" t="s">
        <v>267</v>
      </c>
      <c r="B255">
        <f>HYPERLINK("https://www.suredividend.com/sure-analysis-research-database/","AdvanSix Inc")</f>
        <v>0</v>
      </c>
      <c r="C255">
        <v>-0.059316353887399</v>
      </c>
      <c r="D255">
        <v>-0.290828520466683</v>
      </c>
      <c r="E255">
        <v>-0.234810010985805</v>
      </c>
      <c r="F255">
        <v>-0.252710156965476</v>
      </c>
      <c r="G255">
        <v>-0.20677981428418</v>
      </c>
      <c r="H255">
        <v>-0.403488117576805</v>
      </c>
      <c r="I255">
        <v>0.140468132305679</v>
      </c>
    </row>
    <row r="256" spans="1:9">
      <c r="A256" s="1" t="s">
        <v>268</v>
      </c>
      <c r="B256">
        <f>HYPERLINK("https://www.suredividend.com/sure-analysis-research-database/","Assembly Biosciences Inc")</f>
        <v>0</v>
      </c>
      <c r="C256">
        <v>0.023647058823529</v>
      </c>
      <c r="D256">
        <v>-0.216126126126126</v>
      </c>
      <c r="E256">
        <v>-0.155242718446601</v>
      </c>
      <c r="F256">
        <v>-0.330692307692307</v>
      </c>
      <c r="G256">
        <v>-0.4629012345679011</v>
      </c>
      <c r="H256">
        <v>-0.72809375</v>
      </c>
      <c r="I256">
        <v>-0.9648870056497171</v>
      </c>
    </row>
    <row r="257" spans="1:9">
      <c r="A257" s="1" t="s">
        <v>269</v>
      </c>
      <c r="B257">
        <f>HYPERLINK("https://www.suredividend.com/sure-analysis-research-database/","Aspen Aerogels Inc.")</f>
        <v>0</v>
      </c>
      <c r="C257">
        <v>0.080604534005037</v>
      </c>
      <c r="D257">
        <v>0.154777927321668</v>
      </c>
      <c r="E257">
        <v>0.420529801324503</v>
      </c>
      <c r="F257">
        <v>-0.272264631043256</v>
      </c>
      <c r="G257">
        <v>-0.278991596638655</v>
      </c>
      <c r="H257">
        <v>-0.8368821292775661</v>
      </c>
      <c r="I257">
        <v>1.172151898734177</v>
      </c>
    </row>
    <row r="258" spans="1:9">
      <c r="A258" s="1" t="s">
        <v>270</v>
      </c>
      <c r="B258">
        <f>HYPERLINK("https://www.suredividend.com/sure-analysis-research-database/","Altisource Portfolio Solutions S.A.")</f>
        <v>0</v>
      </c>
      <c r="C258">
        <v>-0.052238805970149</v>
      </c>
      <c r="D258">
        <v>-0.274285714285714</v>
      </c>
      <c r="E258">
        <v>-0.07524271844660101</v>
      </c>
      <c r="F258">
        <v>-0.5972515856236781</v>
      </c>
      <c r="G258">
        <v>-0.6576819407008081</v>
      </c>
      <c r="H258">
        <v>-0.719646799116997</v>
      </c>
      <c r="I258">
        <v>-0.846432889963724</v>
      </c>
    </row>
    <row r="259" spans="1:9">
      <c r="A259" s="1" t="s">
        <v>271</v>
      </c>
      <c r="B259">
        <f>HYPERLINK("https://www.suredividend.com/sure-analysis-research-database/","Aspen Group Inc")</f>
        <v>0</v>
      </c>
      <c r="C259">
        <v>-0.103116147308781</v>
      </c>
      <c r="D259">
        <v>-0.095428571428571</v>
      </c>
      <c r="E259">
        <v>0.9787500000000001</v>
      </c>
      <c r="F259">
        <v>-0.9768905109489051</v>
      </c>
      <c r="G259">
        <v>-0.9768905109489051</v>
      </c>
      <c r="H259">
        <v>-0.9768905109489051</v>
      </c>
      <c r="I259">
        <v>-0.9768905109489051</v>
      </c>
    </row>
    <row r="260" spans="1:9">
      <c r="A260" s="1" t="s">
        <v>272</v>
      </c>
      <c r="B260">
        <f>HYPERLINK("https://www.suredividend.com/sure-analysis-research-database/","Assertio Holdings Inc")</f>
        <v>0</v>
      </c>
      <c r="C260">
        <v>-0.130612244897959</v>
      </c>
      <c r="D260">
        <v>-0.606284658040665</v>
      </c>
      <c r="E260">
        <v>-0.632124352331606</v>
      </c>
      <c r="F260">
        <v>-0.504651162790697</v>
      </c>
      <c r="G260">
        <v>-0.196226415094339</v>
      </c>
      <c r="H260">
        <v>0.9017857142857141</v>
      </c>
      <c r="I260">
        <v>-0.408333333333333</v>
      </c>
    </row>
    <row r="261" spans="1:9">
      <c r="A261" s="1" t="s">
        <v>273</v>
      </c>
      <c r="B261">
        <f>HYPERLINK("https://www.suredividend.com/sure-analysis-research-database/","Ameriserv Financial Inc")</f>
        <v>0</v>
      </c>
      <c r="C261">
        <v>0.011673151750972</v>
      </c>
      <c r="D261">
        <v>-0.202551834130781</v>
      </c>
      <c r="E261">
        <v>-0.07122954918911101</v>
      </c>
      <c r="F261">
        <v>-0.308951732936423</v>
      </c>
      <c r="G261">
        <v>-0.312369416307423</v>
      </c>
      <c r="H261">
        <v>-0.297145328719723</v>
      </c>
      <c r="I261">
        <v>-0.287807817678801</v>
      </c>
    </row>
    <row r="262" spans="1:9">
      <c r="A262" s="1" t="s">
        <v>274</v>
      </c>
      <c r="B262">
        <f>HYPERLINK("https://www.suredividend.com/sure-analysis-research-database/","Astrotech Corp")</f>
        <v>0</v>
      </c>
      <c r="C262">
        <v>-0.09795439335008001</v>
      </c>
      <c r="D262">
        <v>-0.232103046816943</v>
      </c>
      <c r="E262">
        <v>-0.152009191126186</v>
      </c>
      <c r="F262">
        <v>-0.06906906906906901</v>
      </c>
      <c r="G262">
        <v>-0.203084832904884</v>
      </c>
      <c r="H262">
        <v>-0.70754716981132</v>
      </c>
      <c r="I262">
        <v>-0.904615384615384</v>
      </c>
    </row>
    <row r="263" spans="1:9">
      <c r="A263" s="1" t="s">
        <v>275</v>
      </c>
      <c r="B263">
        <f>HYPERLINK("https://www.suredividend.com/sure-analysis-research-database/","Astec Industries Inc.")</f>
        <v>0</v>
      </c>
      <c r="C263">
        <v>-0.360025762129669</v>
      </c>
      <c r="D263">
        <v>-0.438481621151216</v>
      </c>
      <c r="E263">
        <v>-0.277359611165654</v>
      </c>
      <c r="F263">
        <v>-0.258734303120726</v>
      </c>
      <c r="G263">
        <v>-0.256413774180271</v>
      </c>
      <c r="H263">
        <v>-0.44309624290793</v>
      </c>
      <c r="I263">
        <v>-0.202736531302152</v>
      </c>
    </row>
    <row r="264" spans="1:9">
      <c r="A264" s="1" t="s">
        <v>276</v>
      </c>
      <c r="B264">
        <f>HYPERLINK("https://www.suredividend.com/sure-analysis-research-database/","Asure Software Inc")</f>
        <v>0</v>
      </c>
      <c r="C264">
        <v>-0.03881278538812701</v>
      </c>
      <c r="D264">
        <v>-0.389855072463768</v>
      </c>
      <c r="E264">
        <v>-0.386297376093294</v>
      </c>
      <c r="F264">
        <v>-0.098501070663811</v>
      </c>
      <c r="G264">
        <v>0.275757575757575</v>
      </c>
      <c r="H264">
        <v>-0.134635149023638</v>
      </c>
      <c r="I264">
        <v>-0.245519713261648</v>
      </c>
    </row>
    <row r="265" spans="1:9">
      <c r="A265" s="1" t="s">
        <v>277</v>
      </c>
      <c r="B265">
        <f>HYPERLINK("https://www.suredividend.com/sure-analysis-research-database/","Amtech Systems Inc.")</f>
        <v>0</v>
      </c>
      <c r="C265">
        <v>-0.040951122853368</v>
      </c>
      <c r="D265">
        <v>-0.31573986804901</v>
      </c>
      <c r="E265">
        <v>-0.155813953488372</v>
      </c>
      <c r="F265">
        <v>-0.04473684210526301</v>
      </c>
      <c r="G265">
        <v>-0.194228634850166</v>
      </c>
      <c r="H265">
        <v>-0.51664447403462</v>
      </c>
      <c r="I265">
        <v>0.452</v>
      </c>
    </row>
    <row r="266" spans="1:9">
      <c r="A266" s="1" t="s">
        <v>278</v>
      </c>
      <c r="B266">
        <f>HYPERLINK("https://www.suredividend.com/sure-analysis-research-database/","Alphatec Holdings Inc")</f>
        <v>0</v>
      </c>
      <c r="C266">
        <v>-0.218600953895071</v>
      </c>
      <c r="D266">
        <v>-0.426487747957993</v>
      </c>
      <c r="E266">
        <v>-0.319723183391003</v>
      </c>
      <c r="F266">
        <v>-0.204048582995951</v>
      </c>
      <c r="G266">
        <v>0.047974413646055</v>
      </c>
      <c r="H266">
        <v>-0.215482841181165</v>
      </c>
      <c r="I266">
        <v>2.100946372239748</v>
      </c>
    </row>
    <row r="267" spans="1:9">
      <c r="A267" s="1" t="s">
        <v>279</v>
      </c>
      <c r="B267">
        <f>HYPERLINK("https://www.suredividend.com/sure-analysis-research-database/","A10 Networks Inc")</f>
        <v>0</v>
      </c>
      <c r="C267">
        <v>-0.291205211726384</v>
      </c>
      <c r="D267">
        <v>-0.297547873920173</v>
      </c>
      <c r="E267">
        <v>-0.218637786906437</v>
      </c>
      <c r="F267">
        <v>-0.337671745734131</v>
      </c>
      <c r="G267">
        <v>-0.39182881769957</v>
      </c>
      <c r="H267">
        <v>-0.274516733458248</v>
      </c>
      <c r="I267">
        <v>0.812547895911771</v>
      </c>
    </row>
    <row r="268" spans="1:9">
      <c r="A268" s="1" t="s">
        <v>280</v>
      </c>
      <c r="B268">
        <f>HYPERLINK("https://www.suredividend.com/sure-analysis-research-database/","Anterix Inc")</f>
        <v>0</v>
      </c>
      <c r="C268">
        <v>-0.006504065040650001</v>
      </c>
      <c r="D268">
        <v>0.013266998341625</v>
      </c>
      <c r="E268">
        <v>-0.021147068247356</v>
      </c>
      <c r="F268">
        <v>-0.050357475909232</v>
      </c>
      <c r="G268">
        <v>-0.2339518555667</v>
      </c>
      <c r="H268">
        <v>-0.529058116232465</v>
      </c>
      <c r="I268">
        <v>-0.270186335403726</v>
      </c>
    </row>
    <row r="269" spans="1:9">
      <c r="A269" s="1" t="s">
        <v>281</v>
      </c>
      <c r="B269">
        <f>HYPERLINK("https://www.suredividend.com/sure-analysis-research-database/","Adtalem Global Education Inc")</f>
        <v>0</v>
      </c>
      <c r="C269">
        <v>0.268709073900842</v>
      </c>
      <c r="D269">
        <v>0.255496412867391</v>
      </c>
      <c r="E269">
        <v>0.414971309337506</v>
      </c>
      <c r="F269">
        <v>0.528169014084507</v>
      </c>
      <c r="G269">
        <v>0.3138774521675951</v>
      </c>
      <c r="H269">
        <v>0.5539959896877681</v>
      </c>
      <c r="I269">
        <v>0.027656753172949</v>
      </c>
    </row>
    <row r="270" spans="1:9">
      <c r="A270" s="1" t="s">
        <v>282</v>
      </c>
      <c r="B270">
        <f>HYPERLINK("https://www.suredividend.com/sure-analysis-research-database/","Athene Holding Ltd")</f>
        <v>0</v>
      </c>
      <c r="C270">
        <v>0.01055056997332</v>
      </c>
      <c r="D270">
        <v>0.196582423894313</v>
      </c>
      <c r="E270">
        <v>0.18856083297675</v>
      </c>
      <c r="F270">
        <v>0</v>
      </c>
      <c r="G270">
        <v>0.9316179879462211</v>
      </c>
      <c r="H270">
        <v>0.7524710830704521</v>
      </c>
      <c r="I270">
        <v>0.73640341737862</v>
      </c>
    </row>
    <row r="271" spans="1:9">
      <c r="A271" s="1" t="s">
        <v>283</v>
      </c>
      <c r="B271">
        <f>HYPERLINK("https://www.suredividend.com/sure-analysis-research-database/","Athersys Inc")</f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>
      <c r="A272" s="1" t="s">
        <v>284</v>
      </c>
      <c r="B272">
        <f>HYPERLINK("https://www.suredividend.com/sure-analysis-research-database/","ATI Inc")</f>
        <v>0</v>
      </c>
      <c r="C272">
        <v>-0.005626223091976</v>
      </c>
      <c r="D272">
        <v>-0.09806966940315001</v>
      </c>
      <c r="E272">
        <v>0.061080657791699</v>
      </c>
      <c r="F272">
        <v>0.3613529805760211</v>
      </c>
      <c r="G272">
        <v>0.543866312191416</v>
      </c>
      <c r="H272">
        <v>1.50616522811344</v>
      </c>
      <c r="I272">
        <v>0.4776444929116681</v>
      </c>
    </row>
    <row r="273" spans="1:9">
      <c r="A273" s="1" t="s">
        <v>285</v>
      </c>
      <c r="B273">
        <f>HYPERLINK("https://www.suredividend.com/sure-analysis-research-database/","Atkore Inc")</f>
        <v>0</v>
      </c>
      <c r="C273">
        <v>-0.101931034482758</v>
      </c>
      <c r="D273">
        <v>-0.177696387976761</v>
      </c>
      <c r="E273">
        <v>0.031527249683143</v>
      </c>
      <c r="F273">
        <v>0.148122024334332</v>
      </c>
      <c r="G273">
        <v>0.394666381064581</v>
      </c>
      <c r="H273">
        <v>0.304940374787052</v>
      </c>
      <c r="I273">
        <v>5.430617283950617</v>
      </c>
    </row>
    <row r="274" spans="1:9">
      <c r="A274" s="1" t="s">
        <v>286</v>
      </c>
      <c r="B274">
        <f>HYPERLINK("https://www.suredividend.com/sure-analysis-research-database/","Atlanticus Holdings Corp")</f>
        <v>0</v>
      </c>
      <c r="C274">
        <v>0.010200612036722</v>
      </c>
      <c r="D274">
        <v>-0.211936339522546</v>
      </c>
      <c r="E274">
        <v>0.071789321789321</v>
      </c>
      <c r="F274">
        <v>0.133969465648855</v>
      </c>
      <c r="G274">
        <v>0.120286576168929</v>
      </c>
      <c r="H274">
        <v>-0.642779848503066</v>
      </c>
      <c r="I274">
        <v>7.512893982808023</v>
      </c>
    </row>
    <row r="275" spans="1:9">
      <c r="A275" s="1" t="s">
        <v>287</v>
      </c>
      <c r="B275">
        <f>HYPERLINK("https://www.suredividend.com/sure-analysis-ATLO/","Ames National Corp.")</f>
        <v>0</v>
      </c>
      <c r="C275">
        <v>0.08057156055508001</v>
      </c>
      <c r="D275">
        <v>-0.09065120090777201</v>
      </c>
      <c r="E275">
        <v>0.012701180022114</v>
      </c>
      <c r="F275">
        <v>-0.200376945356781</v>
      </c>
      <c r="G275">
        <v>-0.141858562823786</v>
      </c>
      <c r="H275">
        <v>-0.192528909890704</v>
      </c>
      <c r="I275">
        <v>-0.186789439067932</v>
      </c>
    </row>
    <row r="276" spans="1:9">
      <c r="A276" s="1" t="s">
        <v>288</v>
      </c>
      <c r="B276">
        <f>HYPERLINK("https://www.suredividend.com/sure-analysis-research-database/","ATN International Inc")</f>
        <v>0</v>
      </c>
      <c r="C276">
        <v>0.03321509190583601</v>
      </c>
      <c r="D276">
        <v>-0.130529172320217</v>
      </c>
      <c r="E276">
        <v>-0.108228843397303</v>
      </c>
      <c r="F276">
        <v>-0.271273292984982</v>
      </c>
      <c r="G276">
        <v>-0.257243269056903</v>
      </c>
      <c r="H276">
        <v>-0.20753876975588</v>
      </c>
      <c r="I276">
        <v>-0.5777265238879731</v>
      </c>
    </row>
    <row r="277" spans="1:9">
      <c r="A277" s="1" t="s">
        <v>289</v>
      </c>
      <c r="B277">
        <f>HYPERLINK("https://www.suredividend.com/sure-analysis-research-database/","Actinium Pharmaceuticals Inc")</f>
        <v>0</v>
      </c>
      <c r="C277">
        <v>-0.182142857142857</v>
      </c>
      <c r="D277">
        <v>-0.345714285714285</v>
      </c>
      <c r="E277">
        <v>-0.4928017718715391</v>
      </c>
      <c r="F277">
        <v>-0.5699530516431921</v>
      </c>
      <c r="G277">
        <v>-0.682165163081193</v>
      </c>
      <c r="H277">
        <v>-0.461176470588235</v>
      </c>
      <c r="I277">
        <v>-0.754909830363354</v>
      </c>
    </row>
    <row r="278" spans="1:9">
      <c r="A278" s="1" t="s">
        <v>290</v>
      </c>
      <c r="B278">
        <f>HYPERLINK("https://www.suredividend.com/sure-analysis-research-database/","Athenex Inc")</f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>
      <c r="A279" s="1" t="s">
        <v>291</v>
      </c>
      <c r="B279">
        <f>HYPERLINK("https://www.suredividend.com/sure-analysis-ATO/","Atmos Energy Corp.")</f>
        <v>0</v>
      </c>
      <c r="C279">
        <v>0.083884780070066</v>
      </c>
      <c r="D279">
        <v>-0.077289627337013</v>
      </c>
      <c r="E279">
        <v>0.004540182509203</v>
      </c>
      <c r="F279">
        <v>0.013014203845233</v>
      </c>
      <c r="G279">
        <v>0.08234384095045601</v>
      </c>
      <c r="H279">
        <v>0.249531621967883</v>
      </c>
      <c r="I279">
        <v>0.361397332942197</v>
      </c>
    </row>
    <row r="280" spans="1:9">
      <c r="A280" s="1" t="s">
        <v>292</v>
      </c>
      <c r="B280">
        <f>HYPERLINK("https://www.suredividend.com/sure-analysis-research-database/","Atossa Therapeutics Inc")</f>
        <v>0</v>
      </c>
      <c r="C280">
        <v>-0.023229778897285</v>
      </c>
      <c r="D280">
        <v>-0.353703703703703</v>
      </c>
      <c r="E280">
        <v>0.09062499999999901</v>
      </c>
      <c r="F280">
        <v>0.320719016083254</v>
      </c>
      <c r="G280">
        <v>-0.240644038294168</v>
      </c>
      <c r="H280">
        <v>-0.748920863309352</v>
      </c>
      <c r="I280">
        <v>-0.475187969924812</v>
      </c>
    </row>
    <row r="281" spans="1:9">
      <c r="A281" s="1" t="s">
        <v>293</v>
      </c>
      <c r="B281">
        <f>HYPERLINK("https://www.suredividend.com/sure-analysis-ATR/","Aptargroup Inc.")</f>
        <v>0</v>
      </c>
      <c r="C281">
        <v>-0.008459148083633001</v>
      </c>
      <c r="D281">
        <v>0.0143334725942</v>
      </c>
      <c r="E281">
        <v>0.03593064847515001</v>
      </c>
      <c r="F281">
        <v>0.13857481905155</v>
      </c>
      <c r="G281">
        <v>0.321448353589553</v>
      </c>
      <c r="H281">
        <v>-0.003160396154609</v>
      </c>
      <c r="I281">
        <v>0.268382202005107</v>
      </c>
    </row>
    <row r="282" spans="1:9">
      <c r="A282" s="1" t="s">
        <v>294</v>
      </c>
      <c r="B282">
        <f>HYPERLINK("https://www.suredividend.com/sure-analysis-research-database/","Atara Biotherapeutics Inc")</f>
        <v>0</v>
      </c>
      <c r="C282">
        <v>-0.206666666666666</v>
      </c>
      <c r="D282">
        <v>-0.433333333333333</v>
      </c>
      <c r="E282">
        <v>-0.53875968992248</v>
      </c>
      <c r="F282">
        <v>-0.6371951219512191</v>
      </c>
      <c r="G282">
        <v>-0.745182012847965</v>
      </c>
      <c r="H282">
        <v>-0.9314516129032251</v>
      </c>
      <c r="I282">
        <v>-0.968684210526315</v>
      </c>
    </row>
    <row r="283" spans="1:9">
      <c r="A283" s="1" t="s">
        <v>295</v>
      </c>
      <c r="B283">
        <f>HYPERLINK("https://www.suredividend.com/sure-analysis-research-database/","Atricure Inc")</f>
        <v>0</v>
      </c>
      <c r="C283">
        <v>-0.15421965317919</v>
      </c>
      <c r="D283">
        <v>-0.3571177504393671</v>
      </c>
      <c r="E283">
        <v>-0.167501137915339</v>
      </c>
      <c r="F283">
        <v>-0.17575484452456</v>
      </c>
      <c r="G283">
        <v>-0.093432465923172</v>
      </c>
      <c r="H283">
        <v>-0.528851107676455</v>
      </c>
      <c r="I283">
        <v>0.16682615629984</v>
      </c>
    </row>
    <row r="284" spans="1:9">
      <c r="A284" s="1" t="s">
        <v>296</v>
      </c>
      <c r="B284">
        <f>HYPERLINK("https://www.suredividend.com/sure-analysis-ATRI/","Atrion Corp.")</f>
        <v>0</v>
      </c>
      <c r="C284">
        <v>-0.170469305232201</v>
      </c>
      <c r="D284">
        <v>-0.3718450985490021</v>
      </c>
      <c r="E284">
        <v>-0.439805069574624</v>
      </c>
      <c r="F284">
        <v>-0.38316476620525</v>
      </c>
      <c r="G284">
        <v>-0.42760435452917</v>
      </c>
      <c r="H284">
        <v>-0.544340235649692</v>
      </c>
      <c r="I284">
        <v>-0.471549557704355</v>
      </c>
    </row>
    <row r="285" spans="1:9">
      <c r="A285" s="1" t="s">
        <v>297</v>
      </c>
      <c r="B285">
        <f>HYPERLINK("https://www.suredividend.com/sure-analysis-research-database/","Astronics Corp.")</f>
        <v>0</v>
      </c>
      <c r="C285">
        <v>-0.00502512562814</v>
      </c>
      <c r="D285">
        <v>-0.247863247863247</v>
      </c>
      <c r="E285">
        <v>0.07027027027027001</v>
      </c>
      <c r="F285">
        <v>0.5378640776699021</v>
      </c>
      <c r="G285">
        <v>0.7560975609756091</v>
      </c>
      <c r="H285">
        <v>0.193669932177844</v>
      </c>
      <c r="I285">
        <v>-0.4702341137123741</v>
      </c>
    </row>
    <row r="286" spans="1:9">
      <c r="A286" s="1" t="s">
        <v>298</v>
      </c>
      <c r="B286">
        <f>HYPERLINK("https://www.suredividend.com/sure-analysis-research-database/","Antares Pharma Inc")</f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>
      <c r="A287" s="1" t="s">
        <v>299</v>
      </c>
      <c r="B287">
        <f>HYPERLINK("https://www.suredividend.com/sure-analysis-research-database/","Air Transport Services Group Inc")</f>
        <v>0</v>
      </c>
      <c r="C287">
        <v>-0.03076923076923</v>
      </c>
      <c r="D287">
        <v>-0.002474022761009</v>
      </c>
      <c r="E287">
        <v>-0.012248897599216</v>
      </c>
      <c r="F287">
        <v>-0.224018475750577</v>
      </c>
      <c r="G287">
        <v>-0.282051282051282</v>
      </c>
      <c r="H287">
        <v>-0.195851615476665</v>
      </c>
      <c r="I287">
        <v>0.06723133933298001</v>
      </c>
    </row>
    <row r="288" spans="1:9">
      <c r="A288" s="1" t="s">
        <v>300</v>
      </c>
      <c r="B288">
        <f>HYPERLINK("https://www.suredividend.com/sure-analysis-research-database/","Altice USA Inc")</f>
        <v>0</v>
      </c>
      <c r="C288">
        <v>-0.084905660377358</v>
      </c>
      <c r="D288">
        <v>-0.06129032258064501</v>
      </c>
      <c r="E288">
        <v>-0.084905660377358</v>
      </c>
      <c r="F288">
        <v>-0.367391304347826</v>
      </c>
      <c r="G288">
        <v>-0.535143769968051</v>
      </c>
      <c r="H288">
        <v>-0.822777101096224</v>
      </c>
      <c r="I288">
        <v>-0.8222357971899811</v>
      </c>
    </row>
    <row r="289" spans="1:9">
      <c r="A289" s="1" t="s">
        <v>301</v>
      </c>
      <c r="B289">
        <f>HYPERLINK("https://www.suredividend.com/sure-analysis-research-database/","Activision Blizzard Inc")</f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>
      <c r="A290" s="1" t="s">
        <v>302</v>
      </c>
      <c r="B290">
        <f>HYPERLINK("https://www.suredividend.com/sure-analysis-research-database/","Atlantic Union Bankshares Corp")</f>
        <v>0</v>
      </c>
      <c r="C290">
        <v>0.07363253856942401</v>
      </c>
      <c r="D290">
        <v>-0.025467692758161</v>
      </c>
      <c r="E290">
        <v>0.218522173760784</v>
      </c>
      <c r="F290">
        <v>-0.103356993932578</v>
      </c>
      <c r="G290">
        <v>-0.05084283420437501</v>
      </c>
      <c r="H290">
        <v>-0.107782860805967</v>
      </c>
      <c r="I290">
        <v>-0.09841206278726701</v>
      </c>
    </row>
    <row r="291" spans="1:9">
      <c r="A291" s="1" t="s">
        <v>303</v>
      </c>
      <c r="B291">
        <f>HYPERLINK("https://www.suredividend.com/sure-analysis-AUBN/","Auburn National Bancorp Inc.")</f>
        <v>0</v>
      </c>
      <c r="C291">
        <v>-0.032093023255813</v>
      </c>
      <c r="D291">
        <v>-0.034791118779597</v>
      </c>
      <c r="E291">
        <v>-0.029904668671188</v>
      </c>
      <c r="F291">
        <v>-0.072084043056013</v>
      </c>
      <c r="G291">
        <v>-0.085716796274328</v>
      </c>
      <c r="H291">
        <v>-0.338544034023184</v>
      </c>
      <c r="I291">
        <v>-0.3810931542538321</v>
      </c>
    </row>
    <row r="292" spans="1:9">
      <c r="A292" s="1" t="s">
        <v>304</v>
      </c>
      <c r="B292">
        <f>HYPERLINK("https://www.suredividend.com/sure-analysis-research-database/","Golden Minerals Co")</f>
        <v>0</v>
      </c>
      <c r="C292">
        <v>0.356321839080459</v>
      </c>
      <c r="D292">
        <v>-0.333870967741935</v>
      </c>
      <c r="E292">
        <v>-0.8512381809995491</v>
      </c>
      <c r="F292">
        <v>-0.8795918367346931</v>
      </c>
      <c r="G292">
        <v>-0.8695102685624011</v>
      </c>
      <c r="H292">
        <v>-0.9294017094017091</v>
      </c>
      <c r="I292">
        <v>-0.856347826086956</v>
      </c>
    </row>
    <row r="293" spans="1:9">
      <c r="A293" s="1" t="s">
        <v>305</v>
      </c>
      <c r="B293">
        <f>HYPERLINK("https://www.suredividend.com/sure-analysis-research-database/","AutoWeb Inc")</f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>
      <c r="A294" s="1" t="s">
        <v>306</v>
      </c>
      <c r="B294">
        <f>HYPERLINK("https://www.suredividend.com/sure-analysis-AVA/","Avista Corp.")</f>
        <v>0</v>
      </c>
      <c r="C294">
        <v>0.105246218216929</v>
      </c>
      <c r="D294">
        <v>-0.100052938062466</v>
      </c>
      <c r="E294">
        <v>-0.193319160431764</v>
      </c>
      <c r="F294">
        <v>-0.196971220514883</v>
      </c>
      <c r="G294">
        <v>-0.023410838603995</v>
      </c>
      <c r="H294">
        <v>-0.06530608911982501</v>
      </c>
      <c r="I294">
        <v>-0.196076365722044</v>
      </c>
    </row>
    <row r="295" spans="1:9">
      <c r="A295" s="1" t="s">
        <v>307</v>
      </c>
      <c r="B295">
        <f>HYPERLINK("https://www.suredividend.com/sure-analysis-research-database/","AeroVironment Inc.")</f>
        <v>0</v>
      </c>
      <c r="C295">
        <v>0.08894186686227701</v>
      </c>
      <c r="D295">
        <v>0.224961320268179</v>
      </c>
      <c r="E295">
        <v>0.168437622983077</v>
      </c>
      <c r="F295">
        <v>0.3864113938827921</v>
      </c>
      <c r="G295">
        <v>0.378205872113264</v>
      </c>
      <c r="H295">
        <v>0.281121898597626</v>
      </c>
      <c r="I295">
        <v>0.265019173412867</v>
      </c>
    </row>
    <row r="296" spans="1:9">
      <c r="A296" s="1" t="s">
        <v>308</v>
      </c>
      <c r="B296">
        <f>HYPERLINK("https://www.suredividend.com/sure-analysis-AVB/","Avalonbay Communities Inc.")</f>
        <v>0</v>
      </c>
      <c r="C296">
        <v>-0.001011362960319</v>
      </c>
      <c r="D296">
        <v>-0.089070088765758</v>
      </c>
      <c r="E296">
        <v>-0.04037324406076601</v>
      </c>
      <c r="F296">
        <v>0.06990714133707701</v>
      </c>
      <c r="G296">
        <v>0.01959465162129</v>
      </c>
      <c r="H296">
        <v>-0.237273315694446</v>
      </c>
      <c r="I296">
        <v>0.149704665848252</v>
      </c>
    </row>
    <row r="297" spans="1:9">
      <c r="A297" s="1" t="s">
        <v>309</v>
      </c>
      <c r="B297">
        <f>HYPERLINK("https://www.suredividend.com/sure-analysis-research-database/","American Vanguard Corp.")</f>
        <v>0</v>
      </c>
      <c r="C297">
        <v>-0.1054579093432</v>
      </c>
      <c r="D297">
        <v>-0.463210191789947</v>
      </c>
      <c r="E297">
        <v>-0.48179864635303</v>
      </c>
      <c r="F297">
        <v>-0.552068037483613</v>
      </c>
      <c r="G297">
        <v>-0.576618111287702</v>
      </c>
      <c r="H297">
        <v>-0.373846602130346</v>
      </c>
      <c r="I297">
        <v>-0.419341279610892</v>
      </c>
    </row>
    <row r="298" spans="1:9">
      <c r="A298" s="1" t="s">
        <v>310</v>
      </c>
      <c r="B298">
        <f>HYPERLINK("https://www.suredividend.com/sure-analysis-research-database/","AVEO Pharmaceuticals Inc")</f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>
      <c r="A299" s="1" t="s">
        <v>311</v>
      </c>
      <c r="B299">
        <f>HYPERLINK("https://www.suredividend.com/sure-analysis-AVGO/","Broadcom Inc")</f>
        <v>0</v>
      </c>
      <c r="C299">
        <v>0.043535541050362</v>
      </c>
      <c r="D299">
        <v>-0.018216462255195</v>
      </c>
      <c r="E299">
        <v>0.445938287493289</v>
      </c>
      <c r="F299">
        <v>0.5949395403872261</v>
      </c>
      <c r="G299">
        <v>0.9718424608086971</v>
      </c>
      <c r="H299">
        <v>0.724817135334699</v>
      </c>
      <c r="I299">
        <v>3.710689691899376</v>
      </c>
    </row>
    <row r="300" spans="1:9">
      <c r="A300" s="1" t="s">
        <v>312</v>
      </c>
      <c r="B300">
        <f>HYPERLINK("https://www.suredividend.com/sure-analysis-research-database/","Avinger Inc")</f>
        <v>0</v>
      </c>
      <c r="C300">
        <v>-0.232653061224489</v>
      </c>
      <c r="D300">
        <v>-0.6494172494172491</v>
      </c>
      <c r="E300">
        <v>-0.43030303030303</v>
      </c>
      <c r="F300">
        <v>-0.7689708141321041</v>
      </c>
      <c r="G300">
        <v>-0.757082404625771</v>
      </c>
      <c r="H300">
        <v>-0.983174475321072</v>
      </c>
      <c r="I300">
        <v>-0.9963039418067431</v>
      </c>
    </row>
    <row r="301" spans="1:9">
      <c r="A301" s="1" t="s">
        <v>313</v>
      </c>
      <c r="B301">
        <f>HYPERLINK("https://www.suredividend.com/sure-analysis-research-database/","Avid Technology, Inc.")</f>
        <v>0</v>
      </c>
      <c r="C301">
        <v>0.004090740052064001</v>
      </c>
      <c r="D301">
        <v>0.169844020797227</v>
      </c>
      <c r="E301">
        <v>-0.012797074954296</v>
      </c>
      <c r="F301">
        <v>0.015419330575404</v>
      </c>
      <c r="G301">
        <v>0.09179134654266001</v>
      </c>
      <c r="H301">
        <v>-0.08194491669500101</v>
      </c>
      <c r="I301">
        <v>3.873646209386281</v>
      </c>
    </row>
    <row r="302" spans="1:9">
      <c r="A302" s="1" t="s">
        <v>314</v>
      </c>
      <c r="B302">
        <f>HYPERLINK("https://www.suredividend.com/sure-analysis-research-database/","Avalara Inc")</f>
        <v>0</v>
      </c>
      <c r="C302">
        <v>0.009503239740820001</v>
      </c>
      <c r="D302">
        <v>0.127895752895752</v>
      </c>
      <c r="E302">
        <v>0.059984125184261</v>
      </c>
      <c r="F302">
        <v>-0.275966230346216</v>
      </c>
      <c r="G302">
        <v>-0.4702181921224141</v>
      </c>
      <c r="H302">
        <v>-0.40666455093621</v>
      </c>
      <c r="I302">
        <v>1.080106809078771</v>
      </c>
    </row>
    <row r="303" spans="1:9">
      <c r="A303" s="1" t="s">
        <v>315</v>
      </c>
      <c r="B303">
        <f>HYPERLINK("https://www.suredividend.com/sure-analysis-research-database/","Avanos Medical Inc")</f>
        <v>0</v>
      </c>
      <c r="C303">
        <v>0.066402378592665</v>
      </c>
      <c r="D303">
        <v>-0.102585487906588</v>
      </c>
      <c r="E303">
        <v>-0.256906077348066</v>
      </c>
      <c r="F303">
        <v>-0.204730229120473</v>
      </c>
      <c r="G303">
        <v>-0.07121277514026701</v>
      </c>
      <c r="H303">
        <v>-0.340888208269525</v>
      </c>
      <c r="I303">
        <v>-0.631001371742112</v>
      </c>
    </row>
    <row r="304" spans="1:9">
      <c r="A304" s="1" t="s">
        <v>316</v>
      </c>
      <c r="B304">
        <f>HYPERLINK("https://www.suredividend.com/sure-analysis-research-database/","Aviat Networks Inc")</f>
        <v>0</v>
      </c>
      <c r="C304">
        <v>-0.012269938650306</v>
      </c>
      <c r="D304">
        <v>0.0006542361792600001</v>
      </c>
      <c r="E304">
        <v>-0.05702836004932101</v>
      </c>
      <c r="F304">
        <v>-0.019236934915036</v>
      </c>
      <c r="G304">
        <v>-0.05847953216374201</v>
      </c>
      <c r="H304">
        <v>-0.004555808656036</v>
      </c>
      <c r="I304">
        <v>3.051655629139072</v>
      </c>
    </row>
    <row r="305" spans="1:9">
      <c r="A305" s="1" t="s">
        <v>317</v>
      </c>
      <c r="B305">
        <f>HYPERLINK("https://www.suredividend.com/sure-analysis-research-database/","AvroBio Inc")</f>
        <v>0</v>
      </c>
      <c r="C305">
        <v>0.026143790849673</v>
      </c>
      <c r="D305">
        <v>0.032894736842105</v>
      </c>
      <c r="E305">
        <v>1.407975460122699</v>
      </c>
      <c r="F305">
        <v>1.202272408472436</v>
      </c>
      <c r="G305">
        <v>1.322485207100591</v>
      </c>
      <c r="H305">
        <v>-0.7211367673179391</v>
      </c>
      <c r="I305">
        <v>-0.946598639455782</v>
      </c>
    </row>
    <row r="306" spans="1:9">
      <c r="A306" s="1" t="s">
        <v>318</v>
      </c>
      <c r="B306">
        <f>HYPERLINK("https://www.suredividend.com/sure-analysis-AVT/","Avnet Inc.")</f>
        <v>0</v>
      </c>
      <c r="C306">
        <v>-0.06240958875800701</v>
      </c>
      <c r="D306">
        <v>-0.045105455127112</v>
      </c>
      <c r="E306">
        <v>0.13454498169524</v>
      </c>
      <c r="F306">
        <v>0.119879150797392</v>
      </c>
      <c r="G306">
        <v>0.170911230631058</v>
      </c>
      <c r="H306">
        <v>0.213344922110048</v>
      </c>
      <c r="I306">
        <v>0.19981699947903</v>
      </c>
    </row>
    <row r="307" spans="1:9">
      <c r="A307" s="1" t="s">
        <v>319</v>
      </c>
      <c r="B307">
        <f>HYPERLINK("https://www.suredividend.com/sure-analysis-research-database/","Avantor Inc.")</f>
        <v>0</v>
      </c>
      <c r="C307">
        <v>-0.127098321342925</v>
      </c>
      <c r="D307">
        <v>-0.134157944814462</v>
      </c>
      <c r="E307">
        <v>-0.077546882919412</v>
      </c>
      <c r="F307">
        <v>-0.137031768610715</v>
      </c>
      <c r="G307">
        <v>-0.056016597510373</v>
      </c>
      <c r="H307">
        <v>-0.543057996485061</v>
      </c>
      <c r="I307">
        <v>0.255172413793103</v>
      </c>
    </row>
    <row r="308" spans="1:9">
      <c r="A308" s="1" t="s">
        <v>320</v>
      </c>
      <c r="B308">
        <f>HYPERLINK("https://www.suredividend.com/sure-analysis-research-database/","Anavex Life Sciences Corporation")</f>
        <v>0</v>
      </c>
      <c r="C308">
        <v>-0.105345911949685</v>
      </c>
      <c r="D308">
        <v>-0.307785888077858</v>
      </c>
      <c r="E308">
        <v>-0.288749999999999</v>
      </c>
      <c r="F308">
        <v>-0.385529157667386</v>
      </c>
      <c r="G308">
        <v>-0.516977928692699</v>
      </c>
      <c r="H308">
        <v>-0.733863423760523</v>
      </c>
      <c r="I308">
        <v>1.231372549019608</v>
      </c>
    </row>
    <row r="309" spans="1:9">
      <c r="A309" s="1" t="s">
        <v>321</v>
      </c>
      <c r="B309">
        <f>HYPERLINK("https://www.suredividend.com/sure-analysis-AVY/","Avery Dennison Corp.")</f>
        <v>0</v>
      </c>
      <c r="C309">
        <v>-0.029252974878801</v>
      </c>
      <c r="D309">
        <v>-0.044189359100786</v>
      </c>
      <c r="E309">
        <v>0.025819255316114</v>
      </c>
      <c r="F309">
        <v>-0.013412240944427</v>
      </c>
      <c r="G309">
        <v>0.083232669721922</v>
      </c>
      <c r="H309">
        <v>-0.157837686966628</v>
      </c>
      <c r="I309">
        <v>1.079193667904829</v>
      </c>
    </row>
    <row r="310" spans="1:9">
      <c r="A310" s="1" t="s">
        <v>322</v>
      </c>
      <c r="B310">
        <f>HYPERLINK("https://www.suredividend.com/sure-analysis-research-database/","Avaya Holdings Corp.")</f>
        <v>0</v>
      </c>
      <c r="C310">
        <v>0.6990196078431371</v>
      </c>
      <c r="D310">
        <v>-0.7393984962406011</v>
      </c>
      <c r="E310">
        <v>-0.43189641042452</v>
      </c>
      <c r="F310">
        <v>0.7683673469387751</v>
      </c>
      <c r="G310">
        <v>-0.9750647482014381</v>
      </c>
      <c r="H310">
        <v>-0.988117929379499</v>
      </c>
      <c r="I310">
        <v>-0.9835890151515151</v>
      </c>
    </row>
    <row r="311" spans="1:9">
      <c r="A311" s="1" t="s">
        <v>323</v>
      </c>
      <c r="B311">
        <f>HYPERLINK("https://www.suredividend.com/sure-analysis-research-database/","Armstrong World Industries Inc.")</f>
        <v>0</v>
      </c>
      <c r="C311">
        <v>0.112214890866912</v>
      </c>
      <c r="D311">
        <v>0.021589205008664</v>
      </c>
      <c r="E311">
        <v>0.182453718983467</v>
      </c>
      <c r="F311">
        <v>0.165347112875444</v>
      </c>
      <c r="G311">
        <v>0.08646508755679001</v>
      </c>
      <c r="H311">
        <v>-0.25048900790115</v>
      </c>
      <c r="I311">
        <v>0.246205413609916</v>
      </c>
    </row>
    <row r="312" spans="1:9">
      <c r="A312" s="1" t="s">
        <v>324</v>
      </c>
      <c r="B312">
        <f>HYPERLINK("https://www.suredividend.com/sure-analysis-AWK/","American Water Works Co. Inc.")</f>
        <v>0</v>
      </c>
      <c r="C312">
        <v>0.039582463465553</v>
      </c>
      <c r="D312">
        <v>-0.141117161719587</v>
      </c>
      <c r="E312">
        <v>-0.143296392334329</v>
      </c>
      <c r="F312">
        <v>-0.171757385922869</v>
      </c>
      <c r="G312">
        <v>-0.08194704805674201</v>
      </c>
      <c r="H312">
        <v>-0.270962962529171</v>
      </c>
      <c r="I312">
        <v>0.5495047409941021</v>
      </c>
    </row>
    <row r="313" spans="1:9">
      <c r="A313" s="1" t="s">
        <v>325</v>
      </c>
      <c r="B313">
        <f>HYPERLINK("https://www.suredividend.com/sure-analysis-AWR/","American States Water Co.")</f>
        <v>0</v>
      </c>
      <c r="C313">
        <v>0.049440541243819</v>
      </c>
      <c r="D313">
        <v>-0.06902016276565401</v>
      </c>
      <c r="E313">
        <v>-0.07932464022207601</v>
      </c>
      <c r="F313">
        <v>-0.116618222678795</v>
      </c>
      <c r="G313">
        <v>-0.052831699724398</v>
      </c>
      <c r="H313">
        <v>-0.079170134334304</v>
      </c>
      <c r="I313">
        <v>0.4353283673985071</v>
      </c>
    </row>
    <row r="314" spans="1:9">
      <c r="A314" s="1" t="s">
        <v>326</v>
      </c>
      <c r="B314">
        <f>HYPERLINK("https://www.suredividend.com/sure-analysis-research-database/","Aware Inc.")</f>
        <v>0</v>
      </c>
      <c r="C314">
        <v>0.055172413793103</v>
      </c>
      <c r="D314">
        <v>-0.072727272727272</v>
      </c>
      <c r="E314">
        <v>-0.09467455621301701</v>
      </c>
      <c r="F314">
        <v>-0.105263157894736</v>
      </c>
      <c r="G314">
        <v>0.04081632653061201</v>
      </c>
      <c r="H314">
        <v>-0.56657223796034</v>
      </c>
      <c r="I314">
        <v>-0.6076923076923071</v>
      </c>
    </row>
    <row r="315" spans="1:9">
      <c r="A315" s="1" t="s">
        <v>327</v>
      </c>
      <c r="B315">
        <f>HYPERLINK("https://www.suredividend.com/sure-analysis-research-database/","Axos Financial Inc.")</f>
        <v>0</v>
      </c>
      <c r="C315">
        <v>0.067307692307692</v>
      </c>
      <c r="D315">
        <v>-0.117101193106495</v>
      </c>
      <c r="E315">
        <v>0.03469704816157401</v>
      </c>
      <c r="F315">
        <v>0.04552590266875901</v>
      </c>
      <c r="G315">
        <v>0.07303974221267401</v>
      </c>
      <c r="H315">
        <v>-0.278439869989165</v>
      </c>
      <c r="I315">
        <v>0.299934938191281</v>
      </c>
    </row>
    <row r="316" spans="1:9">
      <c r="A316" s="1" t="s">
        <v>328</v>
      </c>
      <c r="B316">
        <f>HYPERLINK("https://www.suredividend.com/sure-analysis-research-database/","Abraxas Petroleum Corp.")</f>
        <v>0</v>
      </c>
      <c r="C316">
        <v>-0.932621359223301</v>
      </c>
      <c r="D316">
        <v>-0.9489705882352941</v>
      </c>
      <c r="E316">
        <v>-0.9574233128834351</v>
      </c>
      <c r="F316">
        <v>-0.9551273761800071</v>
      </c>
      <c r="G316">
        <v>-0.9794674556213011</v>
      </c>
      <c r="H316">
        <v>-0.9829901960784311</v>
      </c>
      <c r="I316">
        <v>-0.9829901960784311</v>
      </c>
    </row>
    <row r="317" spans="1:9">
      <c r="A317" s="1" t="s">
        <v>329</v>
      </c>
      <c r="B317">
        <f>HYPERLINK("https://www.suredividend.com/sure-analysis-research-database/","Accelerate Diagnostics Inc")</f>
        <v>0</v>
      </c>
      <c r="C317">
        <v>-0.08179012345679</v>
      </c>
      <c r="D317">
        <v>-0.136429608127721</v>
      </c>
      <c r="E317">
        <v>-0.323094425483503</v>
      </c>
      <c r="F317">
        <v>-0.157223796033994</v>
      </c>
      <c r="G317">
        <v>-0.516260162601626</v>
      </c>
      <c r="H317">
        <v>-0.901490066225165</v>
      </c>
      <c r="I317">
        <v>-0.9632262051915941</v>
      </c>
    </row>
    <row r="318" spans="1:9">
      <c r="A318" s="1" t="s">
        <v>330</v>
      </c>
      <c r="B318">
        <f>HYPERLINK("https://www.suredividend.com/sure-analysis-research-database/","Axogen Inc.")</f>
        <v>0</v>
      </c>
      <c r="C318">
        <v>-0.24</v>
      </c>
      <c r="D318">
        <v>-0.547619047619047</v>
      </c>
      <c r="E318">
        <v>-0.570135746606334</v>
      </c>
      <c r="F318">
        <v>-0.6192384769539071</v>
      </c>
      <c r="G318">
        <v>-0.6431924882629101</v>
      </c>
      <c r="H318">
        <v>-0.750656167979002</v>
      </c>
      <c r="I318">
        <v>-0.8970468707667291</v>
      </c>
    </row>
    <row r="319" spans="1:9">
      <c r="A319" s="1" t="s">
        <v>331</v>
      </c>
      <c r="B319">
        <f>HYPERLINK("https://www.suredividend.com/sure-analysis-research-database/","American Axle &amp; Manufacturing Holdings Inc")</f>
        <v>0</v>
      </c>
      <c r="C319">
        <v>-0.08707865168539301</v>
      </c>
      <c r="D319">
        <v>-0.306296691568836</v>
      </c>
      <c r="E319">
        <v>-0.074074074074074</v>
      </c>
      <c r="F319">
        <v>-0.168797953964194</v>
      </c>
      <c r="G319">
        <v>-0.286498353457738</v>
      </c>
      <c r="H319">
        <v>-0.305555555555555</v>
      </c>
      <c r="I319">
        <v>-0.434290687554395</v>
      </c>
    </row>
    <row r="320" spans="1:9">
      <c r="A320" s="1" t="s">
        <v>332</v>
      </c>
      <c r="B320">
        <f>HYPERLINK("https://www.suredividend.com/sure-analysis-research-database/","Axonics Inc")</f>
        <v>0</v>
      </c>
      <c r="C320">
        <v>-0.077996859186878</v>
      </c>
      <c r="D320">
        <v>-0.117863105175292</v>
      </c>
      <c r="E320">
        <v>0.001516300227445</v>
      </c>
      <c r="F320">
        <v>-0.154965616504078</v>
      </c>
      <c r="G320">
        <v>-0.201812688821752</v>
      </c>
      <c r="H320">
        <v>-0.23298011322398</v>
      </c>
      <c r="I320">
        <v>2.506303915063039</v>
      </c>
    </row>
    <row r="321" spans="1:9">
      <c r="A321" s="1" t="s">
        <v>333</v>
      </c>
      <c r="B321">
        <f>HYPERLINK("https://www.suredividend.com/sure-analysis-AXP/","American Express Co.")</f>
        <v>0</v>
      </c>
      <c r="C321">
        <v>0.013311766171844</v>
      </c>
      <c r="D321">
        <v>-0.09163551973080801</v>
      </c>
      <c r="E321">
        <v>-0.008226754143455001</v>
      </c>
      <c r="F321">
        <v>0.03608188652757</v>
      </c>
      <c r="G321">
        <v>0.066766802019113</v>
      </c>
      <c r="H321">
        <v>-0.104541579900891</v>
      </c>
      <c r="I321">
        <v>0.562205500703173</v>
      </c>
    </row>
    <row r="322" spans="1:9">
      <c r="A322" s="1" t="s">
        <v>334</v>
      </c>
      <c r="B322">
        <f>HYPERLINK("https://www.suredividend.com/sure-analysis-research-database/","AMREP Corp.")</f>
        <v>0</v>
      </c>
      <c r="C322">
        <v>-0.030520646319569</v>
      </c>
      <c r="D322">
        <v>-0.07692307692307601</v>
      </c>
      <c r="E322">
        <v>0.141649048625792</v>
      </c>
      <c r="F322">
        <v>0.402597402597402</v>
      </c>
      <c r="G322">
        <v>0.303298471440064</v>
      </c>
      <c r="H322">
        <v>0.131284916201117</v>
      </c>
      <c r="I322">
        <v>1.511627906976744</v>
      </c>
    </row>
    <row r="323" spans="1:9">
      <c r="A323" s="1" t="s">
        <v>335</v>
      </c>
      <c r="B323">
        <f>HYPERLINK("https://www.suredividend.com/sure-analysis-AXS/","Axis Capital Holdings Ltd")</f>
        <v>0</v>
      </c>
      <c r="C323">
        <v>-0.032258064516129</v>
      </c>
      <c r="D323">
        <v>-0.033641792487101</v>
      </c>
      <c r="E323">
        <v>-0.017072003116245</v>
      </c>
      <c r="F323">
        <v>0.02130556895231</v>
      </c>
      <c r="G323">
        <v>0.034304430270643</v>
      </c>
      <c r="H323">
        <v>0.08490812435458001</v>
      </c>
      <c r="I323">
        <v>0.149449754145469</v>
      </c>
    </row>
    <row r="324" spans="1:9">
      <c r="A324" s="1" t="s">
        <v>336</v>
      </c>
      <c r="B324">
        <f>HYPERLINK("https://www.suredividend.com/sure-analysis-research-database/","Axsome Therapeutics Inc")</f>
        <v>0</v>
      </c>
      <c r="C324">
        <v>-0.036649214659685</v>
      </c>
      <c r="D324">
        <v>-0.12093912093912</v>
      </c>
      <c r="E324">
        <v>-0.09652076318742901</v>
      </c>
      <c r="F324">
        <v>-0.16504602618955</v>
      </c>
      <c r="G324">
        <v>0.275247524752475</v>
      </c>
      <c r="H324">
        <v>0.628318584070796</v>
      </c>
      <c r="I324">
        <v>15.01990049751244</v>
      </c>
    </row>
    <row r="325" spans="1:9">
      <c r="A325" s="1" t="s">
        <v>337</v>
      </c>
      <c r="B325">
        <f>HYPERLINK("https://www.suredividend.com/sure-analysis-research-database/","Axalta Coating Systems Ltd")</f>
        <v>0</v>
      </c>
      <c r="C325">
        <v>0.09433962264150901</v>
      </c>
      <c r="D325">
        <v>-0.016949152542372</v>
      </c>
      <c r="E325">
        <v>-0.06931964056482601</v>
      </c>
      <c r="F325">
        <v>0.138594424813506</v>
      </c>
      <c r="G325">
        <v>0.273046532045654</v>
      </c>
      <c r="H325">
        <v>-0.086326402016383</v>
      </c>
      <c r="I325">
        <v>0.147151898734177</v>
      </c>
    </row>
    <row r="326" spans="1:9">
      <c r="A326" s="1" t="s">
        <v>338</v>
      </c>
      <c r="B326">
        <f>HYPERLINK("https://www.suredividend.com/sure-analysis-research-database/","AXT Inc")</f>
        <v>0</v>
      </c>
      <c r="C326">
        <v>-0.142259414225941</v>
      </c>
      <c r="D326">
        <v>-0.31438127090301</v>
      </c>
      <c r="E326">
        <v>-0.232209737827715</v>
      </c>
      <c r="F326">
        <v>-0.5319634703196341</v>
      </c>
      <c r="G326">
        <v>-0.5702306079664571</v>
      </c>
      <c r="H326">
        <v>-0.760233918128655</v>
      </c>
      <c r="I326">
        <v>-0.65195246179966</v>
      </c>
    </row>
    <row r="327" spans="1:9">
      <c r="A327" s="1" t="s">
        <v>339</v>
      </c>
      <c r="B327">
        <f>HYPERLINK("https://www.suredividend.com/sure-analysis-research-database/","Acuity Brands, Inc.")</f>
        <v>0</v>
      </c>
      <c r="C327">
        <v>-0.0007716303429710001</v>
      </c>
      <c r="D327">
        <v>6.5904175329E-05</v>
      </c>
      <c r="E327">
        <v>0.051397674856591</v>
      </c>
      <c r="F327">
        <v>0.010951367497659</v>
      </c>
      <c r="G327">
        <v>-0.07095257416600201</v>
      </c>
      <c r="H327">
        <v>-0.19633313753623</v>
      </c>
      <c r="I327">
        <v>0.298017591513272</v>
      </c>
    </row>
    <row r="328" spans="1:9">
      <c r="A328" s="1" t="s">
        <v>340</v>
      </c>
      <c r="B328">
        <f>HYPERLINK("https://www.suredividend.com/sure-analysis-research-database/","Alteryx Inc")</f>
        <v>0</v>
      </c>
      <c r="C328">
        <v>-0.172142275319033</v>
      </c>
      <c r="D328">
        <v>-0.201623461639172</v>
      </c>
      <c r="E328">
        <v>-0.149511854951185</v>
      </c>
      <c r="F328">
        <v>-0.3982632721531471</v>
      </c>
      <c r="G328">
        <v>-0.366770508826583</v>
      </c>
      <c r="H328">
        <v>-0.5865202061296441</v>
      </c>
      <c r="I328">
        <v>-0.420452385478046</v>
      </c>
    </row>
    <row r="329" spans="1:9">
      <c r="A329" s="1" t="s">
        <v>341</v>
      </c>
      <c r="B329">
        <f>HYPERLINK("https://www.suredividend.com/sure-analysis-research-database/","Autozone Inc.")</f>
        <v>0</v>
      </c>
      <c r="C329">
        <v>0.009152057330167001</v>
      </c>
      <c r="D329">
        <v>0.04607028255179901</v>
      </c>
      <c r="E329">
        <v>-0.058037877975056</v>
      </c>
      <c r="F329">
        <v>0.032373954861364</v>
      </c>
      <c r="G329">
        <v>0.027167686026433</v>
      </c>
      <c r="H329">
        <v>0.423829097111539</v>
      </c>
      <c r="I329">
        <v>2.347867822062092</v>
      </c>
    </row>
    <row r="330" spans="1:9">
      <c r="A330" s="1" t="s">
        <v>342</v>
      </c>
      <c r="B330">
        <f>HYPERLINK("https://www.suredividend.com/sure-analysis-research-database/","Aspen Technology Inc")</f>
        <v>0</v>
      </c>
      <c r="C330">
        <v>-0.15378937007874</v>
      </c>
      <c r="D330">
        <v>-0.132529512662698</v>
      </c>
      <c r="E330">
        <v>-0.005379453956501</v>
      </c>
      <c r="F330">
        <v>-0.162852969814995</v>
      </c>
      <c r="G330">
        <v>-0.270811246342394</v>
      </c>
      <c r="H330">
        <v>-0.06548913043478201</v>
      </c>
      <c r="I330">
        <v>-0.06548913043478201</v>
      </c>
    </row>
    <row r="331" spans="1:9">
      <c r="A331" s="1" t="s">
        <v>343</v>
      </c>
      <c r="B331">
        <f>HYPERLINK("https://www.suredividend.com/sure-analysis-research-database/","AZZ Inc")</f>
        <v>0</v>
      </c>
      <c r="C331">
        <v>0.06177150677174201</v>
      </c>
      <c r="D331">
        <v>0.06943520241183</v>
      </c>
      <c r="E331">
        <v>0.274653415666502</v>
      </c>
      <c r="F331">
        <v>0.194246386298897</v>
      </c>
      <c r="G331">
        <v>0.210201034241645</v>
      </c>
      <c r="H331">
        <v>-0.09643738167632301</v>
      </c>
      <c r="I331">
        <v>0.122501098744461</v>
      </c>
    </row>
    <row r="332" spans="1:9">
      <c r="A332" s="1" t="s">
        <v>344</v>
      </c>
      <c r="B332">
        <f>HYPERLINK("https://www.suredividend.com/sure-analysis-research-database/","Barnes Group Inc.")</f>
        <v>0</v>
      </c>
      <c r="C332">
        <v>-0.36093609360936</v>
      </c>
      <c r="D332">
        <v>-0.455887274148514</v>
      </c>
      <c r="E332">
        <v>-0.487388061677083</v>
      </c>
      <c r="F332">
        <v>-0.4723464974211861</v>
      </c>
      <c r="G332">
        <v>-0.380569062187376</v>
      </c>
      <c r="H332">
        <v>-0.460045934120534</v>
      </c>
      <c r="I332">
        <v>-0.602975632396442</v>
      </c>
    </row>
    <row r="333" spans="1:9">
      <c r="A333" s="1" t="s">
        <v>345</v>
      </c>
      <c r="B333">
        <f>HYPERLINK("https://www.suredividend.com/sure-analysis-research-database/","Boeing Co.")</f>
        <v>0</v>
      </c>
      <c r="C333">
        <v>0.022254166001171</v>
      </c>
      <c r="D333">
        <v>-0.17015299507304</v>
      </c>
      <c r="E333">
        <v>-0.05530135301353</v>
      </c>
      <c r="F333">
        <v>0.007979421491941001</v>
      </c>
      <c r="G333">
        <v>0.302557492707414</v>
      </c>
      <c r="H333">
        <v>-0.09757014616722201</v>
      </c>
      <c r="I333">
        <v>-0.445100623737994</v>
      </c>
    </row>
    <row r="334" spans="1:9">
      <c r="A334" s="1" t="s">
        <v>346</v>
      </c>
      <c r="B334">
        <f>HYPERLINK("https://www.suredividend.com/sure-analysis-BAC/","Bank Of America Corp.")</f>
        <v>0</v>
      </c>
      <c r="C334">
        <v>0.034456928838951</v>
      </c>
      <c r="D334">
        <v>-0.107079354200477</v>
      </c>
      <c r="E334">
        <v>-0.003111216983924</v>
      </c>
      <c r="F334">
        <v>-0.146906842350731</v>
      </c>
      <c r="G334">
        <v>-0.212533321929036</v>
      </c>
      <c r="H334">
        <v>-0.393243074030056</v>
      </c>
      <c r="I334">
        <v>0.115833360266313</v>
      </c>
    </row>
    <row r="335" spans="1:9">
      <c r="A335" s="1" t="s">
        <v>347</v>
      </c>
      <c r="B335">
        <f>HYPERLINK("https://www.suredividend.com/sure-analysis-BAH/","Booz Allen Hamilton Holding Corp")</f>
        <v>0</v>
      </c>
      <c r="C335">
        <v>0.080743154001937</v>
      </c>
      <c r="D335">
        <v>-0.003961755507262001</v>
      </c>
      <c r="E335">
        <v>0.335858338503063</v>
      </c>
      <c r="F335">
        <v>0.189952204135844</v>
      </c>
      <c r="G335">
        <v>0.15086408570815</v>
      </c>
      <c r="H335">
        <v>0.450956054023701</v>
      </c>
      <c r="I335">
        <v>1.792522029162903</v>
      </c>
    </row>
    <row r="336" spans="1:9">
      <c r="A336" s="1" t="s">
        <v>348</v>
      </c>
      <c r="B336">
        <f>HYPERLINK("https://www.suredividend.com/sure-analysis-research-database/","Banc of California Inc")</f>
        <v>0</v>
      </c>
      <c r="C336">
        <v>0</v>
      </c>
      <c r="D336">
        <v>-0.124774117698286</v>
      </c>
      <c r="E336">
        <v>0.130356540321673</v>
      </c>
      <c r="F336">
        <v>-0.22505526139927</v>
      </c>
      <c r="G336">
        <v>-0.239294297230299</v>
      </c>
      <c r="H336">
        <v>-0.396039703127973</v>
      </c>
      <c r="I336">
        <v>-0.184617256906413</v>
      </c>
    </row>
    <row r="337" spans="1:9">
      <c r="A337" s="1" t="s">
        <v>349</v>
      </c>
      <c r="B337">
        <f>HYPERLINK("https://www.suredividend.com/sure-analysis-research-database/","Bandwidth Inc")</f>
        <v>0</v>
      </c>
      <c r="C337">
        <v>-0.03749999999999901</v>
      </c>
      <c r="D337">
        <v>-0.223342939481268</v>
      </c>
      <c r="E337">
        <v>-0.077054794520547</v>
      </c>
      <c r="F337">
        <v>-0.5302832244008711</v>
      </c>
      <c r="G337">
        <v>-0.381171067738232</v>
      </c>
      <c r="H337">
        <v>-0.8734296113655041</v>
      </c>
      <c r="I337">
        <v>-0.798955613577023</v>
      </c>
    </row>
    <row r="338" spans="1:9">
      <c r="A338" s="1" t="s">
        <v>350</v>
      </c>
      <c r="B338">
        <f>HYPERLINK("https://www.suredividend.com/sure-analysis-BANF/","Bancfirst Corp.")</f>
        <v>0</v>
      </c>
      <c r="C338">
        <v>-0.0008257638315440001</v>
      </c>
      <c r="D338">
        <v>-0.146391361924015</v>
      </c>
      <c r="E338">
        <v>0.164126753749395</v>
      </c>
      <c r="F338">
        <v>-0.016400676790655</v>
      </c>
      <c r="G338">
        <v>-0.08649205399080001</v>
      </c>
      <c r="H338">
        <v>0.341355069514499</v>
      </c>
      <c r="I338">
        <v>0.6629200247376531</v>
      </c>
    </row>
    <row r="339" spans="1:9">
      <c r="A339" s="1" t="s">
        <v>351</v>
      </c>
      <c r="B339">
        <f>HYPERLINK("https://www.suredividend.com/sure-analysis-research-database/","Banner Corp.")</f>
        <v>0</v>
      </c>
      <c r="C339">
        <v>0.069626490951677</v>
      </c>
      <c r="D339">
        <v>-0.057996424195985</v>
      </c>
      <c r="E339">
        <v>-0.008267476095417</v>
      </c>
      <c r="F339">
        <v>-0.261489171788614</v>
      </c>
      <c r="G339">
        <v>-0.353726394010089</v>
      </c>
      <c r="H339">
        <v>-0.185767393651155</v>
      </c>
      <c r="I339">
        <v>-0.09119195437583101</v>
      </c>
    </row>
    <row r="340" spans="1:9">
      <c r="A340" s="1" t="s">
        <v>352</v>
      </c>
      <c r="B340">
        <f>HYPERLINK("https://www.suredividend.com/sure-analysis-research-database/","Atlanta Braves Holdings Inc")</f>
        <v>0</v>
      </c>
      <c r="C340">
        <v>0.005324543610547</v>
      </c>
      <c r="D340">
        <v>-0.150781751981152</v>
      </c>
      <c r="E340">
        <v>-0.10848791455874</v>
      </c>
      <c r="F340">
        <v>-0.10848791455874</v>
      </c>
      <c r="G340">
        <v>-0.10848791455874</v>
      </c>
      <c r="H340">
        <v>-0.10848791455874</v>
      </c>
      <c r="I340">
        <v>-0.10848791455874</v>
      </c>
    </row>
    <row r="341" spans="1:9">
      <c r="A341" s="1" t="s">
        <v>353</v>
      </c>
      <c r="B341">
        <f>HYPERLINK("https://www.suredividend.com/sure-analysis-research-database/","Atlanta Braves Holdings Inc")</f>
        <v>0</v>
      </c>
      <c r="C341">
        <v>-0.000276243093922</v>
      </c>
      <c r="D341">
        <v>-0.089559748427673</v>
      </c>
      <c r="E341">
        <v>-0.149271274094969</v>
      </c>
      <c r="F341">
        <v>-0.149271274094969</v>
      </c>
      <c r="G341">
        <v>-0.149271274094969</v>
      </c>
      <c r="H341">
        <v>-0.149271274094969</v>
      </c>
      <c r="I341">
        <v>-0.149271274094969</v>
      </c>
    </row>
    <row r="342" spans="1:9">
      <c r="A342" s="1" t="s">
        <v>354</v>
      </c>
      <c r="B342">
        <f>HYPERLINK("https://www.suredividend.com/sure-analysis-BAX/","Baxter International Inc.")</f>
        <v>0</v>
      </c>
      <c r="C342">
        <v>-0.08299866131191401</v>
      </c>
      <c r="D342">
        <v>-0.214568436887994</v>
      </c>
      <c r="E342">
        <v>-0.261100216384374</v>
      </c>
      <c r="F342">
        <v>-0.313653387947152</v>
      </c>
      <c r="G342">
        <v>-0.322868270694529</v>
      </c>
      <c r="H342">
        <v>-0.5549948418380201</v>
      </c>
      <c r="I342">
        <v>-0.404991470096695</v>
      </c>
    </row>
    <row r="343" spans="1:9">
      <c r="A343" s="1" t="s">
        <v>355</v>
      </c>
      <c r="B343">
        <f>HYPERLINK("https://www.suredividend.com/sure-analysis-research-database/","Bed, Bath &amp; Beyond Inc.")</f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</row>
    <row r="344" spans="1:9">
      <c r="A344" s="1" t="s">
        <v>356</v>
      </c>
      <c r="B344">
        <f>HYPERLINK("https://www.suredividend.com/sure-analysis-research-database/","Concrete Pumping Holdings Inc")</f>
        <v>0</v>
      </c>
      <c r="C344">
        <v>-0.158823529411764</v>
      </c>
      <c r="D344">
        <v>-0.117283950617283</v>
      </c>
      <c r="E344">
        <v>0.03623188405797</v>
      </c>
      <c r="F344">
        <v>0.222222222222222</v>
      </c>
      <c r="G344">
        <v>0.111975116640746</v>
      </c>
      <c r="H344">
        <v>-0.199328107502799</v>
      </c>
      <c r="I344">
        <v>-0.298331697742885</v>
      </c>
    </row>
    <row r="345" spans="1:9">
      <c r="A345" s="1" t="s">
        <v>357</v>
      </c>
      <c r="B345">
        <f>HYPERLINK("https://www.suredividend.com/sure-analysis-research-database/","Beasley Broadcast Group Inc")</f>
        <v>0</v>
      </c>
      <c r="C345">
        <v>-0.143418013856812</v>
      </c>
      <c r="D345">
        <v>-0.244295028524857</v>
      </c>
      <c r="E345">
        <v>-0.266271018793273</v>
      </c>
      <c r="F345">
        <v>-0.193958491796153</v>
      </c>
      <c r="G345">
        <v>-0.251765180552753</v>
      </c>
      <c r="H345">
        <v>-0.6788744588744581</v>
      </c>
      <c r="I345">
        <v>-0.8877760968229951</v>
      </c>
    </row>
    <row r="346" spans="1:9">
      <c r="A346" s="1" t="s">
        <v>358</v>
      </c>
      <c r="B346">
        <f>HYPERLINK("https://www.suredividend.com/sure-analysis-research-database/","Barrett Business Services Inc.")</f>
        <v>0</v>
      </c>
      <c r="C346">
        <v>0.052392556490917</v>
      </c>
      <c r="D346">
        <v>0.047716824230367</v>
      </c>
      <c r="E346">
        <v>0.14882209762509</v>
      </c>
      <c r="F346">
        <v>0.029161191924859</v>
      </c>
      <c r="G346">
        <v>0.128343255770868</v>
      </c>
      <c r="H346">
        <v>0.157182423396496</v>
      </c>
      <c r="I346">
        <v>0.540367152452736</v>
      </c>
    </row>
    <row r="347" spans="1:9">
      <c r="A347" s="1" t="s">
        <v>359</v>
      </c>
      <c r="B347">
        <f>HYPERLINK("https://www.suredividend.com/sure-analysis-research-database/","Build A Bear Workshop Inc")</f>
        <v>0</v>
      </c>
      <c r="C347">
        <v>-0.130089717046238</v>
      </c>
      <c r="D347">
        <v>0.043028547786512</v>
      </c>
      <c r="E347">
        <v>0.114500442086648</v>
      </c>
      <c r="F347">
        <v>0.127127055520284</v>
      </c>
      <c r="G347">
        <v>0.5769259639202341</v>
      </c>
      <c r="H347">
        <v>0.8326548415236981</v>
      </c>
      <c r="I347">
        <v>2.238861195333779</v>
      </c>
    </row>
    <row r="348" spans="1:9">
      <c r="A348" s="1" t="s">
        <v>360</v>
      </c>
      <c r="B348">
        <f>HYPERLINK("https://www.suredividend.com/sure-analysis-BBY/","Best Buy Co. Inc.")</f>
        <v>0</v>
      </c>
      <c r="C348">
        <v>-0.039658416558112</v>
      </c>
      <c r="D348">
        <v>-0.172770626188324</v>
      </c>
      <c r="E348">
        <v>-0.070861025455747</v>
      </c>
      <c r="F348">
        <v>-0.141913423138204</v>
      </c>
      <c r="G348">
        <v>0.05401446867186201</v>
      </c>
      <c r="H348">
        <v>-0.415175813046647</v>
      </c>
      <c r="I348">
        <v>0.09208040081901901</v>
      </c>
    </row>
    <row r="349" spans="1:9">
      <c r="A349" s="1" t="s">
        <v>361</v>
      </c>
      <c r="B349">
        <f>HYPERLINK("https://www.suredividend.com/sure-analysis-BC/","Brunswick Corp.")</f>
        <v>0</v>
      </c>
      <c r="C349">
        <v>-0.08444275389882</v>
      </c>
      <c r="D349">
        <v>-0.156909813518398</v>
      </c>
      <c r="E349">
        <v>-0.153405780195018</v>
      </c>
      <c r="F349">
        <v>0.016566901111029</v>
      </c>
      <c r="G349">
        <v>0.09198305089871901</v>
      </c>
      <c r="H349">
        <v>-0.2251455869997</v>
      </c>
      <c r="I349">
        <v>0.478361988838069</v>
      </c>
    </row>
    <row r="350" spans="1:9">
      <c r="A350" s="1" t="s">
        <v>362</v>
      </c>
      <c r="B350">
        <f>HYPERLINK("https://www.suredividend.com/sure-analysis-research-database/","BCB Bancorp Inc (NJ)")</f>
        <v>0</v>
      </c>
      <c r="C350">
        <v>0.010587102983638</v>
      </c>
      <c r="D350">
        <v>-0.111306570191014</v>
      </c>
      <c r="E350">
        <v>0.060501039706901</v>
      </c>
      <c r="F350">
        <v>-0.345114345114345</v>
      </c>
      <c r="G350">
        <v>-0.392399031015448</v>
      </c>
      <c r="H350">
        <v>-0.195650051445351</v>
      </c>
      <c r="I350">
        <v>0.171785249291567</v>
      </c>
    </row>
    <row r="351" spans="1:9">
      <c r="A351" s="1" t="s">
        <v>363</v>
      </c>
      <c r="B351">
        <f>HYPERLINK("https://www.suredividend.com/sure-analysis-research-database/","Boise Cascade Co")</f>
        <v>0</v>
      </c>
      <c r="C351">
        <v>-0.010174134220309</v>
      </c>
      <c r="D351">
        <v>-0.06593046453296</v>
      </c>
      <c r="E351">
        <v>0.5046337604244741</v>
      </c>
      <c r="F351">
        <v>0.481971880909103</v>
      </c>
      <c r="G351">
        <v>0.6041398794754751</v>
      </c>
      <c r="H351">
        <v>0.645371802314708</v>
      </c>
      <c r="I351">
        <v>2.510464083490618</v>
      </c>
    </row>
    <row r="352" spans="1:9">
      <c r="A352" s="1" t="s">
        <v>364</v>
      </c>
      <c r="B352">
        <f>HYPERLINK("https://www.suredividend.com/sure-analysis-research-database/","Brainstorm Cell Therapeutics, Inc.")</f>
        <v>0</v>
      </c>
      <c r="C352">
        <v>-0.257386079118678</v>
      </c>
      <c r="D352">
        <v>-0.9142774566473981</v>
      </c>
      <c r="E352">
        <v>-0.9505666666666661</v>
      </c>
      <c r="F352">
        <v>-0.9095731707317071</v>
      </c>
      <c r="G352">
        <v>-0.957749287749287</v>
      </c>
      <c r="H352">
        <v>-0.9505666666666661</v>
      </c>
      <c r="I352">
        <v>-0.954648318042813</v>
      </c>
    </row>
    <row r="353" spans="1:9">
      <c r="A353" s="1" t="s">
        <v>365</v>
      </c>
      <c r="B353">
        <f>HYPERLINK("https://www.suredividend.com/sure-analysis-research-database/","Brink`s Co.")</f>
        <v>0</v>
      </c>
      <c r="C353">
        <v>-0.06058091286307001</v>
      </c>
      <c r="D353">
        <v>-0.060320973990038</v>
      </c>
      <c r="E353">
        <v>0.102760310370525</v>
      </c>
      <c r="F353">
        <v>0.276646134818493</v>
      </c>
      <c r="G353">
        <v>0.170616693697249</v>
      </c>
      <c r="H353">
        <v>0.025072933818502</v>
      </c>
      <c r="I353">
        <v>0.037119154179856</v>
      </c>
    </row>
    <row r="354" spans="1:9">
      <c r="A354" s="1" t="s">
        <v>366</v>
      </c>
      <c r="B354">
        <f>HYPERLINK("https://www.suredividend.com/sure-analysis-research-database/","Blucora Inc")</f>
        <v>0</v>
      </c>
      <c r="C354">
        <v>0.075553797468354</v>
      </c>
      <c r="D354">
        <v>0.262302692664809</v>
      </c>
      <c r="E354">
        <v>0.405894519131334</v>
      </c>
      <c r="F354">
        <v>0.06502154328241201</v>
      </c>
      <c r="G354">
        <v>0.7329509241555131</v>
      </c>
      <c r="H354">
        <v>0.572585309427414</v>
      </c>
      <c r="I354">
        <v>0.132916666666666</v>
      </c>
    </row>
    <row r="355" spans="1:9">
      <c r="A355" s="1" t="s">
        <v>367</v>
      </c>
      <c r="B355">
        <f>HYPERLINK("https://www.suredividend.com/sure-analysis-research-database/","Brightcove Inc")</f>
        <v>0</v>
      </c>
      <c r="C355">
        <v>-0.168789808917197</v>
      </c>
      <c r="D355">
        <v>-0.3844339622641511</v>
      </c>
      <c r="E355">
        <v>-0.3409090909090901</v>
      </c>
      <c r="F355">
        <v>-0.50095602294455</v>
      </c>
      <c r="G355">
        <v>-0.598461538461538</v>
      </c>
      <c r="H355">
        <v>-0.7483124397299901</v>
      </c>
      <c r="I355">
        <v>-0.654304635761589</v>
      </c>
    </row>
    <row r="356" spans="1:9">
      <c r="A356" s="1" t="s">
        <v>368</v>
      </c>
      <c r="B356">
        <f>HYPERLINK("https://www.suredividend.com/sure-analysis-BCPC/","Balchem Corp.")</f>
        <v>0</v>
      </c>
      <c r="C356">
        <v>-0.033880402989925</v>
      </c>
      <c r="D356">
        <v>-0.118924125666864</v>
      </c>
      <c r="E356">
        <v>-0.088882078001685</v>
      </c>
      <c r="F356">
        <v>-0.026205879944312</v>
      </c>
      <c r="G356">
        <v>-0.113237967822716</v>
      </c>
      <c r="H356">
        <v>-0.227469372613656</v>
      </c>
      <c r="I356">
        <v>0.29512544451524</v>
      </c>
    </row>
    <row r="357" spans="1:9">
      <c r="A357" s="1" t="s">
        <v>369</v>
      </c>
      <c r="B357">
        <f>HYPERLINK("https://www.suredividend.com/sure-analysis-research-database/","Biocryst Pharmaceuticals Inc.")</f>
        <v>0</v>
      </c>
      <c r="C357">
        <v>-0.166912850812407</v>
      </c>
      <c r="D357">
        <v>-0.188489208633093</v>
      </c>
      <c r="E357">
        <v>-0.234735413839891</v>
      </c>
      <c r="F357">
        <v>-0.508710801393728</v>
      </c>
      <c r="G357">
        <v>-0.5307820299500831</v>
      </c>
      <c r="H357">
        <v>-0.627476882430647</v>
      </c>
      <c r="I357">
        <v>-0.294117647058823</v>
      </c>
    </row>
    <row r="358" spans="1:9">
      <c r="A358" s="1" t="s">
        <v>370</v>
      </c>
      <c r="B358">
        <f>HYPERLINK("https://www.suredividend.com/sure-analysis-research-database/","Belden Inc")</f>
        <v>0</v>
      </c>
      <c r="C358">
        <v>-0.349813432835821</v>
      </c>
      <c r="D358">
        <v>-0.332670223347499</v>
      </c>
      <c r="E358">
        <v>-0.210025236879089</v>
      </c>
      <c r="F358">
        <v>-0.126110124333925</v>
      </c>
      <c r="G358">
        <v>-0.114714536717542</v>
      </c>
      <c r="H358">
        <v>-0.024128436085313</v>
      </c>
      <c r="I358">
        <v>0.163508889074367</v>
      </c>
    </row>
    <row r="359" spans="1:9">
      <c r="A359" s="1" t="s">
        <v>371</v>
      </c>
      <c r="B359">
        <f>HYPERLINK("https://www.suredividend.com/sure-analysis-research-database/","Bridge Bancorp, Inc.")</f>
        <v>0</v>
      </c>
      <c r="C359">
        <v>0.010339123242349</v>
      </c>
      <c r="D359">
        <v>0.250255885363357</v>
      </c>
      <c r="E359">
        <v>0.367279321229488</v>
      </c>
      <c r="F359">
        <v>0.010339123242349</v>
      </c>
      <c r="G359">
        <v>-0.163356164383561</v>
      </c>
      <c r="H359">
        <v>-0.149781790086935</v>
      </c>
      <c r="I359">
        <v>-0.020119045709059</v>
      </c>
    </row>
    <row r="360" spans="1:9">
      <c r="A360" s="1" t="s">
        <v>372</v>
      </c>
      <c r="B360">
        <f>HYPERLINK("https://www.suredividend.com/sure-analysis-research-database/","Flanigan`s Enterprises, Inc.")</f>
        <v>0</v>
      </c>
      <c r="C360">
        <v>-0.146669252517416</v>
      </c>
      <c r="D360">
        <v>-0.06724080821464</v>
      </c>
      <c r="E360">
        <v>0.044762275771235</v>
      </c>
      <c r="F360">
        <v>0.121063736613718</v>
      </c>
      <c r="G360">
        <v>0.04740473489427301</v>
      </c>
      <c r="H360">
        <v>0.018894412724601</v>
      </c>
      <c r="I360">
        <v>0.1291868331041</v>
      </c>
    </row>
    <row r="361" spans="1:9">
      <c r="A361" s="1" t="s">
        <v>373</v>
      </c>
      <c r="B361">
        <f>HYPERLINK("https://www.suredividend.com/sure-analysis-BDN/","Brandywine Realty Trust")</f>
        <v>0</v>
      </c>
      <c r="C361">
        <v>-0.05188679245283</v>
      </c>
      <c r="D361">
        <v>-0.14181414512307</v>
      </c>
      <c r="E361">
        <v>0.157867450099369</v>
      </c>
      <c r="F361">
        <v>-0.242709667696481</v>
      </c>
      <c r="G361">
        <v>-0.286778794975516</v>
      </c>
      <c r="H361">
        <v>-0.6265745178909821</v>
      </c>
      <c r="I361">
        <v>-0.575747981636852</v>
      </c>
    </row>
    <row r="362" spans="1:9">
      <c r="A362" s="1" t="s">
        <v>374</v>
      </c>
      <c r="B362">
        <f>HYPERLINK("https://www.suredividend.com/sure-analysis-research-database/","Biodelivery Sciences International")</f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9">
      <c r="A363" s="1" t="s">
        <v>375</v>
      </c>
      <c r="B363">
        <f>HYPERLINK("https://www.suredividend.com/sure-analysis-BDX/","Becton Dickinson &amp; Co.")</f>
        <v>0</v>
      </c>
      <c r="C363">
        <v>-0.007138423339540001</v>
      </c>
      <c r="D363">
        <v>-0.070386476869361</v>
      </c>
      <c r="E363">
        <v>-0.022987211256873</v>
      </c>
      <c r="F363">
        <v>0.017409097287955</v>
      </c>
      <c r="G363">
        <v>0.138973250684487</v>
      </c>
      <c r="H363">
        <v>0.110427001530351</v>
      </c>
      <c r="I363">
        <v>0.190504987728383</v>
      </c>
    </row>
    <row r="364" spans="1:9">
      <c r="A364" s="1" t="s">
        <v>376</v>
      </c>
      <c r="B364">
        <f>HYPERLINK("https://www.suredividend.com/sure-analysis-research-database/","Bloom Energy Corp")</f>
        <v>0</v>
      </c>
      <c r="C364">
        <v>-0.117309269893355</v>
      </c>
      <c r="D364">
        <v>-0.358378056052474</v>
      </c>
      <c r="E364">
        <v>-0.325814536340852</v>
      </c>
      <c r="F364">
        <v>-0.437238493723849</v>
      </c>
      <c r="G364">
        <v>-0.379111367570686</v>
      </c>
      <c r="H364">
        <v>-0.6652146857498441</v>
      </c>
      <c r="I364">
        <v>-0.531358885017421</v>
      </c>
    </row>
    <row r="365" spans="1:9">
      <c r="A365" s="1" t="s">
        <v>377</v>
      </c>
      <c r="B365">
        <f>HYPERLINK("https://www.suredividend.com/sure-analysis-research-database/","HeartBeam Inc")</f>
        <v>0</v>
      </c>
      <c r="C365">
        <v>-0.34313725490196</v>
      </c>
      <c r="D365">
        <v>-0.537931034482758</v>
      </c>
      <c r="E365">
        <v>-0.346341463414634</v>
      </c>
      <c r="F365">
        <v>-0.7254098360655731</v>
      </c>
      <c r="G365">
        <v>-0.6000000000000001</v>
      </c>
      <c r="H365">
        <v>-0.7142857142857141</v>
      </c>
      <c r="I365">
        <v>-0.7142857142857141</v>
      </c>
    </row>
    <row r="366" spans="1:9">
      <c r="A366" s="1" t="s">
        <v>378</v>
      </c>
      <c r="B366">
        <f>HYPERLINK("https://www.suredividend.com/sure-analysis-research-database/","Beacon Roofing Supply Inc")</f>
        <v>0</v>
      </c>
      <c r="C366">
        <v>-0.035826771653543</v>
      </c>
      <c r="D366">
        <v>-0.150734019188533</v>
      </c>
      <c r="E366">
        <v>0.220229197807673</v>
      </c>
      <c r="F366">
        <v>0.391740860011365</v>
      </c>
      <c r="G366">
        <v>0.333151878062057</v>
      </c>
      <c r="H366">
        <v>0.330014482259232</v>
      </c>
      <c r="I366">
        <v>1.427155599603568</v>
      </c>
    </row>
    <row r="367" spans="1:9">
      <c r="A367" s="1" t="s">
        <v>379</v>
      </c>
      <c r="B367">
        <f>HYPERLINK("https://www.suredividend.com/sure-analysis-research-database/","Bel Fuse Inc.")</f>
        <v>0</v>
      </c>
      <c r="C367">
        <v>0.09896675785601101</v>
      </c>
      <c r="D367">
        <v>-0.002523711851374</v>
      </c>
      <c r="E367">
        <v>0.162964000054196</v>
      </c>
      <c r="F367">
        <v>0.613433794389009</v>
      </c>
      <c r="G367">
        <v>0.629076645683737</v>
      </c>
      <c r="H367">
        <v>2.502233949227808</v>
      </c>
      <c r="I367">
        <v>1.699557587067284</v>
      </c>
    </row>
    <row r="368" spans="1:9">
      <c r="A368" s="1" t="s">
        <v>380</v>
      </c>
      <c r="B368">
        <f>HYPERLINK("https://www.suredividend.com/sure-analysis-research-database/","Bel Fuse Inc.")</f>
        <v>0</v>
      </c>
      <c r="C368">
        <v>0.112012901457738</v>
      </c>
      <c r="D368">
        <v>0.037226093659058</v>
      </c>
      <c r="E368">
        <v>0.216884590896088</v>
      </c>
      <c r="F368">
        <v>0.617448203329336</v>
      </c>
      <c r="G368">
        <v>0.5946817740721371</v>
      </c>
      <c r="H368">
        <v>2.824070986356584</v>
      </c>
      <c r="I368">
        <v>1.229143248337122</v>
      </c>
    </row>
    <row r="369" spans="1:9">
      <c r="A369" s="1" t="s">
        <v>381</v>
      </c>
      <c r="B369">
        <f>HYPERLINK("https://www.suredividend.com/sure-analysis-BEN/","Franklin Resources, Inc.")</f>
        <v>0</v>
      </c>
      <c r="C369">
        <v>-0.028087567121024</v>
      </c>
      <c r="D369">
        <v>-0.159630851869312</v>
      </c>
      <c r="E369">
        <v>-0.044591159727466</v>
      </c>
      <c r="F369">
        <v>-0.07615715929123601</v>
      </c>
      <c r="G369">
        <v>0.09280734916425501</v>
      </c>
      <c r="H369">
        <v>-0.316858186378971</v>
      </c>
      <c r="I369">
        <v>-0.05050138207937301</v>
      </c>
    </row>
    <row r="370" spans="1:9">
      <c r="A370" s="1" t="s">
        <v>382</v>
      </c>
      <c r="B370">
        <f>HYPERLINK("https://www.suredividend.com/sure-analysis-research-database/","Berry Global Group Inc")</f>
        <v>0</v>
      </c>
      <c r="C370">
        <v>-0.06912817176317401</v>
      </c>
      <c r="D370">
        <v>-0.08706027986396001</v>
      </c>
      <c r="E370">
        <v>0.026125591461085</v>
      </c>
      <c r="F370">
        <v>-0.041317330161734</v>
      </c>
      <c r="G370">
        <v>0.255668940459395</v>
      </c>
      <c r="H370">
        <v>-0.14012518743558</v>
      </c>
      <c r="I370">
        <v>0.290193134450162</v>
      </c>
    </row>
    <row r="371" spans="1:9">
      <c r="A371" s="1" t="s">
        <v>383</v>
      </c>
      <c r="B371">
        <f>HYPERLINK("https://www.suredividend.com/sure-analysis-research-database/","Bright Horizons Family Solutions, Inc.")</f>
        <v>0</v>
      </c>
      <c r="C371">
        <v>-0.005518763796909</v>
      </c>
      <c r="D371">
        <v>-0.14054054054054</v>
      </c>
      <c r="E371">
        <v>0.09447968686732301</v>
      </c>
      <c r="F371">
        <v>0.285103011093502</v>
      </c>
      <c r="G371">
        <v>0.227334645073407</v>
      </c>
      <c r="H371">
        <v>-0.5208013237206001</v>
      </c>
      <c r="I371">
        <v>-0.300526179591132</v>
      </c>
    </row>
    <row r="372" spans="1:9">
      <c r="A372" s="1" t="s">
        <v>384</v>
      </c>
      <c r="B372">
        <f>HYPERLINK("https://www.suredividend.com/sure-analysis-research-database/","Bankfinancial Corp")</f>
        <v>0</v>
      </c>
      <c r="C372">
        <v>0.015151515151515</v>
      </c>
      <c r="D372">
        <v>0.024742049719401</v>
      </c>
      <c r="E372">
        <v>0.136704730831974</v>
      </c>
      <c r="F372">
        <v>-0.133583344109659</v>
      </c>
      <c r="G372">
        <v>-0.051187921437052</v>
      </c>
      <c r="H372">
        <v>-0.16471671333768</v>
      </c>
      <c r="I372">
        <v>-0.24060786245499</v>
      </c>
    </row>
    <row r="373" spans="1:9">
      <c r="A373" s="1" t="s">
        <v>385</v>
      </c>
      <c r="B373">
        <f>HYPERLINK("https://www.suredividend.com/sure-analysis-BFS/","Saul Centers, Inc.")</f>
        <v>0</v>
      </c>
      <c r="C373">
        <v>0.062661176152684</v>
      </c>
      <c r="D373">
        <v>-0.03412079096377</v>
      </c>
      <c r="E373">
        <v>0.089070166460973</v>
      </c>
      <c r="F373">
        <v>-0.054273413790669</v>
      </c>
      <c r="G373">
        <v>-0.05659393383119801</v>
      </c>
      <c r="H373">
        <v>-0.158467657525643</v>
      </c>
      <c r="I373">
        <v>-0.04105595165522501</v>
      </c>
    </row>
    <row r="374" spans="1:9">
      <c r="A374" s="1" t="s">
        <v>386</v>
      </c>
      <c r="B374">
        <f>HYPERLINK("https://www.suredividend.com/sure-analysis-research-database/","Business First Bancshares Inc.")</f>
        <v>0</v>
      </c>
      <c r="C374">
        <v>0.07963655799037901</v>
      </c>
      <c r="D374">
        <v>-0.007190496552198</v>
      </c>
      <c r="E374">
        <v>0.446214426346876</v>
      </c>
      <c r="F374">
        <v>-0.063739849456783</v>
      </c>
      <c r="G374">
        <v>-0.118715942952127</v>
      </c>
      <c r="H374">
        <v>-0.202347152734725</v>
      </c>
      <c r="I374">
        <v>-0.134436569626436</v>
      </c>
    </row>
    <row r="375" spans="1:9">
      <c r="A375" s="1" t="s">
        <v>387</v>
      </c>
      <c r="B375">
        <f>HYPERLINK("https://www.suredividend.com/sure-analysis-BG/","Bunge Global SA")</f>
        <v>0</v>
      </c>
      <c r="C375">
        <v>-0.011434998594057</v>
      </c>
      <c r="D375">
        <v>-0.060131280420753</v>
      </c>
      <c r="E375">
        <v>0.172202778744085</v>
      </c>
      <c r="F375">
        <v>0.07766504204600001</v>
      </c>
      <c r="G375">
        <v>0.09093429155986901</v>
      </c>
      <c r="H375">
        <v>0.213106193662218</v>
      </c>
      <c r="I375">
        <v>0.9692485786569821</v>
      </c>
    </row>
    <row r="376" spans="1:9">
      <c r="A376" s="1" t="s">
        <v>388</v>
      </c>
      <c r="B376">
        <f>HYPERLINK("https://www.suredividend.com/sure-analysis-research-database/","BGC Partners Inc")</f>
        <v>0</v>
      </c>
      <c r="C376">
        <v>0.052256532066508</v>
      </c>
      <c r="D376">
        <v>-0.14902608628837</v>
      </c>
      <c r="E376">
        <v>0.182878961843475</v>
      </c>
      <c r="F376">
        <v>0.182878961843475</v>
      </c>
      <c r="G376">
        <v>0.276804242563984</v>
      </c>
      <c r="H376">
        <v>-0.210465344240674</v>
      </c>
      <c r="I376">
        <v>-0.256935824750914</v>
      </c>
    </row>
    <row r="377" spans="1:9">
      <c r="A377" s="1" t="s">
        <v>389</v>
      </c>
      <c r="B377">
        <f>HYPERLINK("https://www.suredividend.com/sure-analysis-research-database/","Big 5 Sporting Goods Corp")</f>
        <v>0</v>
      </c>
      <c r="C377">
        <v>-0.288652482269503</v>
      </c>
      <c r="D377">
        <v>-0.343242535358826</v>
      </c>
      <c r="E377">
        <v>-0.237505891654376</v>
      </c>
      <c r="F377">
        <v>-0.318540058702032</v>
      </c>
      <c r="G377">
        <v>-0.477429976658886</v>
      </c>
      <c r="H377">
        <v>-0.7516023259730351</v>
      </c>
      <c r="I377">
        <v>1.064040828085771</v>
      </c>
    </row>
    <row r="378" spans="1:9">
      <c r="A378" s="1" t="s">
        <v>390</v>
      </c>
      <c r="B378">
        <f>HYPERLINK("https://www.suredividend.com/sure-analysis-BGS/","B&amp;G Foods, Inc")</f>
        <v>0</v>
      </c>
      <c r="C378">
        <v>-0.115660184237461</v>
      </c>
      <c r="D378">
        <v>-0.317519372496978</v>
      </c>
      <c r="E378">
        <v>-0.445524729982095</v>
      </c>
      <c r="F378">
        <v>-0.188839025855756</v>
      </c>
      <c r="G378">
        <v>-0.430034039633744</v>
      </c>
      <c r="H378">
        <v>-0.6808604946662331</v>
      </c>
      <c r="I378">
        <v>-0.5337467014198061</v>
      </c>
    </row>
    <row r="379" spans="1:9">
      <c r="A379" s="1" t="s">
        <v>391</v>
      </c>
      <c r="B379">
        <f>HYPERLINK("https://www.suredividend.com/sure-analysis-research-database/","BGSF Inc")</f>
        <v>0</v>
      </c>
      <c r="C379">
        <v>0.039473684210526</v>
      </c>
      <c r="D379">
        <v>-0.044663011931634</v>
      </c>
      <c r="E379">
        <v>0.038471650162124</v>
      </c>
      <c r="F379">
        <v>-0.355820717023184</v>
      </c>
      <c r="G379">
        <v>-0.179504933356413</v>
      </c>
      <c r="H379">
        <v>-0.140330990705055</v>
      </c>
      <c r="I379">
        <v>-0.547604163187004</v>
      </c>
    </row>
    <row r="380" spans="1:9">
      <c r="A380" s="1" t="s">
        <v>392</v>
      </c>
      <c r="B380">
        <f>HYPERLINK("https://www.suredividend.com/sure-analysis-research-database/","Biglari Holdings Inc.")</f>
        <v>0</v>
      </c>
      <c r="C380">
        <v>-0.07975423167279001</v>
      </c>
      <c r="D380">
        <v>-0.249287469287469</v>
      </c>
      <c r="E380">
        <v>-0.166057099186636</v>
      </c>
      <c r="F380">
        <v>0.10064841498559</v>
      </c>
      <c r="G380">
        <v>0.113321673225477</v>
      </c>
      <c r="H380">
        <v>-0.080916857177234</v>
      </c>
      <c r="I380">
        <v>0.006058610470859</v>
      </c>
    </row>
    <row r="381" spans="1:9">
      <c r="A381" s="1" t="s">
        <v>393</v>
      </c>
      <c r="B381">
        <f>HYPERLINK("https://www.suredividend.com/sure-analysis-BHB/","Bar Harbor Bankshares Inc")</f>
        <v>0</v>
      </c>
      <c r="C381">
        <v>0.09544098849595201</v>
      </c>
      <c r="D381">
        <v>-0.01591530211515</v>
      </c>
      <c r="E381">
        <v>0.150665067401851</v>
      </c>
      <c r="F381">
        <v>-0.153159266005487</v>
      </c>
      <c r="G381">
        <v>-0.04300342821409001</v>
      </c>
      <c r="H381">
        <v>-0.06197667164075601</v>
      </c>
      <c r="I381">
        <v>0.207785069690748</v>
      </c>
    </row>
    <row r="382" spans="1:9">
      <c r="A382" s="1" t="s">
        <v>394</v>
      </c>
      <c r="B382">
        <f>HYPERLINK("https://www.suredividend.com/sure-analysis-research-database/","Benchmark Electronics Inc.")</f>
        <v>0</v>
      </c>
      <c r="C382">
        <v>-0.004093327875562</v>
      </c>
      <c r="D382">
        <v>-0.068850702284817</v>
      </c>
      <c r="E382">
        <v>0.135255444140112</v>
      </c>
      <c r="F382">
        <v>-0.069527306103717</v>
      </c>
      <c r="G382">
        <v>-0.116580188593608</v>
      </c>
      <c r="H382">
        <v>0.06023235342821501</v>
      </c>
      <c r="I382">
        <v>0.168526158560306</v>
      </c>
    </row>
    <row r="383" spans="1:9">
      <c r="A383" s="1" t="s">
        <v>395</v>
      </c>
      <c r="B383">
        <f>HYPERLINK("https://www.suredividend.com/sure-analysis-research-database/","Brighthouse Financial Inc")</f>
        <v>0</v>
      </c>
      <c r="C383">
        <v>-0.013341671878257</v>
      </c>
      <c r="D383">
        <v>-0.088756257219869</v>
      </c>
      <c r="E383">
        <v>0.11443371791853</v>
      </c>
      <c r="F383">
        <v>-0.07684805929393401</v>
      </c>
      <c r="G383">
        <v>-0.160368990597835</v>
      </c>
      <c r="H383">
        <v>-0.08488012374323201</v>
      </c>
      <c r="I383">
        <v>0.156647116324535</v>
      </c>
    </row>
    <row r="384" spans="1:9">
      <c r="A384" s="1" t="s">
        <v>396</v>
      </c>
      <c r="B384">
        <f>HYPERLINK("https://www.suredividend.com/sure-analysis-research-database/","Berkshire Hills Bancorp Inc.")</f>
        <v>0</v>
      </c>
      <c r="C384">
        <v>0.028841372451516</v>
      </c>
      <c r="D384">
        <v>-0.07942157953281401</v>
      </c>
      <c r="E384">
        <v>0.08989385519003301</v>
      </c>
      <c r="F384">
        <v>-0.291545109641013</v>
      </c>
      <c r="G384">
        <v>-0.244686521177252</v>
      </c>
      <c r="H384">
        <v>-0.214445992687399</v>
      </c>
      <c r="I384">
        <v>-0.289855122207386</v>
      </c>
    </row>
    <row r="385" spans="1:9">
      <c r="A385" s="1" t="s">
        <v>397</v>
      </c>
      <c r="B385">
        <f>HYPERLINK("https://www.suredividend.com/sure-analysis-research-database/","Braemar Hotels &amp; Resorts Inc")</f>
        <v>0</v>
      </c>
      <c r="C385">
        <v>-0.047101449275362</v>
      </c>
      <c r="D385">
        <v>-0.209830549212834</v>
      </c>
      <c r="E385">
        <v>-0.27834485786412</v>
      </c>
      <c r="F385">
        <v>-0.331027115022638</v>
      </c>
      <c r="G385">
        <v>-0.379877861875456</v>
      </c>
      <c r="H385">
        <v>-0.48317874548027</v>
      </c>
      <c r="I385">
        <v>-0.7018782801890741</v>
      </c>
    </row>
    <row r="386" spans="1:9">
      <c r="A386" s="1" t="s">
        <v>398</v>
      </c>
      <c r="B386">
        <f>HYPERLINK("https://www.suredividend.com/sure-analysis-research-database/","Biohaven Ltd")</f>
        <v>0</v>
      </c>
      <c r="C386">
        <v>0.225176568342334</v>
      </c>
      <c r="D386">
        <v>0.529564315352697</v>
      </c>
      <c r="E386">
        <v>1.234090909090909</v>
      </c>
      <c r="F386">
        <v>1.124639769452449</v>
      </c>
      <c r="G386">
        <v>1.007488087134104</v>
      </c>
      <c r="H386">
        <v>3.03972602739726</v>
      </c>
      <c r="I386">
        <v>3.03972602739726</v>
      </c>
    </row>
    <row r="387" spans="1:9">
      <c r="A387" s="1" t="s">
        <v>399</v>
      </c>
      <c r="B387">
        <f>HYPERLINK("https://www.suredividend.com/sure-analysis-research-database/","Big Lots Inc")</f>
        <v>0</v>
      </c>
      <c r="C387">
        <v>-0.008492569002123</v>
      </c>
      <c r="D387">
        <v>-0.5021321961620471</v>
      </c>
      <c r="E387">
        <v>-0.443384982121573</v>
      </c>
      <c r="F387">
        <v>-0.6749359616883841</v>
      </c>
      <c r="G387">
        <v>-0.7378657670653871</v>
      </c>
      <c r="H387">
        <v>-0.8934978984649551</v>
      </c>
      <c r="I387">
        <v>-0.8667602483337891</v>
      </c>
    </row>
    <row r="388" spans="1:9">
      <c r="A388" s="1" t="s">
        <v>400</v>
      </c>
      <c r="B388">
        <f>HYPERLINK("https://www.suredividend.com/sure-analysis-research-database/","Biogen Inc")</f>
        <v>0</v>
      </c>
      <c r="C388">
        <v>-0.043502333306968</v>
      </c>
      <c r="D388">
        <v>-0.109368095448519</v>
      </c>
      <c r="E388">
        <v>-0.217990170719089</v>
      </c>
      <c r="F388">
        <v>-0.126606962299581</v>
      </c>
      <c r="G388">
        <v>-0.131156374609332</v>
      </c>
      <c r="H388">
        <v>-0.112472936772962</v>
      </c>
      <c r="I388">
        <v>-0.226543012472017</v>
      </c>
    </row>
    <row r="389" spans="1:9">
      <c r="A389" s="1" t="s">
        <v>401</v>
      </c>
      <c r="B389">
        <f>HYPERLINK("https://www.suredividend.com/sure-analysis-research-database/","Bio-Rad Laboratories Inc.")</f>
        <v>0</v>
      </c>
      <c r="C389">
        <v>-0.200142227279192</v>
      </c>
      <c r="D389">
        <v>-0.303554179566563</v>
      </c>
      <c r="E389">
        <v>-0.37718171347568</v>
      </c>
      <c r="F389">
        <v>-0.331280173131346</v>
      </c>
      <c r="G389">
        <v>-0.210184821077467</v>
      </c>
      <c r="H389">
        <v>-0.639074292755557</v>
      </c>
      <c r="I389">
        <v>0.04233235719316401</v>
      </c>
    </row>
    <row r="390" spans="1:9">
      <c r="A390" s="1" t="s">
        <v>402</v>
      </c>
      <c r="B390">
        <f>HYPERLINK("https://www.suredividend.com/sure-analysis-research-database/","Biocept Inc")</f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</row>
    <row r="391" spans="1:9">
      <c r="A391" s="1" t="s">
        <v>403</v>
      </c>
      <c r="B391">
        <f>HYPERLINK("https://www.suredividend.com/sure-analysis-research-database/","Biolase Inc")</f>
        <v>0</v>
      </c>
      <c r="C391">
        <v>-0.126984126984126</v>
      </c>
      <c r="D391">
        <v>-0.677103718199608</v>
      </c>
      <c r="E391">
        <v>-0.9368058215243201</v>
      </c>
      <c r="F391">
        <v>-0.9746153846153841</v>
      </c>
      <c r="G391">
        <v>-0.9906779661016941</v>
      </c>
      <c r="H391">
        <v>-0.9988471615720521</v>
      </c>
      <c r="I391">
        <v>-0.9994961832061061</v>
      </c>
    </row>
    <row r="392" spans="1:9">
      <c r="A392" s="1" t="s">
        <v>404</v>
      </c>
      <c r="B392">
        <f>HYPERLINK("https://www.suredividend.com/sure-analysis-research-database/","BioPlus Acquisition Corp")</f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</row>
    <row r="393" spans="1:9">
      <c r="A393" s="1" t="s">
        <v>405</v>
      </c>
      <c r="B393">
        <f>HYPERLINK("https://www.suredividend.com/sure-analysis-research-database/","BJ`s Wholesale Club Holdings Inc")</f>
        <v>0</v>
      </c>
      <c r="C393">
        <v>-0.037021396396396</v>
      </c>
      <c r="D393">
        <v>0.024561929010034</v>
      </c>
      <c r="E393">
        <v>-0.087379935965848</v>
      </c>
      <c r="F393">
        <v>0.034008464328899</v>
      </c>
      <c r="G393">
        <v>-0.101051248357424</v>
      </c>
      <c r="H393">
        <v>0.141498414817286</v>
      </c>
      <c r="I393">
        <v>2.05811354492624</v>
      </c>
    </row>
    <row r="394" spans="1:9">
      <c r="A394" s="1" t="s">
        <v>406</v>
      </c>
      <c r="B394">
        <f>HYPERLINK("https://www.suredividend.com/sure-analysis-research-database/","BJ`s Restaurant Inc.")</f>
        <v>0</v>
      </c>
      <c r="C394">
        <v>0.165445928479103</v>
      </c>
      <c r="D394">
        <v>-0.255845942228335</v>
      </c>
      <c r="E394">
        <v>-0.157320872274143</v>
      </c>
      <c r="F394">
        <v>0.025398028809704</v>
      </c>
      <c r="G394">
        <v>-0.12089697757556</v>
      </c>
      <c r="H394">
        <v>-0.185240963855421</v>
      </c>
      <c r="I394">
        <v>-0.553387158023346</v>
      </c>
    </row>
    <row r="395" spans="1:9">
      <c r="A395" s="1" t="s">
        <v>407</v>
      </c>
      <c r="B395">
        <f>HYPERLINK("https://www.suredividend.com/sure-analysis-BK/","Bank Of New York Mellon Corp")</f>
        <v>0</v>
      </c>
      <c r="C395">
        <v>0.06224098271697401</v>
      </c>
      <c r="D395">
        <v>-0.011972905188258</v>
      </c>
      <c r="E395">
        <v>0.08396303156821801</v>
      </c>
      <c r="F395">
        <v>0.007324964764118</v>
      </c>
      <c r="G395">
        <v>0.09071095913038901</v>
      </c>
      <c r="H395">
        <v>-0.210625860924552</v>
      </c>
      <c r="I395">
        <v>0.08910793591397401</v>
      </c>
    </row>
    <row r="396" spans="1:9">
      <c r="A396" s="1" t="s">
        <v>408</v>
      </c>
      <c r="B396">
        <f>HYPERLINK("https://www.suredividend.com/sure-analysis-research-database/","Brookdale Senior Living Inc")</f>
        <v>0</v>
      </c>
      <c r="C396">
        <v>0.09234828496042201</v>
      </c>
      <c r="D396">
        <v>0.09523809523809501</v>
      </c>
      <c r="E396">
        <v>0.053435114503816</v>
      </c>
      <c r="F396">
        <v>0.5164835164835161</v>
      </c>
      <c r="G396">
        <v>-0.018957345971563</v>
      </c>
      <c r="H396">
        <v>-0.371775417298937</v>
      </c>
      <c r="I396">
        <v>-0.534308211473565</v>
      </c>
    </row>
    <row r="397" spans="1:9">
      <c r="A397" s="1" t="s">
        <v>409</v>
      </c>
      <c r="B397">
        <f>HYPERLINK("https://www.suredividend.com/sure-analysis-research-database/","Buckle, Inc.")</f>
        <v>0</v>
      </c>
      <c r="C397">
        <v>0.05512528473804101</v>
      </c>
      <c r="D397">
        <v>-0.015590730571093</v>
      </c>
      <c r="E397">
        <v>0.05827842409731</v>
      </c>
      <c r="F397">
        <v>-0.165363297607807</v>
      </c>
      <c r="G397">
        <v>-0.00103519668737</v>
      </c>
      <c r="H397">
        <v>-0.110063658371011</v>
      </c>
      <c r="I397">
        <v>1.057642417996375</v>
      </c>
    </row>
    <row r="398" spans="1:9">
      <c r="A398" s="1" t="s">
        <v>410</v>
      </c>
      <c r="B398">
        <f>HYPERLINK("https://www.suredividend.com/sure-analysis-BKH/","Black Hills Corporation")</f>
        <v>0</v>
      </c>
      <c r="C398">
        <v>0.041310244105987</v>
      </c>
      <c r="D398">
        <v>-0.149060232418571</v>
      </c>
      <c r="E398">
        <v>-0.205753078482608</v>
      </c>
      <c r="F398">
        <v>-0.268292325352622</v>
      </c>
      <c r="G398">
        <v>-0.20138377741793</v>
      </c>
      <c r="H398">
        <v>-0.191074099946352</v>
      </c>
      <c r="I398">
        <v>-0.020673578789567</v>
      </c>
    </row>
    <row r="399" spans="1:9">
      <c r="A399" s="1" t="s">
        <v>411</v>
      </c>
      <c r="B399">
        <f>HYPERLINK("https://www.suredividend.com/sure-analysis-research-database/","Black Knight Inc")</f>
        <v>0</v>
      </c>
      <c r="C399">
        <v>0.05958041958041901</v>
      </c>
      <c r="D399">
        <v>0.321933344965974</v>
      </c>
      <c r="E399">
        <v>0.287559483344663</v>
      </c>
      <c r="F399">
        <v>0.226882591093117</v>
      </c>
      <c r="G399">
        <v>0.141651597347799</v>
      </c>
      <c r="H399">
        <v>-0.001713005666095</v>
      </c>
      <c r="I399">
        <v>0.40556586270872</v>
      </c>
    </row>
    <row r="400" spans="1:9">
      <c r="A400" s="1" t="s">
        <v>412</v>
      </c>
      <c r="B400">
        <f>HYPERLINK("https://www.suredividend.com/sure-analysis-research-database/","Booking Holdings Inc")</f>
        <v>0</v>
      </c>
      <c r="C400">
        <v>-0.08246922838229201</v>
      </c>
      <c r="D400">
        <v>-0.016048971895234</v>
      </c>
      <c r="E400">
        <v>0.045128035198173</v>
      </c>
      <c r="F400">
        <v>0.4085486880235</v>
      </c>
      <c r="G400">
        <v>0.5963625729678651</v>
      </c>
      <c r="H400">
        <v>0.156812004091563</v>
      </c>
      <c r="I400">
        <v>0.51392259241284</v>
      </c>
    </row>
    <row r="401" spans="1:9">
      <c r="A401" s="1" t="s">
        <v>413</v>
      </c>
      <c r="B401">
        <f>HYPERLINK("https://www.suredividend.com/sure-analysis-research-database/","Bank Of South Carolina Corp.")</f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1:9">
      <c r="A402" s="1" t="s">
        <v>414</v>
      </c>
      <c r="B402">
        <f>HYPERLINK("https://www.suredividend.com/sure-analysis-research-database/","BK Technologies Corp")</f>
        <v>0</v>
      </c>
      <c r="C402">
        <v>0.119235936188077</v>
      </c>
      <c r="D402">
        <v>-0.054602836879432</v>
      </c>
      <c r="E402">
        <v>-0.043751793400286</v>
      </c>
      <c r="F402">
        <v>-0.196981927710843</v>
      </c>
      <c r="G402">
        <v>0.033341085271317</v>
      </c>
      <c r="H402">
        <v>-0.079234934932169</v>
      </c>
      <c r="I402">
        <v>-0.285088330884166</v>
      </c>
    </row>
    <row r="403" spans="1:9">
      <c r="A403" s="1" t="s">
        <v>415</v>
      </c>
      <c r="B403">
        <f>HYPERLINK("https://www.suredividend.com/sure-analysis-research-database/","BankUnited Inc")</f>
        <v>0</v>
      </c>
      <c r="C403">
        <v>0.09876446560719801</v>
      </c>
      <c r="D403">
        <v>-0.168072969693588</v>
      </c>
      <c r="E403">
        <v>0.261112696751551</v>
      </c>
      <c r="F403">
        <v>-0.266561538437892</v>
      </c>
      <c r="G403">
        <v>-0.284877221271455</v>
      </c>
      <c r="H403">
        <v>-0.3838796473705141</v>
      </c>
      <c r="I403">
        <v>-0.155380291262823</v>
      </c>
    </row>
    <row r="404" spans="1:9">
      <c r="A404" s="1" t="s">
        <v>416</v>
      </c>
      <c r="B404">
        <f>HYPERLINK("https://www.suredividend.com/sure-analysis-research-database/","BlackLine Inc")</f>
        <v>0</v>
      </c>
      <c r="C404">
        <v>-0.054802154932193</v>
      </c>
      <c r="D404">
        <v>-0.074572571844306</v>
      </c>
      <c r="E404">
        <v>-0.032147612706866</v>
      </c>
      <c r="F404">
        <v>-0.243645012635647</v>
      </c>
      <c r="G404">
        <v>-0.012038834951456</v>
      </c>
      <c r="H404">
        <v>-0.5990543735224581</v>
      </c>
      <c r="I404">
        <v>0.196894848270995</v>
      </c>
    </row>
    <row r="405" spans="1:9">
      <c r="A405" s="1" t="s">
        <v>417</v>
      </c>
      <c r="B405">
        <f>HYPERLINK("https://www.suredividend.com/sure-analysis-research-database/","Blue Bird Corp")</f>
        <v>0</v>
      </c>
      <c r="C405">
        <v>-0.10246679316888</v>
      </c>
      <c r="D405">
        <v>-0.06660088801184001</v>
      </c>
      <c r="E405">
        <v>-0.024239298607529</v>
      </c>
      <c r="F405">
        <v>0.7665732959850601</v>
      </c>
      <c r="G405">
        <v>1.047619047619048</v>
      </c>
      <c r="H405">
        <v>-0.115887850467289</v>
      </c>
      <c r="I405">
        <v>-0.005780346820809</v>
      </c>
    </row>
    <row r="406" spans="1:9">
      <c r="A406" s="1" t="s">
        <v>418</v>
      </c>
      <c r="B406">
        <f>HYPERLINK("https://www.suredividend.com/sure-analysis-research-database/","Bellicum Pharmaceuticals Inc")</f>
        <v>0</v>
      </c>
      <c r="C406">
        <v>-0.5625</v>
      </c>
      <c r="D406">
        <v>-0.6888888888888881</v>
      </c>
      <c r="E406">
        <v>-0.533333333333333</v>
      </c>
      <c r="F406">
        <v>-0.533333333333333</v>
      </c>
      <c r="G406">
        <v>-0.533333333333333</v>
      </c>
      <c r="H406">
        <v>-0.533333333333333</v>
      </c>
      <c r="I406">
        <v>-0.533333333333333</v>
      </c>
    </row>
    <row r="407" spans="1:9">
      <c r="A407" s="1" t="s">
        <v>419</v>
      </c>
      <c r="B407">
        <f>HYPERLINK("https://www.suredividend.com/sure-analysis-research-database/","TopBuild Corp")</f>
        <v>0</v>
      </c>
      <c r="C407">
        <v>0.027052088372843</v>
      </c>
      <c r="D407">
        <v>-0.069270395674253</v>
      </c>
      <c r="E407">
        <v>0.152349934409915</v>
      </c>
      <c r="F407">
        <v>0.627899546296887</v>
      </c>
      <c r="G407">
        <v>0.7231466450216451</v>
      </c>
      <c r="H407">
        <v>-0.012864726624559</v>
      </c>
      <c r="I407">
        <v>4.165247364152473</v>
      </c>
    </row>
    <row r="408" spans="1:9">
      <c r="A408" s="1" t="s">
        <v>420</v>
      </c>
      <c r="B408">
        <f>HYPERLINK("https://www.suredividend.com/sure-analysis-research-database/","Builders Firstsource Inc")</f>
        <v>0</v>
      </c>
      <c r="C408">
        <v>-0.014227642276422</v>
      </c>
      <c r="D408">
        <v>-0.184270721205597</v>
      </c>
      <c r="E408">
        <v>0.273634453781512</v>
      </c>
      <c r="F408">
        <v>0.8688347718865591</v>
      </c>
      <c r="G408">
        <v>1.101022353145035</v>
      </c>
      <c r="H408">
        <v>1.083333333333333</v>
      </c>
      <c r="I408">
        <v>7.316186556927297</v>
      </c>
    </row>
    <row r="409" spans="1:9">
      <c r="A409" s="1" t="s">
        <v>421</v>
      </c>
      <c r="B409">
        <f>HYPERLINK("https://www.suredividend.com/sure-analysis-research-database/","Biolife Solutions Inc")</f>
        <v>0</v>
      </c>
      <c r="C409">
        <v>-0.177215189873417</v>
      </c>
      <c r="D409">
        <v>-0.43041237113402</v>
      </c>
      <c r="E409">
        <v>-0.35718440954043</v>
      </c>
      <c r="F409">
        <v>-0.392857142857142</v>
      </c>
      <c r="G409">
        <v>-0.5403494176372711</v>
      </c>
      <c r="H409">
        <v>-0.799528301886792</v>
      </c>
      <c r="I409">
        <v>-0.100895036615134</v>
      </c>
    </row>
    <row r="410" spans="1:9">
      <c r="A410" s="1" t="s">
        <v>422</v>
      </c>
      <c r="B410">
        <f>HYPERLINK("https://www.suredividend.com/sure-analysis-BLK/","Blackrock Inc.")</f>
        <v>0</v>
      </c>
      <c r="C410">
        <v>0.00225491415775</v>
      </c>
      <c r="D410">
        <v>-0.09516371894183701</v>
      </c>
      <c r="E410">
        <v>0.003806268147058</v>
      </c>
      <c r="F410">
        <v>-0.07049278636405401</v>
      </c>
      <c r="G410">
        <v>0.038207766236766</v>
      </c>
      <c r="H410">
        <v>-0.281993933228076</v>
      </c>
      <c r="I410">
        <v>0.7953307861247331</v>
      </c>
    </row>
    <row r="411" spans="1:9">
      <c r="A411" s="1" t="s">
        <v>423</v>
      </c>
      <c r="B411">
        <f>HYPERLINK("https://www.suredividend.com/sure-analysis-research-database/","Blackbaud Inc")</f>
        <v>0</v>
      </c>
      <c r="C411">
        <v>0.029077299553764</v>
      </c>
      <c r="D411">
        <v>-0.03756058158319801</v>
      </c>
      <c r="E411">
        <v>0.05895422900311</v>
      </c>
      <c r="F411">
        <v>0.214576962283384</v>
      </c>
      <c r="G411">
        <v>0.2892696122633</v>
      </c>
      <c r="H411">
        <v>-0.007772380291464</v>
      </c>
      <c r="I411">
        <v>-0.015724452411537</v>
      </c>
    </row>
    <row r="412" spans="1:9">
      <c r="A412" s="1" t="s">
        <v>424</v>
      </c>
      <c r="B412">
        <f>HYPERLINK("https://www.suredividend.com/sure-analysis-research-database/","Ball Corp.")</f>
        <v>0</v>
      </c>
      <c r="C412">
        <v>-0.205101807366735</v>
      </c>
      <c r="D412">
        <v>-0.25950790149505</v>
      </c>
      <c r="E412">
        <v>-0.235424208082564</v>
      </c>
      <c r="F412">
        <v>-0.276583650936256</v>
      </c>
      <c r="G412">
        <v>-0.227521532462104</v>
      </c>
      <c r="H412">
        <v>0.09319963439402</v>
      </c>
      <c r="I412">
        <v>0.8134275581489411</v>
      </c>
    </row>
    <row r="413" spans="1:9">
      <c r="A413" s="1" t="s">
        <v>425</v>
      </c>
      <c r="B413">
        <f>HYPERLINK("https://www.suredividend.com/sure-analysis-research-database/","Bloomin Brands Inc")</f>
        <v>0</v>
      </c>
      <c r="C413">
        <v>-0.030041152263374</v>
      </c>
      <c r="D413">
        <v>-0.055760979733113</v>
      </c>
      <c r="E413">
        <v>-0.013568146244695</v>
      </c>
      <c r="F413">
        <v>0.229518886182127</v>
      </c>
      <c r="G413">
        <v>0.072348247026815</v>
      </c>
      <c r="H413">
        <v>0.251539866615691</v>
      </c>
      <c r="I413">
        <v>0.256322923495957</v>
      </c>
    </row>
    <row r="414" spans="1:9">
      <c r="A414" s="1" t="s">
        <v>426</v>
      </c>
      <c r="B414">
        <f>HYPERLINK("https://www.suredividend.com/sure-analysis-research-database/","Bluebird bio Inc")</f>
        <v>0</v>
      </c>
      <c r="C414">
        <v>0.037414965986394</v>
      </c>
      <c r="D414">
        <v>-0.203655352480417</v>
      </c>
      <c r="E414">
        <v>-0.259708737864077</v>
      </c>
      <c r="F414">
        <v>-0.5592485549132941</v>
      </c>
      <c r="G414">
        <v>-0.516640253565768</v>
      </c>
      <c r="H414">
        <v>-0.8128466938294631</v>
      </c>
      <c r="I414">
        <v>-0.9648655965072941</v>
      </c>
    </row>
    <row r="415" spans="1:9">
      <c r="A415" s="1" t="s">
        <v>427</v>
      </c>
      <c r="B415">
        <f>HYPERLINK("https://www.suredividend.com/sure-analysis-research-database/","BMC Stock Holdings Inc")</f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</row>
    <row r="416" spans="1:9">
      <c r="A416" s="1" t="s">
        <v>428</v>
      </c>
      <c r="B416">
        <f>HYPERLINK("https://www.suredividend.com/sure-analysis-BMI/","Badger Meter Inc.")</f>
        <v>0</v>
      </c>
      <c r="C416">
        <v>-0.003568679588552</v>
      </c>
      <c r="D416">
        <v>-0.127498561659321</v>
      </c>
      <c r="E416">
        <v>0.037838089969775</v>
      </c>
      <c r="F416">
        <v>0.312863480637107</v>
      </c>
      <c r="G416">
        <v>0.295781158577589</v>
      </c>
      <c r="H416">
        <v>0.401806597941391</v>
      </c>
      <c r="I416">
        <v>1.952598763806613</v>
      </c>
    </row>
    <row r="417" spans="1:9">
      <c r="A417" s="1" t="s">
        <v>429</v>
      </c>
      <c r="B417">
        <f>HYPERLINK("https://www.suredividend.com/sure-analysis-BMRC/","Bank of Marin Bancorp")</f>
        <v>0</v>
      </c>
      <c r="C417">
        <v>0.026938027260536</v>
      </c>
      <c r="D417">
        <v>-0.084932390872515</v>
      </c>
      <c r="E417">
        <v>0.306140660194733</v>
      </c>
      <c r="F417">
        <v>-0.392389299356234</v>
      </c>
      <c r="G417">
        <v>-0.426212146598844</v>
      </c>
      <c r="H417">
        <v>-0.4593097038268361</v>
      </c>
      <c r="I417">
        <v>-0.4872374387298181</v>
      </c>
    </row>
    <row r="418" spans="1:9">
      <c r="A418" s="1" t="s">
        <v>430</v>
      </c>
      <c r="B418">
        <f>HYPERLINK("https://www.suredividend.com/sure-analysis-research-database/","Biomarin Pharmaceutical Inc.")</f>
        <v>0</v>
      </c>
      <c r="C418">
        <v>-0.085094166283876</v>
      </c>
      <c r="D418">
        <v>-0.098653693856771</v>
      </c>
      <c r="E418">
        <v>-0.150820720528671</v>
      </c>
      <c r="F418">
        <v>-0.230167165909749</v>
      </c>
      <c r="G418">
        <v>-0.053463229179042</v>
      </c>
      <c r="H418">
        <v>-0.041160187748224</v>
      </c>
      <c r="I418">
        <v>-0.186708860759493</v>
      </c>
    </row>
    <row r="419" spans="1:9">
      <c r="A419" s="1" t="s">
        <v>431</v>
      </c>
      <c r="B419">
        <f>HYPERLINK("https://www.suredividend.com/sure-analysis-research-database/","Bryn Mawr Bank Corp.")</f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</row>
    <row r="420" spans="1:9">
      <c r="A420" s="1" t="s">
        <v>432</v>
      </c>
      <c r="B420">
        <f>HYPERLINK("https://www.suredividend.com/sure-analysis-BMY/","Bristol-Myers Squibb Co.")</f>
        <v>0</v>
      </c>
      <c r="C420">
        <v>-0.107191188205773</v>
      </c>
      <c r="D420">
        <v>-0.16358032769722</v>
      </c>
      <c r="E420">
        <v>-0.234833984564986</v>
      </c>
      <c r="F420">
        <v>-0.26404016472373</v>
      </c>
      <c r="G420">
        <v>-0.316303089138672</v>
      </c>
      <c r="H420">
        <v>-0.06878904329138301</v>
      </c>
      <c r="I420">
        <v>0.184870366422261</v>
      </c>
    </row>
    <row r="421" spans="1:9">
      <c r="A421" s="1" t="s">
        <v>433</v>
      </c>
      <c r="B421">
        <f>HYPERLINK("https://www.suredividend.com/sure-analysis-research-database/","Barnes &amp; Noble Education Inc")</f>
        <v>0</v>
      </c>
      <c r="C421">
        <v>-0.009523809523809001</v>
      </c>
      <c r="D421">
        <v>-0.320261437908496</v>
      </c>
      <c r="E421">
        <v>-0.329032258064516</v>
      </c>
      <c r="F421">
        <v>-0.405714285714285</v>
      </c>
      <c r="G421">
        <v>-0.631205673758865</v>
      </c>
      <c r="H421">
        <v>-0.895895895895895</v>
      </c>
      <c r="I421">
        <v>-0.8280991735537191</v>
      </c>
    </row>
    <row r="422" spans="1:9">
      <c r="A422" s="1" t="s">
        <v>434</v>
      </c>
      <c r="B422">
        <f>HYPERLINK("https://www.suredividend.com/sure-analysis-research-database/","Benefitfocus Inc")</f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1:9">
      <c r="A423" s="1" t="s">
        <v>435</v>
      </c>
      <c r="B423">
        <f>HYPERLINK("https://www.suredividend.com/sure-analysis-research-database/","Bank of Commerce Holdings")</f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>
      <c r="A424" s="1" t="s">
        <v>436</v>
      </c>
      <c r="B424">
        <f>HYPERLINK("https://www.suredividend.com/sure-analysis-research-database/","Bank of Hawaii Corp.")</f>
        <v>0</v>
      </c>
      <c r="C424">
        <v>0.09315237507711201</v>
      </c>
      <c r="D424">
        <v>-0.005034718972842</v>
      </c>
      <c r="E424">
        <v>0.245994932578923</v>
      </c>
      <c r="F424">
        <v>-0.286332789625244</v>
      </c>
      <c r="G424">
        <v>-0.26111968999273</v>
      </c>
      <c r="H424">
        <v>-0.318553271674966</v>
      </c>
      <c r="I424">
        <v>-0.193931132362998</v>
      </c>
    </row>
    <row r="425" spans="1:9">
      <c r="A425" s="1" t="s">
        <v>437</v>
      </c>
      <c r="B425">
        <f>HYPERLINK("https://www.suredividend.com/sure-analysis-BOKF/","BOK Financial Corp.")</f>
        <v>0</v>
      </c>
      <c r="C425">
        <v>-0.122138380867118</v>
      </c>
      <c r="D425">
        <v>-0.232465458709235</v>
      </c>
      <c r="E425">
        <v>-0.119517992542071</v>
      </c>
      <c r="F425">
        <v>-0.322027201880623</v>
      </c>
      <c r="G425">
        <v>-0.330248024846393</v>
      </c>
      <c r="H425">
        <v>-0.316958514981834</v>
      </c>
      <c r="I425">
        <v>-0.118129983323611</v>
      </c>
    </row>
    <row r="426" spans="1:9">
      <c r="A426" s="1" t="s">
        <v>438</v>
      </c>
      <c r="B426">
        <f>HYPERLINK("https://www.suredividend.com/sure-analysis-research-database/","Boston Omaha Corp")</f>
        <v>0</v>
      </c>
      <c r="C426">
        <v>0.010196078431372</v>
      </c>
      <c r="D426">
        <v>-0.150955833882663</v>
      </c>
      <c r="E426">
        <v>-0.181182453909726</v>
      </c>
      <c r="F426">
        <v>-0.103376261747302</v>
      </c>
      <c r="G426">
        <v>-0.451681566624095</v>
      </c>
      <c r="H426">
        <v>0.259657701711491</v>
      </c>
      <c r="I426">
        <v>0.9515151515151511</v>
      </c>
    </row>
    <row r="427" spans="1:9">
      <c r="A427" s="1" t="s">
        <v>439</v>
      </c>
      <c r="B427">
        <f>HYPERLINK("https://www.suredividend.com/sure-analysis-research-database/","DMC Global Inc")</f>
        <v>0</v>
      </c>
      <c r="C427">
        <v>-0.202435951280974</v>
      </c>
      <c r="D427">
        <v>0.046857772877618</v>
      </c>
      <c r="E427">
        <v>0.09263521288837701</v>
      </c>
      <c r="F427">
        <v>-0.023148148148148</v>
      </c>
      <c r="G427">
        <v>-0.091822094691535</v>
      </c>
      <c r="H427">
        <v>-0.533873343151693</v>
      </c>
      <c r="I427">
        <v>-0.519259979342608</v>
      </c>
    </row>
    <row r="428" spans="1:9">
      <c r="A428" s="1" t="s">
        <v>440</v>
      </c>
      <c r="B428">
        <f>HYPERLINK("https://www.suredividend.com/sure-analysis-research-database/","Boot Barn Holdings Inc")</f>
        <v>0</v>
      </c>
      <c r="C428">
        <v>-0.156998662288702</v>
      </c>
      <c r="D428">
        <v>-0.229178249749805</v>
      </c>
      <c r="E428">
        <v>-0.04544202698981</v>
      </c>
      <c r="F428">
        <v>0.108765195137555</v>
      </c>
      <c r="G428">
        <v>0.346280831229364</v>
      </c>
      <c r="H428">
        <v>-0.366535684912729</v>
      </c>
      <c r="I428">
        <v>1.702534113060428</v>
      </c>
    </row>
    <row r="429" spans="1:9">
      <c r="A429" s="1" t="s">
        <v>441</v>
      </c>
      <c r="B429">
        <f>HYPERLINK("https://www.suredividend.com/sure-analysis-research-database/","Bank of James Financial Group Inc")</f>
        <v>0</v>
      </c>
      <c r="C429">
        <v>-0.056522988505747</v>
      </c>
      <c r="D429">
        <v>-0.095268712512974</v>
      </c>
      <c r="E429">
        <v>0.09967511806276501</v>
      </c>
      <c r="F429">
        <v>-0.140617365812801</v>
      </c>
      <c r="G429">
        <v>-0.131110954288033</v>
      </c>
      <c r="H429">
        <v>-0.351126482213438</v>
      </c>
      <c r="I429">
        <v>-0.179824305757941</v>
      </c>
    </row>
    <row r="430" spans="1:9">
      <c r="A430" s="1" t="s">
        <v>442</v>
      </c>
      <c r="B430">
        <f>HYPERLINK("https://www.suredividend.com/sure-analysis-research-database/","Box Inc")</f>
        <v>0</v>
      </c>
      <c r="C430">
        <v>0.01577031945006</v>
      </c>
      <c r="D430">
        <v>-0.173955935547517</v>
      </c>
      <c r="E430">
        <v>-0.036070606293169</v>
      </c>
      <c r="F430">
        <v>-0.193061355605525</v>
      </c>
      <c r="G430">
        <v>-0.09802513464991</v>
      </c>
      <c r="H430">
        <v>-0.033474413235859</v>
      </c>
      <c r="I430">
        <v>0.362255965292841</v>
      </c>
    </row>
    <row r="431" spans="1:9">
      <c r="A431" s="1" t="s">
        <v>443</v>
      </c>
      <c r="B431">
        <f>HYPERLINK("https://www.suredividend.com/sure-analysis-research-database/","Boston Private Financial Holdings Inc")</f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</row>
    <row r="432" spans="1:9">
      <c r="A432" s="1" t="s">
        <v>444</v>
      </c>
      <c r="B432">
        <f>HYPERLINK("https://www.suredividend.com/sure-analysis-research-database/","Blueprint Medicines Corp")</f>
        <v>0</v>
      </c>
      <c r="C432">
        <v>0.215718379042161</v>
      </c>
      <c r="D432">
        <v>0.093922651933701</v>
      </c>
      <c r="E432">
        <v>0.190619362597714</v>
      </c>
      <c r="F432">
        <v>0.3558548276649161</v>
      </c>
      <c r="G432">
        <v>0.288503253796095</v>
      </c>
      <c r="H432">
        <v>-0.4647684267435571</v>
      </c>
      <c r="I432">
        <v>-0.09671532846715301</v>
      </c>
    </row>
    <row r="433" spans="1:9">
      <c r="A433" s="1" t="s">
        <v>445</v>
      </c>
      <c r="B433">
        <f>HYPERLINK("https://www.suredividend.com/sure-analysis-research-database/","Popular Inc.")</f>
        <v>0</v>
      </c>
      <c r="C433">
        <v>0.09872354176765201</v>
      </c>
      <c r="D433">
        <v>-0.039975152298059</v>
      </c>
      <c r="E433">
        <v>0.23611641308102</v>
      </c>
      <c r="F433">
        <v>0.07360849287471201</v>
      </c>
      <c r="G433">
        <v>0.057580597750774</v>
      </c>
      <c r="H433">
        <v>-0.08634447769135301</v>
      </c>
      <c r="I433">
        <v>0.519077830399428</v>
      </c>
    </row>
    <row r="434" spans="1:9">
      <c r="A434" s="1" t="s">
        <v>446</v>
      </c>
      <c r="B434">
        <f>HYPERLINK("https://www.suredividend.com/sure-analysis-research-database/","Princeton Bancorp Inc")</f>
        <v>0</v>
      </c>
      <c r="C434">
        <v>0.123714994682736</v>
      </c>
      <c r="D434">
        <v>0.062378722933639</v>
      </c>
      <c r="E434">
        <v>0.249325088575966</v>
      </c>
      <c r="F434">
        <v>0.04485630753713801</v>
      </c>
      <c r="G434">
        <v>0.04485630753713801</v>
      </c>
      <c r="H434">
        <v>0.04485630753713801</v>
      </c>
      <c r="I434">
        <v>0.04485630753713801</v>
      </c>
    </row>
    <row r="435" spans="1:9">
      <c r="A435" s="1" t="s">
        <v>447</v>
      </c>
      <c r="B435">
        <f>HYPERLINK("https://www.suredividend.com/sure-analysis-research-database/","Bio-Path Holdings Inc")</f>
        <v>0</v>
      </c>
      <c r="C435">
        <v>0.6994722955145111</v>
      </c>
      <c r="D435">
        <v>-0.151718688265507</v>
      </c>
      <c r="E435">
        <v>-0.5366187050359711</v>
      </c>
      <c r="F435">
        <v>-0.5734437086092711</v>
      </c>
      <c r="G435">
        <v>-0.7993457943925231</v>
      </c>
      <c r="H435">
        <v>-0.8680122950819671</v>
      </c>
      <c r="I435">
        <v>-0.9268068181818181</v>
      </c>
    </row>
    <row r="436" spans="1:9">
      <c r="A436" s="1" t="s">
        <v>448</v>
      </c>
      <c r="B436">
        <f>HYPERLINK("https://www.suredividend.com/sure-analysis-BR/","Broadridge Financial Solutions, Inc.")</f>
        <v>0</v>
      </c>
      <c r="C436">
        <v>0.010283066839934</v>
      </c>
      <c r="D436">
        <v>0.07729068111328201</v>
      </c>
      <c r="E436">
        <v>0.177101779378172</v>
      </c>
      <c r="F436">
        <v>0.352131037460555</v>
      </c>
      <c r="G436">
        <v>0.32339608258181</v>
      </c>
      <c r="H436">
        <v>0.03655867851956601</v>
      </c>
      <c r="I436">
        <v>0.6785069258006251</v>
      </c>
    </row>
    <row r="437" spans="1:9">
      <c r="A437" s="1" t="s">
        <v>449</v>
      </c>
      <c r="B437">
        <f>HYPERLINK("https://www.suredividend.com/sure-analysis-BRC/","Brady Corp.")</f>
        <v>0</v>
      </c>
      <c r="C437">
        <v>-0.041662074286344</v>
      </c>
      <c r="D437">
        <v>0.024487952398719</v>
      </c>
      <c r="E437">
        <v>0.020226573607088</v>
      </c>
      <c r="F437">
        <v>0.128119519689653</v>
      </c>
      <c r="G437">
        <v>0.168044348519178</v>
      </c>
      <c r="H437">
        <v>0.013712418122854</v>
      </c>
      <c r="I437">
        <v>0.379582079448272</v>
      </c>
    </row>
    <row r="438" spans="1:9">
      <c r="A438" s="1" t="s">
        <v>450</v>
      </c>
      <c r="B438">
        <f>HYPERLINK("https://www.suredividend.com/sure-analysis-research-database/","Bluerock Residential Growth REIT Inc")</f>
        <v>0</v>
      </c>
      <c r="C438">
        <v>-0.005979073243647001</v>
      </c>
      <c r="D438">
        <v>0.007957559681697</v>
      </c>
      <c r="E438">
        <v>0.007472720592969001</v>
      </c>
      <c r="F438">
        <v>0.020545185980932</v>
      </c>
      <c r="G438">
        <v>1.11695794734664</v>
      </c>
      <c r="H438">
        <v>2.548227886936919</v>
      </c>
      <c r="I438">
        <v>2.169043449253606</v>
      </c>
    </row>
    <row r="439" spans="1:9">
      <c r="A439" s="1" t="s">
        <v>451</v>
      </c>
      <c r="B439">
        <f>HYPERLINK("https://www.suredividend.com/sure-analysis-research-database/","Bridgford Foods Corp.")</f>
        <v>0</v>
      </c>
      <c r="C439">
        <v>-0.02463503649635</v>
      </c>
      <c r="D439">
        <v>-0.090708039876152</v>
      </c>
      <c r="E439">
        <v>-0.156274664561957</v>
      </c>
      <c r="F439">
        <v>-0.103187919463087</v>
      </c>
      <c r="G439">
        <v>-0.06228070175438601</v>
      </c>
      <c r="H439">
        <v>-0.124488124488124</v>
      </c>
      <c r="I439">
        <v>-0.3820809248554911</v>
      </c>
    </row>
    <row r="440" spans="1:9">
      <c r="A440" s="1" t="s">
        <v>452</v>
      </c>
      <c r="B440">
        <f>HYPERLINK("https://www.suredividend.com/sure-analysis-research-database/","Brookline Bancorp, Inc.")</f>
        <v>0</v>
      </c>
      <c r="C440">
        <v>-0.004479283314669001</v>
      </c>
      <c r="D440">
        <v>-0.136339790545398</v>
      </c>
      <c r="E440">
        <v>0.127829087587536</v>
      </c>
      <c r="F440">
        <v>-0.33746208479591</v>
      </c>
      <c r="G440">
        <v>-0.286528306126707</v>
      </c>
      <c r="H440">
        <v>-0.393922866628943</v>
      </c>
      <c r="I440">
        <v>-0.303438927499666</v>
      </c>
    </row>
    <row r="441" spans="1:9">
      <c r="A441" s="1" t="s">
        <v>453</v>
      </c>
      <c r="B441">
        <f>HYPERLINK("https://www.suredividend.com/sure-analysis-research-database/","Bruker Corp")</f>
        <v>0</v>
      </c>
      <c r="C441">
        <v>-0.09264918771111401</v>
      </c>
      <c r="D441">
        <v>-0.203734444519728</v>
      </c>
      <c r="E441">
        <v>-0.277082185285335</v>
      </c>
      <c r="F441">
        <v>-0.171669055282757</v>
      </c>
      <c r="G441">
        <v>-0.07236567308988801</v>
      </c>
      <c r="H441">
        <v>-0.304175563376025</v>
      </c>
      <c r="I441">
        <v>0.718554354879493</v>
      </c>
    </row>
    <row r="442" spans="1:9">
      <c r="A442" s="1" t="s">
        <v>454</v>
      </c>
      <c r="B442">
        <f>HYPERLINK("https://www.suredividend.com/sure-analysis-research-database/","Barnwell Industries Inc.")</f>
        <v>0</v>
      </c>
      <c r="C442">
        <v>0.007692307692307001</v>
      </c>
      <c r="D442">
        <v>0.047078570857645</v>
      </c>
      <c r="E442">
        <v>-0.01909397229502</v>
      </c>
      <c r="F442">
        <v>-0.088822424706127</v>
      </c>
      <c r="G442">
        <v>-0.126521086847807</v>
      </c>
      <c r="H442">
        <v>0.055090206185566</v>
      </c>
      <c r="I442">
        <v>0.6299614283936791</v>
      </c>
    </row>
    <row r="443" spans="1:9">
      <c r="A443" s="1" t="s">
        <v>455</v>
      </c>
      <c r="B443">
        <f>HYPERLINK("https://www.suredividend.com/sure-analysis-BRO/","Brown &amp; Brown, Inc.")</f>
        <v>0</v>
      </c>
      <c r="C443">
        <v>0.021922846338313</v>
      </c>
      <c r="D443">
        <v>0.006209523160840001</v>
      </c>
      <c r="E443">
        <v>0.098074073156416</v>
      </c>
      <c r="F443">
        <v>0.25377715618375</v>
      </c>
      <c r="G443">
        <v>0.25004627515826</v>
      </c>
      <c r="H443">
        <v>0.14639445928206</v>
      </c>
      <c r="I443">
        <v>1.616962463509778</v>
      </c>
    </row>
    <row r="444" spans="1:9">
      <c r="A444" s="1" t="s">
        <v>456</v>
      </c>
      <c r="B444">
        <f>HYPERLINK("https://www.suredividend.com/sure-analysis-research-database/","BRT Apartments Corp")</f>
        <v>0</v>
      </c>
      <c r="C444">
        <v>0.018007202881152</v>
      </c>
      <c r="D444">
        <v>-0.109720632854248</v>
      </c>
      <c r="E444">
        <v>0.032276913151183</v>
      </c>
      <c r="F444">
        <v>-0.100165005119933</v>
      </c>
      <c r="G444">
        <v>-0.167807496602044</v>
      </c>
      <c r="H444">
        <v>-0.05820158706359901</v>
      </c>
      <c r="I444">
        <v>0.9670381925516981</v>
      </c>
    </row>
    <row r="445" spans="1:9">
      <c r="A445" s="1" t="s">
        <v>457</v>
      </c>
      <c r="B445">
        <f>HYPERLINK("https://www.suredividend.com/sure-analysis-BRX/","Brixmor Property Group Inc")</f>
        <v>0</v>
      </c>
      <c r="C445">
        <v>0.06054590570719601</v>
      </c>
      <c r="D445">
        <v>-0.040322616861042</v>
      </c>
      <c r="E445">
        <v>0.038386783284742</v>
      </c>
      <c r="F445">
        <v>-0.010826748874045</v>
      </c>
      <c r="G445">
        <v>0.06529877717459001</v>
      </c>
      <c r="H445">
        <v>-0.046858692452476</v>
      </c>
      <c r="I445">
        <v>0.7465428748896661</v>
      </c>
    </row>
    <row r="446" spans="1:9">
      <c r="A446" s="1" t="s">
        <v>458</v>
      </c>
      <c r="B446">
        <f>HYPERLINK("https://www.suredividend.com/sure-analysis-research-database/","Berry Corp")</f>
        <v>0</v>
      </c>
      <c r="C446">
        <v>0.001295336787564</v>
      </c>
      <c r="D446">
        <v>-0.011218133210535</v>
      </c>
      <c r="E446">
        <v>0.07417803840916</v>
      </c>
      <c r="F446">
        <v>0.007520560979106</v>
      </c>
      <c r="G446">
        <v>-0.083123784219765</v>
      </c>
      <c r="H446">
        <v>-0.09961328798397201</v>
      </c>
      <c r="I446">
        <v>-0.287491934740529</v>
      </c>
    </row>
    <row r="447" spans="1:9">
      <c r="A447" s="1" t="s">
        <v>459</v>
      </c>
      <c r="B447">
        <f>HYPERLINK("https://www.suredividend.com/sure-analysis-research-database/","Bassett Furniture Industries Inc.")</f>
        <v>0</v>
      </c>
      <c r="C447">
        <v>0.08027210884353701</v>
      </c>
      <c r="D447">
        <v>-0.040460192391356</v>
      </c>
      <c r="E447">
        <v>0.121231377533008</v>
      </c>
      <c r="F447">
        <v>-0.048206996997177</v>
      </c>
      <c r="G447">
        <v>-0.033245870900578</v>
      </c>
      <c r="H447">
        <v>0.09321969723046401</v>
      </c>
      <c r="I447">
        <v>0.04451694380130401</v>
      </c>
    </row>
    <row r="448" spans="1:9">
      <c r="A448" s="1" t="s">
        <v>460</v>
      </c>
      <c r="B448">
        <f>HYPERLINK("https://www.suredividend.com/sure-analysis-research-database/","Biosig Technologies Inc")</f>
        <v>0</v>
      </c>
      <c r="C448">
        <v>-0.080367852858856</v>
      </c>
      <c r="D448">
        <v>-0.425</v>
      </c>
      <c r="E448">
        <v>-0.6461538461538461</v>
      </c>
      <c r="F448">
        <v>0.09523809523809501</v>
      </c>
      <c r="G448">
        <v>-0.010752688172043</v>
      </c>
      <c r="H448">
        <v>-0.8520900321543401</v>
      </c>
      <c r="I448">
        <v>-0.889076440800578</v>
      </c>
    </row>
    <row r="449" spans="1:9">
      <c r="A449" s="1" t="s">
        <v>461</v>
      </c>
      <c r="B449">
        <f>HYPERLINK("https://www.suredividend.com/sure-analysis-research-database/","BSquare Corp")</f>
        <v>0</v>
      </c>
      <c r="C449">
        <v>0.567796610169491</v>
      </c>
      <c r="D449">
        <v>0.554621848739496</v>
      </c>
      <c r="E449">
        <v>0.6517857142857141</v>
      </c>
      <c r="F449">
        <v>0.635431400282885</v>
      </c>
      <c r="G449">
        <v>0.6517857142857141</v>
      </c>
      <c r="H449">
        <v>-0.202586206896551</v>
      </c>
      <c r="I449">
        <v>-0.18859649122807</v>
      </c>
    </row>
    <row r="450" spans="1:9">
      <c r="A450" s="1" t="s">
        <v>462</v>
      </c>
      <c r="B450">
        <f>HYPERLINK("https://www.suredividend.com/sure-analysis-research-database/","Sierra Bancorp")</f>
        <v>0</v>
      </c>
      <c r="C450">
        <v>-0.033534657567101</v>
      </c>
      <c r="D450">
        <v>-0.160256896029099</v>
      </c>
      <c r="E450">
        <v>0.193730390638676</v>
      </c>
      <c r="F450">
        <v>-0.09042872459946501</v>
      </c>
      <c r="G450">
        <v>-0.092138007312052</v>
      </c>
      <c r="H450">
        <v>-0.201203825931816</v>
      </c>
      <c r="I450">
        <v>-0.200652822736986</v>
      </c>
    </row>
    <row r="451" spans="1:9">
      <c r="A451" s="1" t="s">
        <v>463</v>
      </c>
      <c r="B451">
        <f>HYPERLINK("https://www.suredividend.com/sure-analysis-research-database/","Biospecifics Technologies Corp.")</f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</row>
    <row r="452" spans="1:9">
      <c r="A452" s="1" t="s">
        <v>464</v>
      </c>
      <c r="B452">
        <f>HYPERLINK("https://www.suredividend.com/sure-analysis-research-database/","Boston Scientific Corp.")</f>
        <v>0</v>
      </c>
      <c r="C452">
        <v>-0.005491384207536001</v>
      </c>
      <c r="D452">
        <v>0.037534571315685</v>
      </c>
      <c r="E452">
        <v>-0.007183364839319001</v>
      </c>
      <c r="F452">
        <v>0.135076723578992</v>
      </c>
      <c r="G452">
        <v>0.252563796804197</v>
      </c>
      <c r="H452">
        <v>0.215459384401758</v>
      </c>
      <c r="I452">
        <v>0.426786199402336</v>
      </c>
    </row>
    <row r="453" spans="1:9">
      <c r="A453" s="1" t="s">
        <v>465</v>
      </c>
      <c r="B453">
        <f>HYPERLINK("https://www.suredividend.com/sure-analysis-research-database/","Peabody Energy Corp.")</f>
        <v>0</v>
      </c>
      <c r="C453">
        <v>-0.068217665615141</v>
      </c>
      <c r="D453">
        <v>0.09158605652410901</v>
      </c>
      <c r="E453">
        <v>0.019114323666913</v>
      </c>
      <c r="F453">
        <v>-0.09968948240717801</v>
      </c>
      <c r="G453">
        <v>0.024384957190852</v>
      </c>
      <c r="H453">
        <v>1.06657104876513</v>
      </c>
      <c r="I453">
        <v>-0.246525984171624</v>
      </c>
    </row>
    <row r="454" spans="1:9">
      <c r="A454" s="1" t="s">
        <v>466</v>
      </c>
      <c r="B454">
        <f>HYPERLINK("https://www.suredividend.com/sure-analysis-research-database/","Burlington Stores Inc")</f>
        <v>0</v>
      </c>
      <c r="C454">
        <v>-0.04594226991083501</v>
      </c>
      <c r="D454">
        <v>-0.254707514314385</v>
      </c>
      <c r="E454">
        <v>-0.322348647488192</v>
      </c>
      <c r="F454">
        <v>-0.377293351745906</v>
      </c>
      <c r="G454">
        <v>-0.040941891378655</v>
      </c>
      <c r="H454">
        <v>-0.560161638681808</v>
      </c>
      <c r="I454">
        <v>-0.27097407471563</v>
      </c>
    </row>
    <row r="455" spans="1:9">
      <c r="A455" s="1" t="s">
        <v>467</v>
      </c>
      <c r="B455">
        <f>HYPERLINK("https://www.suredividend.com/sure-analysis-research-database/","First Busey Corp.")</f>
        <v>0</v>
      </c>
      <c r="C455">
        <v>0.105123058125327</v>
      </c>
      <c r="D455">
        <v>-0.046588235294117</v>
      </c>
      <c r="E455">
        <v>0.20776402699287</v>
      </c>
      <c r="F455">
        <v>-0.111555479545165</v>
      </c>
      <c r="G455">
        <v>-0.146098860341223</v>
      </c>
      <c r="H455">
        <v>-0.130165981160751</v>
      </c>
      <c r="I455">
        <v>-0.08644914596973401</v>
      </c>
    </row>
    <row r="456" spans="1:9">
      <c r="A456" s="1" t="s">
        <v>468</v>
      </c>
      <c r="B456">
        <f>HYPERLINK("https://www.suredividend.com/sure-analysis-research-database/","BrightView Holdings Inc")</f>
        <v>0</v>
      </c>
      <c r="C456">
        <v>-0.108667529107373</v>
      </c>
      <c r="D456">
        <v>-0.132241813602015</v>
      </c>
      <c r="E456">
        <v>0.325</v>
      </c>
      <c r="F456">
        <v>0</v>
      </c>
      <c r="G456">
        <v>-0.210767468499427</v>
      </c>
      <c r="H456">
        <v>-0.5767813267813261</v>
      </c>
      <c r="I456">
        <v>-0.530973451327433</v>
      </c>
    </row>
    <row r="457" spans="1:9">
      <c r="A457" s="1" t="s">
        <v>469</v>
      </c>
      <c r="B457">
        <f>HYPERLINK("https://www.suredividend.com/sure-analysis-research-database/","Babcock &amp; Wilcox Enterprises Inc")</f>
        <v>0</v>
      </c>
      <c r="C457">
        <v>-0.291666666666666</v>
      </c>
      <c r="D457">
        <v>-0.509615384615384</v>
      </c>
      <c r="E457">
        <v>-0.582651391162029</v>
      </c>
      <c r="F457">
        <v>-0.5580589254766031</v>
      </c>
      <c r="G457">
        <v>-0.378048780487804</v>
      </c>
      <c r="H457">
        <v>-0.6463245492371701</v>
      </c>
      <c r="I457">
        <v>-0.7412480974124811</v>
      </c>
    </row>
    <row r="458" spans="1:9">
      <c r="A458" s="1" t="s">
        <v>470</v>
      </c>
      <c r="B458">
        <f>HYPERLINK("https://www.suredividend.com/sure-analysis-BWA/","BorgWarner Inc")</f>
        <v>0</v>
      </c>
      <c r="C458">
        <v>-0.190667335674862</v>
      </c>
      <c r="D458">
        <v>-0.24738357308498</v>
      </c>
      <c r="E458">
        <v>-0.313622862784146</v>
      </c>
      <c r="F458">
        <v>-0.190657183356539</v>
      </c>
      <c r="G458">
        <v>-0.099928574617204</v>
      </c>
      <c r="H458">
        <v>-0.293187121369806</v>
      </c>
      <c r="I458">
        <v>-0.131911275197042</v>
      </c>
    </row>
    <row r="459" spans="1:9">
      <c r="A459" s="1" t="s">
        <v>471</v>
      </c>
      <c r="B459">
        <f>HYPERLINK("https://www.suredividend.com/sure-analysis-research-database/","Bridgewater Bancshares Inc")</f>
        <v>0</v>
      </c>
      <c r="C459">
        <v>0.05662393162393101</v>
      </c>
      <c r="D459">
        <v>-0.085106382978723</v>
      </c>
      <c r="E459">
        <v>0.101336302895322</v>
      </c>
      <c r="F459">
        <v>-0.442502818489289</v>
      </c>
      <c r="G459">
        <v>-0.481927710843373</v>
      </c>
      <c r="H459">
        <v>-0.460152838427947</v>
      </c>
      <c r="I459">
        <v>-0.124778761061946</v>
      </c>
    </row>
    <row r="460" spans="1:9">
      <c r="A460" s="1" t="s">
        <v>472</v>
      </c>
      <c r="B460">
        <f>HYPERLINK("https://www.suredividend.com/sure-analysis-research-database/","Broadwind Inc")</f>
        <v>0</v>
      </c>
      <c r="C460">
        <v>-0.127388535031847</v>
      </c>
      <c r="D460">
        <v>-0.223796033994334</v>
      </c>
      <c r="E460">
        <v>-0.420718816067653</v>
      </c>
      <c r="F460">
        <v>0.5307262569832401</v>
      </c>
      <c r="G460">
        <v>0.6707317073170731</v>
      </c>
      <c r="H460">
        <v>-0.138364779874213</v>
      </c>
      <c r="I460">
        <v>0.5138121546961321</v>
      </c>
    </row>
    <row r="461" spans="1:9">
      <c r="A461" s="1" t="s">
        <v>473</v>
      </c>
      <c r="B461">
        <f>HYPERLINK("https://www.suredividend.com/sure-analysis-research-database/","Bankwell Financial Group Inc")</f>
        <v>0</v>
      </c>
      <c r="C461">
        <v>0.04175279040925901</v>
      </c>
      <c r="D461">
        <v>-0.07197018520087001</v>
      </c>
      <c r="E461">
        <v>0.146314281165419</v>
      </c>
      <c r="F461">
        <v>-0.117569815284951</v>
      </c>
      <c r="G461">
        <v>-0.148941918663163</v>
      </c>
      <c r="H461">
        <v>-0.116867824551074</v>
      </c>
      <c r="I461">
        <v>-0.043011324365994</v>
      </c>
    </row>
    <row r="462" spans="1:9">
      <c r="A462" s="1" t="s">
        <v>474</v>
      </c>
      <c r="B462">
        <f>HYPERLINK("https://www.suredividend.com/sure-analysis-research-database/","BWX Technologies Inc")</f>
        <v>0</v>
      </c>
      <c r="C462">
        <v>0.05748074807480701</v>
      </c>
      <c r="D462">
        <v>0.11994477463478</v>
      </c>
      <c r="E462">
        <v>0.204604125416677</v>
      </c>
      <c r="F462">
        <v>0.33768443171895</v>
      </c>
      <c r="G462">
        <v>0.36813508421414</v>
      </c>
      <c r="H462">
        <v>0.4896374311599601</v>
      </c>
      <c r="I462">
        <v>0.378679766216071</v>
      </c>
    </row>
    <row r="463" spans="1:9">
      <c r="A463" s="1" t="s">
        <v>475</v>
      </c>
      <c r="B463">
        <f>HYPERLINK("https://www.suredividend.com/sure-analysis-research-database/","Bluelinx Hldgs Inc")</f>
        <v>0</v>
      </c>
      <c r="C463">
        <v>-0.04764280369169301</v>
      </c>
      <c r="D463">
        <v>-0.115487084443414</v>
      </c>
      <c r="E463">
        <v>0.131259259259259</v>
      </c>
      <c r="F463">
        <v>0.07382927858247701</v>
      </c>
      <c r="G463">
        <v>0.172064466615502</v>
      </c>
      <c r="H463">
        <v>0.6330196749358421</v>
      </c>
      <c r="I463">
        <v>1.978159126365054</v>
      </c>
    </row>
    <row r="464" spans="1:9">
      <c r="A464" s="1" t="s">
        <v>476</v>
      </c>
      <c r="B464">
        <f>HYPERLINK("https://www.suredividend.com/sure-analysis-BXMT/","Blackstone Mortgage Trust Inc")</f>
        <v>0</v>
      </c>
      <c r="C464">
        <v>0.0009429514380000001</v>
      </c>
      <c r="D464">
        <v>-0.019920134801375</v>
      </c>
      <c r="E464">
        <v>0.283795632796957</v>
      </c>
      <c r="F464">
        <v>0.10158674152406</v>
      </c>
      <c r="G464">
        <v>0.002521651256575</v>
      </c>
      <c r="H464">
        <v>-0.200792055353526</v>
      </c>
      <c r="I464">
        <v>-0.01607737904889</v>
      </c>
    </row>
    <row r="465" spans="1:9">
      <c r="A465" s="1" t="s">
        <v>477</v>
      </c>
      <c r="B465">
        <f>HYPERLINK("https://www.suredividend.com/sure-analysis-BXP/","Boston Properties, Inc.")</f>
        <v>0</v>
      </c>
      <c r="C465">
        <v>-0.028193525931082</v>
      </c>
      <c r="D465">
        <v>-0.152964019173593</v>
      </c>
      <c r="E465">
        <v>0.128336108371995</v>
      </c>
      <c r="F465">
        <v>-0.128920947704057</v>
      </c>
      <c r="G465">
        <v>-0.161283248645571</v>
      </c>
      <c r="H465">
        <v>-0.453979379507799</v>
      </c>
      <c r="I465">
        <v>-0.417848206839032</v>
      </c>
    </row>
    <row r="466" spans="1:9">
      <c r="A466" s="1" t="s">
        <v>478</v>
      </c>
      <c r="B466">
        <f>HYPERLINK("https://www.suredividend.com/sure-analysis-research-database/","Byline Bancorp Inc")</f>
        <v>0</v>
      </c>
      <c r="C466">
        <v>0.013967925504397</v>
      </c>
      <c r="D466">
        <v>-0.09394328824622501</v>
      </c>
      <c r="E466">
        <v>0.09503935996066801</v>
      </c>
      <c r="F466">
        <v>-0.136019607065243</v>
      </c>
      <c r="G466">
        <v>-0.118423597461419</v>
      </c>
      <c r="H466">
        <v>-0.228510474151164</v>
      </c>
      <c r="I466">
        <v>-0.04891304347826</v>
      </c>
    </row>
    <row r="467" spans="1:9">
      <c r="A467" s="1" t="s">
        <v>479</v>
      </c>
      <c r="B467">
        <f>HYPERLINK("https://www.suredividend.com/sure-analysis-research-database/","Boyd Gaming Corp.")</f>
        <v>0</v>
      </c>
      <c r="C467">
        <v>-0.063531765882941</v>
      </c>
      <c r="D467">
        <v>-0.169589467271533</v>
      </c>
      <c r="E467">
        <v>-0.206073200729462</v>
      </c>
      <c r="F467">
        <v>0.037703600365856</v>
      </c>
      <c r="G467">
        <v>0.020569490860124</v>
      </c>
      <c r="H467">
        <v>-0.123901757188498</v>
      </c>
      <c r="I467">
        <v>1.084942084942084</v>
      </c>
    </row>
    <row r="468" spans="1:9">
      <c r="A468" s="1" t="s">
        <v>480</v>
      </c>
      <c r="B468">
        <f>HYPERLINK("https://www.suredividend.com/sure-analysis-research-database/","Broadway Financial Corp.")</f>
        <v>0</v>
      </c>
      <c r="C468">
        <v>-0.238765224695506</v>
      </c>
      <c r="D468">
        <v>-0.282178217821782</v>
      </c>
      <c r="E468">
        <v>-0.192650334075723</v>
      </c>
      <c r="F468">
        <v>-0.282178217821782</v>
      </c>
      <c r="G468">
        <v>-0.3668122270742351</v>
      </c>
      <c r="H468">
        <v>-0.75</v>
      </c>
      <c r="I468">
        <v>-0.400826446280991</v>
      </c>
    </row>
    <row r="469" spans="1:9">
      <c r="A469" s="1" t="s">
        <v>481</v>
      </c>
      <c r="B469">
        <f>HYPERLINK("https://www.suredividend.com/sure-analysis-research-database/","Beyond Meat Inc")</f>
        <v>0</v>
      </c>
      <c r="C469">
        <v>-0.242424242424242</v>
      </c>
      <c r="D469">
        <v>-0.556681443951868</v>
      </c>
      <c r="E469">
        <v>-0.455252918287937</v>
      </c>
      <c r="F469">
        <v>-0.4313566206336311</v>
      </c>
      <c r="G469">
        <v>-0.525423728813559</v>
      </c>
      <c r="H469">
        <v>-0.929428369795342</v>
      </c>
      <c r="I469">
        <v>-0.8935361216730031</v>
      </c>
    </row>
    <row r="470" spans="1:9">
      <c r="A470" s="1" t="s">
        <v>482</v>
      </c>
      <c r="B470">
        <f>HYPERLINK("https://www.suredividend.com/sure-analysis-research-database/","Beazer Homes USA Inc.")</f>
        <v>0</v>
      </c>
      <c r="C470">
        <v>0.08930008045052201</v>
      </c>
      <c r="D470">
        <v>-0.200708382526564</v>
      </c>
      <c r="E470">
        <v>0.439659755449229</v>
      </c>
      <c r="F470">
        <v>1.122257053291536</v>
      </c>
      <c r="G470">
        <v>1.516728624535316</v>
      </c>
      <c r="H470">
        <v>0.533408833522083</v>
      </c>
      <c r="I470">
        <v>2.005549389567148</v>
      </c>
    </row>
    <row r="471" spans="1:9">
      <c r="A471" s="1" t="s">
        <v>483</v>
      </c>
      <c r="B471">
        <f>HYPERLINK("https://www.suredividend.com/sure-analysis-C/","Citigroup Inc")</f>
        <v>0</v>
      </c>
      <c r="C471">
        <v>0.020987654320987</v>
      </c>
      <c r="D471">
        <v>-0.09674544386169101</v>
      </c>
      <c r="E471">
        <v>-0.09065718985582401</v>
      </c>
      <c r="F471">
        <v>-0.055817511331331</v>
      </c>
      <c r="G471">
        <v>-0.051598978892056</v>
      </c>
      <c r="H471">
        <v>-0.3524472326711121</v>
      </c>
      <c r="I471">
        <v>-0.256979184635731</v>
      </c>
    </row>
    <row r="472" spans="1:9">
      <c r="A472" s="1" t="s">
        <v>484</v>
      </c>
      <c r="B472">
        <f>HYPERLINK("https://www.suredividend.com/sure-analysis-research-database/","Cable One Inc")</f>
        <v>0</v>
      </c>
      <c r="C472">
        <v>-0.06622505561642901</v>
      </c>
      <c r="D472">
        <v>-0.22652071981086</v>
      </c>
      <c r="E472">
        <v>-0.21516429013567</v>
      </c>
      <c r="F472">
        <v>-0.199536387187287</v>
      </c>
      <c r="G472">
        <v>-0.29677654973282</v>
      </c>
      <c r="H472">
        <v>-0.6630073097066771</v>
      </c>
      <c r="I472">
        <v>-0.346941002920739</v>
      </c>
    </row>
    <row r="473" spans="1:9">
      <c r="A473" s="1" t="s">
        <v>485</v>
      </c>
      <c r="B473">
        <f>HYPERLINK("https://www.suredividend.com/sure-analysis-research-database/","Camden National Corp.")</f>
        <v>0</v>
      </c>
      <c r="C473">
        <v>0.13253172419913</v>
      </c>
      <c r="D473">
        <v>-0.09818134710449301</v>
      </c>
      <c r="E473">
        <v>0.063128227911367</v>
      </c>
      <c r="F473">
        <v>-0.194515447000536</v>
      </c>
      <c r="G473">
        <v>-0.212831135188478</v>
      </c>
      <c r="H473">
        <v>-0.273168208287258</v>
      </c>
      <c r="I473">
        <v>-0.066599625177126</v>
      </c>
    </row>
    <row r="474" spans="1:9">
      <c r="A474" s="1" t="s">
        <v>486</v>
      </c>
      <c r="B474">
        <f>HYPERLINK("https://www.suredividend.com/sure-analysis-research-database/","Credit Acceptance Corp.")</f>
        <v>0</v>
      </c>
      <c r="C474">
        <v>-0.044965958098907</v>
      </c>
      <c r="D474">
        <v>-0.097687598246049</v>
      </c>
      <c r="E474">
        <v>0.014251836696735</v>
      </c>
      <c r="F474">
        <v>-0.08041736930860001</v>
      </c>
      <c r="G474">
        <v>-0.002423909812261</v>
      </c>
      <c r="H474">
        <v>-0.349172012531702</v>
      </c>
      <c r="I474">
        <v>0.029936020020303</v>
      </c>
    </row>
    <row r="475" spans="1:9">
      <c r="A475" s="1" t="s">
        <v>487</v>
      </c>
      <c r="B475">
        <f>HYPERLINK("https://www.suredividend.com/sure-analysis-research-database/","Caci International Inc.")</f>
        <v>0</v>
      </c>
      <c r="C475">
        <v>0.04028836645507</v>
      </c>
      <c r="D475">
        <v>-0.08070472163495401</v>
      </c>
      <c r="E475">
        <v>0.056430191124068</v>
      </c>
      <c r="F475">
        <v>0.084932965168502</v>
      </c>
      <c r="G475">
        <v>0.07619707619707601</v>
      </c>
      <c r="H475">
        <v>0.134883073496659</v>
      </c>
      <c r="I475">
        <v>0.8892364731780791</v>
      </c>
    </row>
    <row r="476" spans="1:9">
      <c r="A476" s="1" t="s">
        <v>488</v>
      </c>
      <c r="B476">
        <f>HYPERLINK("https://www.suredividend.com/sure-analysis-research-database/","Cadence Bank")</f>
        <v>0</v>
      </c>
      <c r="C476">
        <v>0.093403948001925</v>
      </c>
      <c r="D476">
        <v>-0.080093813418235</v>
      </c>
      <c r="E476">
        <v>0.241451694901356</v>
      </c>
      <c r="F476">
        <v>-0.048397234443746</v>
      </c>
      <c r="G476">
        <v>-0.129494831016202</v>
      </c>
      <c r="H476">
        <v>-0.153389053331643</v>
      </c>
      <c r="I476">
        <v>-0.15347425942976</v>
      </c>
    </row>
    <row r="477" spans="1:9">
      <c r="A477" s="1" t="s">
        <v>489</v>
      </c>
      <c r="B477">
        <f>HYPERLINK("https://www.suredividend.com/sure-analysis-CAG/","Conagra Brands Inc")</f>
        <v>0</v>
      </c>
      <c r="C477">
        <v>0.046231562390111</v>
      </c>
      <c r="D477">
        <v>-0.146511864626355</v>
      </c>
      <c r="E477">
        <v>-0.263251226805194</v>
      </c>
      <c r="F477">
        <v>-0.254892879070218</v>
      </c>
      <c r="G477">
        <v>-0.197002762751607</v>
      </c>
      <c r="H477">
        <v>-0.08917344218045301</v>
      </c>
      <c r="I477">
        <v>-0.06323740008599101</v>
      </c>
    </row>
    <row r="478" spans="1:9">
      <c r="A478" s="1" t="s">
        <v>490</v>
      </c>
      <c r="B478">
        <f>HYPERLINK("https://www.suredividend.com/sure-analysis-CAH/","Cardinal Health, Inc.")</f>
        <v>0</v>
      </c>
      <c r="C478">
        <v>0.085667978698772</v>
      </c>
      <c r="D478">
        <v>0.013255079240912</v>
      </c>
      <c r="E478">
        <v>0.151399592627015</v>
      </c>
      <c r="F478">
        <v>0.241801764582034</v>
      </c>
      <c r="G478">
        <v>0.280080806977791</v>
      </c>
      <c r="H478">
        <v>1.034242430158327</v>
      </c>
      <c r="I478">
        <v>1.170526846903562</v>
      </c>
    </row>
    <row r="479" spans="1:9">
      <c r="A479" s="1" t="s">
        <v>491</v>
      </c>
      <c r="B479">
        <f>HYPERLINK("https://www.suredividend.com/sure-analysis-research-database/","Cai International Inc")</f>
        <v>0</v>
      </c>
      <c r="C479">
        <v>0.00143061516452</v>
      </c>
      <c r="D479">
        <v>0.007897597604083</v>
      </c>
      <c r="E479">
        <v>0.386378828014755</v>
      </c>
      <c r="F479">
        <v>0.8276941353864431</v>
      </c>
      <c r="G479">
        <v>0.828380381478506</v>
      </c>
      <c r="H479">
        <v>1.457530795932786</v>
      </c>
      <c r="I479">
        <v>5.184291898577613</v>
      </c>
    </row>
    <row r="480" spans="1:9">
      <c r="A480" s="1" t="s">
        <v>492</v>
      </c>
      <c r="B480">
        <f>HYPERLINK("https://www.suredividend.com/sure-analysis-CAKE/","Cheesecake Factory Inc.")</f>
        <v>0</v>
      </c>
      <c r="C480">
        <v>0.021621621621621</v>
      </c>
      <c r="D480">
        <v>-0.158473564549029</v>
      </c>
      <c r="E480">
        <v>-0.061029948300756</v>
      </c>
      <c r="F480">
        <v>-0.007870760730842001</v>
      </c>
      <c r="G480">
        <v>-0.020620726955924</v>
      </c>
      <c r="H480">
        <v>-0.216371207861165</v>
      </c>
      <c r="I480">
        <v>-0.311133486111048</v>
      </c>
    </row>
    <row r="481" spans="1:9">
      <c r="A481" s="1" t="s">
        <v>493</v>
      </c>
      <c r="B481">
        <f>HYPERLINK("https://www.suredividend.com/sure-analysis-research-database/","Caleres Inc")</f>
        <v>0</v>
      </c>
      <c r="C481">
        <v>-0.07489451476793201</v>
      </c>
      <c r="D481">
        <v>-0.003537423210647</v>
      </c>
      <c r="E481">
        <v>0.143381122695094</v>
      </c>
      <c r="F481">
        <v>0.191257770794941</v>
      </c>
      <c r="G481">
        <v>0.005518696303543001</v>
      </c>
      <c r="H481">
        <v>0.087877873200825</v>
      </c>
      <c r="I481">
        <v>-0.194341095953332</v>
      </c>
    </row>
    <row r="482" spans="1:9">
      <c r="A482" s="1" t="s">
        <v>494</v>
      </c>
      <c r="B482">
        <f>HYPERLINK("https://www.suredividend.com/sure-analysis-research-database/","Calithera Biosciences Inc")</f>
        <v>0</v>
      </c>
      <c r="C482">
        <v>-0.4</v>
      </c>
      <c r="D482">
        <v>-0.4</v>
      </c>
      <c r="E482">
        <v>0.2</v>
      </c>
      <c r="F482">
        <v>-0.833333333333333</v>
      </c>
      <c r="G482">
        <v>-0.833333333333333</v>
      </c>
      <c r="H482">
        <v>-0.833333333333333</v>
      </c>
      <c r="I482">
        <v>-0.833333333333333</v>
      </c>
    </row>
    <row r="483" spans="1:9">
      <c r="A483" s="1" t="s">
        <v>495</v>
      </c>
      <c r="B483">
        <f>HYPERLINK("https://www.suredividend.com/sure-analysis-research-database/","Cal-Maine Foods, Inc.")</f>
        <v>0</v>
      </c>
      <c r="C483">
        <v>0.046571593958848</v>
      </c>
      <c r="D483">
        <v>0.118680982423298</v>
      </c>
      <c r="E483">
        <v>0.107349665924276</v>
      </c>
      <c r="F483">
        <v>0.008235000679321001</v>
      </c>
      <c r="G483">
        <v>-0.041242759184555</v>
      </c>
      <c r="H483">
        <v>0.5480223174255251</v>
      </c>
      <c r="I483">
        <v>0.178120882974589</v>
      </c>
    </row>
    <row r="484" spans="1:9">
      <c r="A484" s="1" t="s">
        <v>496</v>
      </c>
      <c r="B484">
        <f>HYPERLINK("https://www.suredividend.com/sure-analysis-research-database/","Calix Inc")</f>
        <v>0</v>
      </c>
      <c r="C484">
        <v>-0.264345159877354</v>
      </c>
      <c r="D484">
        <v>-0.219563197026022</v>
      </c>
      <c r="E484">
        <v>-0.236243747157798</v>
      </c>
      <c r="F484">
        <v>-0.509133421014175</v>
      </c>
      <c r="G484">
        <v>-0.51986849628359</v>
      </c>
      <c r="H484">
        <v>-0.5157151095732411</v>
      </c>
      <c r="I484">
        <v>3.526954177897575</v>
      </c>
    </row>
    <row r="485" spans="1:9">
      <c r="A485" s="1" t="s">
        <v>497</v>
      </c>
      <c r="B485">
        <f>HYPERLINK("https://www.suredividend.com/sure-analysis-research-database/","Calamp Corp.")</f>
        <v>0</v>
      </c>
      <c r="C485">
        <v>-0.444711538461538</v>
      </c>
      <c r="D485">
        <v>-0.7418417523468931</v>
      </c>
      <c r="E485">
        <v>-0.895</v>
      </c>
      <c r="F485">
        <v>-0.9484374999999999</v>
      </c>
      <c r="G485">
        <v>-0.9352941176470581</v>
      </c>
      <c r="H485">
        <v>-0.9772189349112421</v>
      </c>
      <c r="I485">
        <v>-0.9886542239685651</v>
      </c>
    </row>
    <row r="486" spans="1:9">
      <c r="A486" s="1" t="s">
        <v>498</v>
      </c>
      <c r="B486">
        <f>HYPERLINK("https://www.suredividend.com/sure-analysis-research-database/","Capricor Therapeutics Inc")</f>
        <v>0</v>
      </c>
      <c r="C486">
        <v>-0.04713804713804701</v>
      </c>
      <c r="D486">
        <v>-0.3654708520179371</v>
      </c>
      <c r="E486">
        <v>-0.247340425531914</v>
      </c>
      <c r="F486">
        <v>-0.266839378238341</v>
      </c>
      <c r="G486">
        <v>-0.442913385826771</v>
      </c>
      <c r="H486">
        <v>-0.272493573264781</v>
      </c>
      <c r="I486">
        <v>-0.7355140186915881</v>
      </c>
    </row>
    <row r="487" spans="1:9">
      <c r="A487" s="1" t="s">
        <v>499</v>
      </c>
      <c r="B487">
        <f>HYPERLINK("https://www.suredividend.com/sure-analysis-research-database/","Avis Budget Group Inc")</f>
        <v>0</v>
      </c>
      <c r="C487">
        <v>0.07540116178754201</v>
      </c>
      <c r="D487">
        <v>-0.162125829001613</v>
      </c>
      <c r="E487">
        <v>0.08861201676758201</v>
      </c>
      <c r="F487">
        <v>0.140608796437503</v>
      </c>
      <c r="G487">
        <v>-0.146911214526872</v>
      </c>
      <c r="H487">
        <v>-0.476495786320239</v>
      </c>
      <c r="I487">
        <v>5.197547232350016</v>
      </c>
    </row>
    <row r="488" spans="1:9">
      <c r="A488" s="1" t="s">
        <v>500</v>
      </c>
      <c r="B488">
        <f>HYPERLINK("https://www.suredividend.com/sure-analysis-research-database/","Cara Therapeutics Inc")</f>
        <v>0</v>
      </c>
      <c r="C488">
        <v>-0.274390243902439</v>
      </c>
      <c r="D488">
        <v>-0.614886731391585</v>
      </c>
      <c r="E488">
        <v>-0.7090464547677261</v>
      </c>
      <c r="F488">
        <v>-0.889199255121042</v>
      </c>
      <c r="G488">
        <v>-0.869086908690869</v>
      </c>
      <c r="H488">
        <v>-0.9317660550458711</v>
      </c>
      <c r="I488">
        <v>-0.939563230066023</v>
      </c>
    </row>
    <row r="489" spans="1:9">
      <c r="A489" s="1" t="s">
        <v>501</v>
      </c>
      <c r="B489">
        <f>HYPERLINK("https://www.suredividend.com/sure-analysis-research-database/","Carter Bankshares Inc")</f>
        <v>0</v>
      </c>
      <c r="C489">
        <v>-0.08072487644151501</v>
      </c>
      <c r="D489">
        <v>-0.246455097906819</v>
      </c>
      <c r="E489">
        <v>-0.124705882352941</v>
      </c>
      <c r="F489">
        <v>-0.327305605786618</v>
      </c>
      <c r="G489">
        <v>-0.373033707865168</v>
      </c>
      <c r="H489">
        <v>-0.293223559214692</v>
      </c>
      <c r="I489">
        <v>0.305263157894736</v>
      </c>
    </row>
    <row r="490" spans="1:9">
      <c r="A490" s="1" t="s">
        <v>502</v>
      </c>
      <c r="B490">
        <f>HYPERLINK("https://www.suredividend.com/sure-analysis-research-database/","CarGurus Inc")</f>
        <v>0</v>
      </c>
      <c r="C490">
        <v>0.025936599423631</v>
      </c>
      <c r="D490">
        <v>-0.203935599284436</v>
      </c>
      <c r="E490">
        <v>0.111805121798875</v>
      </c>
      <c r="F490">
        <v>0.270521056388294</v>
      </c>
      <c r="G490">
        <v>0.259731068648266</v>
      </c>
      <c r="H490">
        <v>-0.483159117305458</v>
      </c>
      <c r="I490">
        <v>-0.603739982190561</v>
      </c>
    </row>
    <row r="491" spans="1:9">
      <c r="A491" s="1" t="s">
        <v>503</v>
      </c>
      <c r="B491">
        <f>HYPERLINK("https://www.suredividend.com/sure-analysis-research-database/","Cars.com")</f>
        <v>0</v>
      </c>
      <c r="C491">
        <v>0.008398320335932</v>
      </c>
      <c r="D491">
        <v>-0.250557289344627</v>
      </c>
      <c r="E491">
        <v>-0.145399084900864</v>
      </c>
      <c r="F491">
        <v>0.22076978939724</v>
      </c>
      <c r="G491">
        <v>0.305124223602484</v>
      </c>
      <c r="H491">
        <v>0.249814126394052</v>
      </c>
      <c r="I491">
        <v>-0.362291350531107</v>
      </c>
    </row>
    <row r="492" spans="1:9">
      <c r="A492" s="1" t="s">
        <v>504</v>
      </c>
      <c r="B492">
        <f>HYPERLINK("https://www.suredividend.com/sure-analysis-research-database/","Maplebear Inc.")</f>
        <v>0</v>
      </c>
      <c r="C492">
        <v>-0.011127596439169</v>
      </c>
      <c r="D492">
        <v>-0.208902077151335</v>
      </c>
      <c r="E492">
        <v>-0.208902077151335</v>
      </c>
      <c r="F492">
        <v>-0.208902077151335</v>
      </c>
      <c r="G492">
        <v>-0.208902077151335</v>
      </c>
      <c r="H492">
        <v>-0.208902077151335</v>
      </c>
      <c r="I492">
        <v>-0.208902077151335</v>
      </c>
    </row>
    <row r="493" spans="1:9">
      <c r="A493" s="1" t="s">
        <v>505</v>
      </c>
      <c r="B493">
        <f>HYPERLINK("https://www.suredividend.com/sure-analysis-research-database/","Casa Systems Inc")</f>
        <v>0</v>
      </c>
      <c r="C493">
        <v>-0.2</v>
      </c>
      <c r="D493">
        <v>-0.403846153846153</v>
      </c>
      <c r="E493">
        <v>-0.47008547008547</v>
      </c>
      <c r="F493">
        <v>-0.772893772893772</v>
      </c>
      <c r="G493">
        <v>-0.7980456026058631</v>
      </c>
      <c r="H493">
        <v>-0.9076005961251861</v>
      </c>
      <c r="I493">
        <v>-0.9576502732240431</v>
      </c>
    </row>
    <row r="494" spans="1:9">
      <c r="A494" s="1" t="s">
        <v>506</v>
      </c>
      <c r="B494">
        <f>HYPERLINK("https://www.suredividend.com/sure-analysis-research-database/","Pathward Financial Inc")</f>
        <v>0</v>
      </c>
      <c r="C494">
        <v>0.031122558488946</v>
      </c>
      <c r="D494">
        <v>-0.08326209086467901</v>
      </c>
      <c r="E494">
        <v>0.134343160057142</v>
      </c>
      <c r="F494">
        <v>0.120516127828405</v>
      </c>
      <c r="G494">
        <v>0.162621852644214</v>
      </c>
      <c r="H494">
        <v>-0.160135455255884</v>
      </c>
      <c r="I494">
        <v>0.9807940493714151</v>
      </c>
    </row>
    <row r="495" spans="1:9">
      <c r="A495" s="1" t="s">
        <v>507</v>
      </c>
      <c r="B495">
        <f>HYPERLINK("https://www.suredividend.com/sure-analysis-research-database/","CASI Pharmaceuticals Inc")</f>
        <v>0</v>
      </c>
      <c r="C495">
        <v>0.8984375</v>
      </c>
      <c r="D495">
        <v>0.9440000000000001</v>
      </c>
      <c r="E495">
        <v>0.8066914498141261</v>
      </c>
      <c r="F495">
        <v>1.715083798882681</v>
      </c>
      <c r="G495">
        <v>1.442211055276382</v>
      </c>
      <c r="H495">
        <v>-0.9566071428571421</v>
      </c>
      <c r="I495">
        <v>-0.9863098591549291</v>
      </c>
    </row>
    <row r="496" spans="1:9">
      <c r="A496" s="1" t="s">
        <v>508</v>
      </c>
      <c r="B496">
        <f>HYPERLINK("https://www.suredividend.com/sure-analysis-CASS/","Cass Information Systems Inc")</f>
        <v>0</v>
      </c>
      <c r="C496">
        <v>0.069824753559693</v>
      </c>
      <c r="D496">
        <v>0.044719447237255</v>
      </c>
      <c r="E496">
        <v>0.137518305979905</v>
      </c>
      <c r="F496">
        <v>-0.115895328523972</v>
      </c>
      <c r="G496">
        <v>-0.017082190746937</v>
      </c>
      <c r="H496">
        <v>-0.018164089986128</v>
      </c>
      <c r="I496">
        <v>-0.313751148285607</v>
      </c>
    </row>
    <row r="497" spans="1:9">
      <c r="A497" s="1" t="s">
        <v>509</v>
      </c>
      <c r="B497">
        <f>HYPERLINK("https://www.suredividend.com/sure-analysis-CASY/","Casey`s General Stores, Inc.")</f>
        <v>0</v>
      </c>
      <c r="C497">
        <v>-0.000699418135783</v>
      </c>
      <c r="D497">
        <v>0.10115093149438</v>
      </c>
      <c r="E497">
        <v>0.15541888255311</v>
      </c>
      <c r="F497">
        <v>0.218845169524143</v>
      </c>
      <c r="G497">
        <v>0.202233156413752</v>
      </c>
      <c r="H497">
        <v>0.431646607751037</v>
      </c>
      <c r="I497">
        <v>1.203856973548832</v>
      </c>
    </row>
    <row r="498" spans="1:9">
      <c r="A498" s="1" t="s">
        <v>510</v>
      </c>
      <c r="B498">
        <f>HYPERLINK("https://www.suredividend.com/sure-analysis-CAT/","Caterpillar Inc.")</f>
        <v>0</v>
      </c>
      <c r="C498">
        <v>-0.115429234338747</v>
      </c>
      <c r="D498">
        <v>-0.164184071051344</v>
      </c>
      <c r="E498">
        <v>0.122686032906832</v>
      </c>
      <c r="F498">
        <v>0.01859732435032</v>
      </c>
      <c r="G498">
        <v>0.137387917679218</v>
      </c>
      <c r="H498">
        <v>0.205828439740095</v>
      </c>
      <c r="I498">
        <v>1.14718142030771</v>
      </c>
    </row>
    <row r="499" spans="1:9">
      <c r="A499" s="1" t="s">
        <v>511</v>
      </c>
      <c r="B499">
        <f>HYPERLINK("https://www.suredividend.com/sure-analysis-CATC/","Cambridge Bancorp")</f>
        <v>0</v>
      </c>
      <c r="C499">
        <v>-0.05769876905220001</v>
      </c>
      <c r="D499">
        <v>-0.07001436930796201</v>
      </c>
      <c r="E499">
        <v>0.278606312212037</v>
      </c>
      <c r="F499">
        <v>-0.273691356103124</v>
      </c>
      <c r="G499">
        <v>-0.270617564811008</v>
      </c>
      <c r="H499">
        <v>-0.343404365007106</v>
      </c>
      <c r="I499">
        <v>-0.212515794355015</v>
      </c>
    </row>
    <row r="500" spans="1:9">
      <c r="A500" s="1" t="s">
        <v>512</v>
      </c>
      <c r="B500">
        <f>HYPERLINK("https://www.suredividend.com/sure-analysis-research-database/","Cardtronics plc")</f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>
      <c r="A501" s="1" t="s">
        <v>513</v>
      </c>
      <c r="B501">
        <f>HYPERLINK("https://www.suredividend.com/sure-analysis-research-database/","Cato Corp.")</f>
        <v>0</v>
      </c>
      <c r="C501">
        <v>-0.043243243243243</v>
      </c>
      <c r="D501">
        <v>-0.142150923278243</v>
      </c>
      <c r="E501">
        <v>-0.104126333371294</v>
      </c>
      <c r="F501">
        <v>-0.191891521709354</v>
      </c>
      <c r="G501">
        <v>-0.3378784052969721</v>
      </c>
      <c r="H501">
        <v>-0.550061961806107</v>
      </c>
      <c r="I501">
        <v>-0.5281447022912971</v>
      </c>
    </row>
    <row r="502" spans="1:9">
      <c r="A502" s="1" t="s">
        <v>514</v>
      </c>
      <c r="B502">
        <f>HYPERLINK("https://www.suredividend.com/sure-analysis-research-database/","Cathay General Bancorp")</f>
        <v>0</v>
      </c>
      <c r="C502">
        <v>0.047577349678926</v>
      </c>
      <c r="D502">
        <v>-0.03573088589706</v>
      </c>
      <c r="E502">
        <v>0.279227259766181</v>
      </c>
      <c r="F502">
        <v>-0.07553847501197701</v>
      </c>
      <c r="G502">
        <v>-0.139532820745194</v>
      </c>
      <c r="H502">
        <v>-0.088227747447469</v>
      </c>
      <c r="I502">
        <v>0.133320702286219</v>
      </c>
    </row>
    <row r="503" spans="1:9">
      <c r="A503" s="1" t="s">
        <v>515</v>
      </c>
      <c r="B503">
        <f>HYPERLINK("https://www.suredividend.com/sure-analysis-CB/","Chubb Limited")</f>
        <v>0</v>
      </c>
      <c r="C503">
        <v>0.059108527131782</v>
      </c>
      <c r="D503">
        <v>0.06786408132180601</v>
      </c>
      <c r="E503">
        <v>0.09976907867927001</v>
      </c>
      <c r="F503">
        <v>0.004010069495317001</v>
      </c>
      <c r="G503">
        <v>0.05602589340708401</v>
      </c>
      <c r="H503">
        <v>0.186240264120247</v>
      </c>
      <c r="I503">
        <v>0.9102647455660181</v>
      </c>
    </row>
    <row r="504" spans="1:9">
      <c r="A504" s="1" t="s">
        <v>516</v>
      </c>
      <c r="B504">
        <f>HYPERLINK("https://www.suredividend.com/sure-analysis-research-database/","Colony Bankcorp, Inc.")</f>
        <v>0</v>
      </c>
      <c r="C504">
        <v>0.040363269424823</v>
      </c>
      <c r="D504">
        <v>-0.017168568459785</v>
      </c>
      <c r="E504">
        <v>0.192472732740374</v>
      </c>
      <c r="F504">
        <v>-0.143431590841115</v>
      </c>
      <c r="G504">
        <v>-0.191980939841374</v>
      </c>
      <c r="H504">
        <v>-0.4186046511627901</v>
      </c>
      <c r="I504">
        <v>-0.298801637716446</v>
      </c>
    </row>
    <row r="505" spans="1:9">
      <c r="A505" s="1" t="s">
        <v>517</v>
      </c>
      <c r="B505">
        <f>HYPERLINK("https://www.suredividend.com/sure-analysis-research-database/","Cymabay Therapeutics Inc")</f>
        <v>0</v>
      </c>
      <c r="C505">
        <v>0.117166212534059</v>
      </c>
      <c r="D505">
        <v>0.304693715194908</v>
      </c>
      <c r="E505">
        <v>0.6221562809099901</v>
      </c>
      <c r="F505">
        <v>1.615629984051036</v>
      </c>
      <c r="G505">
        <v>3.712643678160919</v>
      </c>
      <c r="H505">
        <v>2.904761904761904</v>
      </c>
      <c r="I505">
        <v>0.448763250883392</v>
      </c>
    </row>
    <row r="506" spans="1:9">
      <c r="A506" s="1" t="s">
        <v>518</v>
      </c>
      <c r="B506">
        <f>HYPERLINK("https://www.suredividend.com/sure-analysis-research-database/","Cincinnati Bell, Inc.")</f>
        <v>0</v>
      </c>
      <c r="C506">
        <v>0.009784735812133001</v>
      </c>
      <c r="D506">
        <v>0.001941747572815</v>
      </c>
      <c r="E506">
        <v>0.012426422498365</v>
      </c>
      <c r="F506">
        <v>0.013089005235602</v>
      </c>
      <c r="G506">
        <v>0.024487094639311</v>
      </c>
      <c r="H506">
        <v>1.711033274956217</v>
      </c>
      <c r="I506">
        <v>-0.264608076009501</v>
      </c>
    </row>
    <row r="507" spans="1:9">
      <c r="A507" s="1" t="s">
        <v>519</v>
      </c>
      <c r="B507">
        <f>HYPERLINK("https://www.suredividend.com/sure-analysis-research-database/","CB Financial Services Inc")</f>
        <v>0</v>
      </c>
      <c r="C507">
        <v>-0.005594405594405</v>
      </c>
      <c r="D507">
        <v>-0.03307403579394001</v>
      </c>
      <c r="E507">
        <v>0.05178033422255501</v>
      </c>
      <c r="F507">
        <v>0.043511442912634</v>
      </c>
      <c r="G507">
        <v>0.052319988159549</v>
      </c>
      <c r="H507">
        <v>-0.036315499372001</v>
      </c>
      <c r="I507">
        <v>-0.04947794815577301</v>
      </c>
    </row>
    <row r="508" spans="1:9">
      <c r="A508" s="1" t="s">
        <v>520</v>
      </c>
      <c r="B508">
        <f>HYPERLINK("https://www.suredividend.com/sure-analysis-research-database/","CBL&amp; Associates Properties, Inc.")</f>
        <v>0</v>
      </c>
      <c r="C508">
        <v>0.005223171889838001</v>
      </c>
      <c r="D508">
        <v>-0.028333019694959</v>
      </c>
      <c r="E508">
        <v>-0.0340478732627</v>
      </c>
      <c r="F508">
        <v>-0.036365043311226</v>
      </c>
      <c r="G508">
        <v>-0.149928926509207</v>
      </c>
      <c r="H508">
        <v>-0.177828955800053</v>
      </c>
      <c r="I508">
        <v>-0.177828955800053</v>
      </c>
    </row>
    <row r="509" spans="1:9">
      <c r="A509" s="1" t="s">
        <v>521</v>
      </c>
      <c r="B509">
        <f>HYPERLINK("https://www.suredividend.com/sure-analysis-research-database/","Cellular Biomedicine Group Inc")</f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>
      <c r="A510" s="1" t="s">
        <v>522</v>
      </c>
      <c r="B510">
        <f>HYPERLINK("https://www.suredividend.com/sure-analysis-CBOE/","Cboe Global Markets Inc.")</f>
        <v>0</v>
      </c>
      <c r="C510">
        <v>0.038265306122448</v>
      </c>
      <c r="D510">
        <v>0.173007850074033</v>
      </c>
      <c r="E510">
        <v>0.191012682675593</v>
      </c>
      <c r="F510">
        <v>0.321979038349572</v>
      </c>
      <c r="G510">
        <v>0.320670686545951</v>
      </c>
      <c r="H510">
        <v>0.253345076386301</v>
      </c>
      <c r="I510">
        <v>0.588475551331763</v>
      </c>
    </row>
    <row r="511" spans="1:9">
      <c r="A511" s="1" t="s">
        <v>523</v>
      </c>
      <c r="B511">
        <f>HYPERLINK("https://www.suredividend.com/sure-analysis-research-database/","CBRE Group Inc")</f>
        <v>0</v>
      </c>
      <c r="C511">
        <v>-0.018211693824455</v>
      </c>
      <c r="D511">
        <v>-0.140596907587198</v>
      </c>
      <c r="E511">
        <v>-0.04527296937416701</v>
      </c>
      <c r="F511">
        <v>-0.06834719334719301</v>
      </c>
      <c r="G511">
        <v>0.026485325697924</v>
      </c>
      <c r="H511">
        <v>-0.297884841363102</v>
      </c>
      <c r="I511">
        <v>0.717776712985146</v>
      </c>
    </row>
    <row r="512" spans="1:9">
      <c r="A512" s="1" t="s">
        <v>524</v>
      </c>
      <c r="B512">
        <f>HYPERLINK("https://www.suredividend.com/sure-analysis-CBRL/","Cracker Barrel Old Country Store Inc")</f>
        <v>0</v>
      </c>
      <c r="C512">
        <v>0.05956178967100301</v>
      </c>
      <c r="D512">
        <v>-0.251237926600851</v>
      </c>
      <c r="E512">
        <v>-0.306266887331229</v>
      </c>
      <c r="F512">
        <v>-0.224982011800259</v>
      </c>
      <c r="G512">
        <v>-0.323332076894082</v>
      </c>
      <c r="H512">
        <v>-0.422262957890075</v>
      </c>
      <c r="I512">
        <v>-0.4912868131295151</v>
      </c>
    </row>
    <row r="513" spans="1:9">
      <c r="A513" s="1" t="s">
        <v>525</v>
      </c>
      <c r="B513">
        <f>HYPERLINK("https://www.suredividend.com/sure-analysis-CBSH/","Commerce Bancshares, Inc.")</f>
        <v>0</v>
      </c>
      <c r="C513">
        <v>-0.01672384219554</v>
      </c>
      <c r="D513">
        <v>-0.131515057400302</v>
      </c>
      <c r="E513">
        <v>-0.126697427127984</v>
      </c>
      <c r="F513">
        <v>-0.308486496185818</v>
      </c>
      <c r="G513">
        <v>-0.327183206868423</v>
      </c>
      <c r="H513">
        <v>-0.3092208324295661</v>
      </c>
      <c r="I513">
        <v>-0.149311899802075</v>
      </c>
    </row>
    <row r="514" spans="1:9">
      <c r="A514" s="1" t="s">
        <v>526</v>
      </c>
      <c r="B514">
        <f>HYPERLINK("https://www.suredividend.com/sure-analysis-research-database/","Cabot Corp.")</f>
        <v>0</v>
      </c>
      <c r="C514">
        <v>-0.018959435626102</v>
      </c>
      <c r="D514">
        <v>-0.03925731351876501</v>
      </c>
      <c r="E514">
        <v>-0.020848949631296</v>
      </c>
      <c r="F514">
        <v>0.015037765487499</v>
      </c>
      <c r="G514">
        <v>-0.045527276471067</v>
      </c>
      <c r="H514">
        <v>0.252914081064948</v>
      </c>
      <c r="I514">
        <v>0.4655384399206081</v>
      </c>
    </row>
    <row r="515" spans="1:9">
      <c r="A515" s="1" t="s">
        <v>527</v>
      </c>
      <c r="B515">
        <f>HYPERLINK("https://www.suredividend.com/sure-analysis-CBU/","Community Bank System, Inc.")</f>
        <v>0</v>
      </c>
      <c r="C515">
        <v>0.003100405437634</v>
      </c>
      <c r="D515">
        <v>-0.224747619038841</v>
      </c>
      <c r="E515">
        <v>-0.09764176850199001</v>
      </c>
      <c r="F515">
        <v>-0.31329378976602</v>
      </c>
      <c r="G515">
        <v>-0.307364725333719</v>
      </c>
      <c r="H515">
        <v>-0.389599684205637</v>
      </c>
      <c r="I515">
        <v>-0.203412108287468</v>
      </c>
    </row>
    <row r="516" spans="1:9">
      <c r="A516" s="1" t="s">
        <v>528</v>
      </c>
      <c r="B516">
        <f>HYPERLINK("https://www.suredividend.com/sure-analysis-research-database/","Cbiz Inc")</f>
        <v>0</v>
      </c>
      <c r="C516">
        <v>0.05029239766081801</v>
      </c>
      <c r="D516">
        <v>-0.005353516706664001</v>
      </c>
      <c r="E516">
        <v>0.051727503415967</v>
      </c>
      <c r="F516">
        <v>0.150053361792956</v>
      </c>
      <c r="G516">
        <v>0.140076174354633</v>
      </c>
      <c r="H516">
        <v>0.428419936373276</v>
      </c>
      <c r="I516">
        <v>1.436906377204885</v>
      </c>
    </row>
    <row r="517" spans="1:9">
      <c r="A517" s="1" t="s">
        <v>529</v>
      </c>
      <c r="B517">
        <f>HYPERLINK("https://www.suredividend.com/sure-analysis-CC/","Chemours Company")</f>
        <v>0</v>
      </c>
      <c r="C517">
        <v>-0.106071689831748</v>
      </c>
      <c r="D517">
        <v>-0.327888238044165</v>
      </c>
      <c r="E517">
        <v>-0.181552104054063</v>
      </c>
      <c r="F517">
        <v>-0.182723497033861</v>
      </c>
      <c r="G517">
        <v>-0.09406322282189601</v>
      </c>
      <c r="H517">
        <v>-0.119098337316133</v>
      </c>
      <c r="I517">
        <v>-0.126359701017698</v>
      </c>
    </row>
    <row r="518" spans="1:9">
      <c r="A518" s="1" t="s">
        <v>530</v>
      </c>
      <c r="B518">
        <f>HYPERLINK("https://www.suredividend.com/sure-analysis-research-database/","Capital City Bank Group, Inc.")</f>
        <v>0</v>
      </c>
      <c r="C518">
        <v>-0.00979068197164</v>
      </c>
      <c r="D518">
        <v>-0.073968831300042</v>
      </c>
      <c r="E518">
        <v>0.03660820945635401</v>
      </c>
      <c r="F518">
        <v>-0.06977481763399901</v>
      </c>
      <c r="G518">
        <v>-0.130027258948142</v>
      </c>
      <c r="H518">
        <v>0.152713967371867</v>
      </c>
      <c r="I518">
        <v>0.372645372645372</v>
      </c>
    </row>
    <row r="519" spans="1:9">
      <c r="A519" s="1" t="s">
        <v>531</v>
      </c>
      <c r="B519">
        <f>HYPERLINK("https://www.suredividend.com/sure-analysis-research-database/","Chase Corp.")</f>
        <v>0</v>
      </c>
      <c r="C519">
        <v>-0.0007076027989620001</v>
      </c>
      <c r="D519">
        <v>0.010173263392147</v>
      </c>
      <c r="E519">
        <v>0.149290170901528</v>
      </c>
      <c r="F519">
        <v>0.473452353350336</v>
      </c>
      <c r="G519">
        <v>0.41896546142055</v>
      </c>
      <c r="H519">
        <v>0.291796634010942</v>
      </c>
      <c r="I519">
        <v>0.245238505792171</v>
      </c>
    </row>
    <row r="520" spans="1:9">
      <c r="A520" s="1" t="s">
        <v>532</v>
      </c>
      <c r="B520">
        <f>HYPERLINK("https://www.suredividend.com/sure-analysis-CCI/","Crown Castle Inc")</f>
        <v>0</v>
      </c>
      <c r="C520">
        <v>0.07280325525129201</v>
      </c>
      <c r="D520">
        <v>-0.07343645369794301</v>
      </c>
      <c r="E520">
        <v>-0.152017121343698</v>
      </c>
      <c r="F520">
        <v>-0.250058427021574</v>
      </c>
      <c r="G520">
        <v>-0.201860879155764</v>
      </c>
      <c r="H520">
        <v>-0.4182655666886511</v>
      </c>
      <c r="I520">
        <v>0.07204399391610901</v>
      </c>
    </row>
    <row r="521" spans="1:9">
      <c r="A521" s="1" t="s">
        <v>533</v>
      </c>
      <c r="B521">
        <f>HYPERLINK("https://www.suredividend.com/sure-analysis-research-database/","Crown Holdings, Inc.")</f>
        <v>0</v>
      </c>
      <c r="C521">
        <v>-0.079831932773109</v>
      </c>
      <c r="D521">
        <v>-0.105392156862745</v>
      </c>
      <c r="E521">
        <v>-0.033074508035039</v>
      </c>
      <c r="F521">
        <v>-0.006053469245064001</v>
      </c>
      <c r="G521">
        <v>0.227479916925831</v>
      </c>
      <c r="H521">
        <v>-0.221051133960363</v>
      </c>
      <c r="I521">
        <v>0.8441685537740251</v>
      </c>
    </row>
    <row r="522" spans="1:9">
      <c r="A522" s="1" t="s">
        <v>534</v>
      </c>
      <c r="B522">
        <f>HYPERLINK("https://www.suredividend.com/sure-analysis-research-database/","Carnival Corp.")</f>
        <v>0</v>
      </c>
      <c r="C522">
        <v>-0.127565982404692</v>
      </c>
      <c r="D522">
        <v>-0.32844243792325</v>
      </c>
      <c r="E522">
        <v>0.259259259259259</v>
      </c>
      <c r="F522">
        <v>0.4764267990074441</v>
      </c>
      <c r="G522">
        <v>0.3693901035673181</v>
      </c>
      <c r="H522">
        <v>-0.480576167612396</v>
      </c>
      <c r="I522">
        <v>-0.77847441472568</v>
      </c>
    </row>
    <row r="523" spans="1:9">
      <c r="A523" s="1" t="s">
        <v>535</v>
      </c>
      <c r="B523">
        <f>HYPERLINK("https://www.suredividend.com/sure-analysis-research-database/","CMC Materials Inc")</f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</row>
    <row r="524" spans="1:9">
      <c r="A524" s="1" t="s">
        <v>536</v>
      </c>
      <c r="B524">
        <f>HYPERLINK("https://www.suredividend.com/sure-analysis-research-database/","CNB Financial Corp (PA)")</f>
        <v>0</v>
      </c>
      <c r="C524">
        <v>0.062882582081246</v>
      </c>
      <c r="D524">
        <v>-0.010788106669152</v>
      </c>
      <c r="E524">
        <v>0.121497522136364</v>
      </c>
      <c r="F524">
        <v>-0.158957106812447</v>
      </c>
      <c r="G524">
        <v>-0.188918331295012</v>
      </c>
      <c r="H524">
        <v>-0.198159545259905</v>
      </c>
      <c r="I524">
        <v>-0.118536123866442</v>
      </c>
    </row>
    <row r="525" spans="1:9">
      <c r="A525" s="1" t="s">
        <v>537</v>
      </c>
      <c r="B525">
        <f>HYPERLINK("https://www.suredividend.com/sure-analysis-research-database/","Clear Channel Outdoor Holdings Inc.")</f>
        <v>0</v>
      </c>
      <c r="C525">
        <v>-0.251748251748251</v>
      </c>
      <c r="D525">
        <v>-0.3668639053254431</v>
      </c>
      <c r="E525">
        <v>-0.176923076923076</v>
      </c>
      <c r="F525">
        <v>0.019047619047618</v>
      </c>
      <c r="G525">
        <v>-0.183206106870228</v>
      </c>
      <c r="H525">
        <v>-0.646864686468646</v>
      </c>
      <c r="I525">
        <v>-0.759550561797752</v>
      </c>
    </row>
    <row r="526" spans="1:9">
      <c r="A526" s="1" t="s">
        <v>538</v>
      </c>
      <c r="B526">
        <f>HYPERLINK("https://www.suredividend.com/sure-analysis-CCOI/","Cogent Communications Holdings Inc")</f>
        <v>0</v>
      </c>
      <c r="C526">
        <v>0.102913929594071</v>
      </c>
      <c r="D526">
        <v>0.123988959228793</v>
      </c>
      <c r="E526">
        <v>0.002908557346366</v>
      </c>
      <c r="F526">
        <v>0.215072240015735</v>
      </c>
      <c r="G526">
        <v>0.336427444521321</v>
      </c>
      <c r="H526">
        <v>-0.02925719199152</v>
      </c>
      <c r="I526">
        <v>0.692405112366084</v>
      </c>
    </row>
    <row r="527" spans="1:9">
      <c r="A527" s="1" t="s">
        <v>539</v>
      </c>
      <c r="B527">
        <f>HYPERLINK("https://www.suredividend.com/sure-analysis-research-database/","Cross Country Healthcares, Inc.")</f>
        <v>0</v>
      </c>
      <c r="C527">
        <v>-0.206772908366533</v>
      </c>
      <c r="D527">
        <v>-0.248679245283018</v>
      </c>
      <c r="E527">
        <v>-0.068755846585593</v>
      </c>
      <c r="F527">
        <v>-0.250658637561159</v>
      </c>
      <c r="G527">
        <v>-0.432278300541773</v>
      </c>
      <c r="H527">
        <v>-0.06525821596244101</v>
      </c>
      <c r="I527">
        <v>1.091386554621848</v>
      </c>
    </row>
    <row r="528" spans="1:9">
      <c r="A528" s="1" t="s">
        <v>540</v>
      </c>
      <c r="B528">
        <f>HYPERLINK("https://www.suredividend.com/sure-analysis-research-database/","Century Communities Inc")</f>
        <v>0</v>
      </c>
      <c r="C528">
        <v>0.010320230687509</v>
      </c>
      <c r="D528">
        <v>-0.128814300165809</v>
      </c>
      <c r="E528">
        <v>0.020162655947577</v>
      </c>
      <c r="F528">
        <v>0.345375763430515</v>
      </c>
      <c r="G528">
        <v>0.5913692660385971</v>
      </c>
      <c r="H528">
        <v>0.02785729505387</v>
      </c>
      <c r="I528">
        <v>2.220593998093864</v>
      </c>
    </row>
    <row r="529" spans="1:9">
      <c r="A529" s="1" t="s">
        <v>541</v>
      </c>
      <c r="B529">
        <f>HYPERLINK("https://www.suredividend.com/sure-analysis-research-database/","ChemoCentryx Inc")</f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</row>
    <row r="530" spans="1:9">
      <c r="A530" s="1" t="s">
        <v>542</v>
      </c>
      <c r="B530">
        <f>HYPERLINK("https://www.suredividend.com/sure-analysis-research-database/","Ceridian HCM Holding Inc.")</f>
        <v>0</v>
      </c>
      <c r="C530">
        <v>-0.012512880906816</v>
      </c>
      <c r="D530">
        <v>0.001194029850746</v>
      </c>
      <c r="E530">
        <v>0.057043807122596</v>
      </c>
      <c r="F530">
        <v>0.045674201091192</v>
      </c>
      <c r="G530">
        <v>0.082808716707021</v>
      </c>
      <c r="H530">
        <v>-0.485267034990791</v>
      </c>
      <c r="I530">
        <v>0.7652631578947361</v>
      </c>
    </row>
    <row r="531" spans="1:9">
      <c r="A531" s="1" t="s">
        <v>543</v>
      </c>
      <c r="B531">
        <f>HYPERLINK("https://www.suredividend.com/sure-analysis-research-database/","Coeur Mining Inc")</f>
        <v>0</v>
      </c>
      <c r="C531">
        <v>0.169902912621359</v>
      </c>
      <c r="D531">
        <v>-0.136200716845878</v>
      </c>
      <c r="E531">
        <v>-0.289085545722713</v>
      </c>
      <c r="F531">
        <v>-0.282738095238095</v>
      </c>
      <c r="G531">
        <v>-0.330555555555555</v>
      </c>
      <c r="H531">
        <v>-0.640834575260804</v>
      </c>
      <c r="I531">
        <v>-0.532945736434108</v>
      </c>
    </row>
    <row r="532" spans="1:9">
      <c r="A532" s="1" t="s">
        <v>544</v>
      </c>
      <c r="B532">
        <f>HYPERLINK("https://www.suredividend.com/sure-analysis-research-database/","CDK Global Inc")</f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</row>
    <row r="533" spans="1:9">
      <c r="A533" s="1" t="s">
        <v>545</v>
      </c>
      <c r="B533">
        <f>HYPERLINK("https://www.suredividend.com/sure-analysis-research-database/","Cardlytics Inc")</f>
        <v>0</v>
      </c>
      <c r="C533">
        <v>-0.004518072289156</v>
      </c>
      <c r="D533">
        <v>-0.02074074074074</v>
      </c>
      <c r="E533">
        <v>0.6024242424242421</v>
      </c>
      <c r="F533">
        <v>1.28719723183391</v>
      </c>
      <c r="G533">
        <v>1.931263858093126</v>
      </c>
      <c r="H533">
        <v>-0.8341903925749401</v>
      </c>
      <c r="I533">
        <v>-0.377882352941176</v>
      </c>
    </row>
    <row r="534" spans="1:9">
      <c r="A534" s="1" t="s">
        <v>546</v>
      </c>
      <c r="B534">
        <f>HYPERLINK("https://www.suredividend.com/sure-analysis-research-database/","Avid Bioservices Inc")</f>
        <v>0</v>
      </c>
      <c r="C534">
        <v>-0.331882480957562</v>
      </c>
      <c r="D534">
        <v>-0.483164983164983</v>
      </c>
      <c r="E534">
        <v>-0.65093803297328</v>
      </c>
      <c r="F534">
        <v>-0.554103122730573</v>
      </c>
      <c r="G534">
        <v>-0.596848325673013</v>
      </c>
      <c r="H534">
        <v>-0.8121175030599751</v>
      </c>
      <c r="I534">
        <v>0.178502879078694</v>
      </c>
    </row>
    <row r="535" spans="1:9">
      <c r="A535" s="1" t="s">
        <v>547</v>
      </c>
      <c r="B535">
        <f>HYPERLINK("https://www.suredividend.com/sure-analysis-research-database/","Caredx Inc")</f>
        <v>0</v>
      </c>
      <c r="C535">
        <v>-0.132653061224489</v>
      </c>
      <c r="D535">
        <v>-0.4715808170515091</v>
      </c>
      <c r="E535">
        <v>-0.247787610619468</v>
      </c>
      <c r="F535">
        <v>-0.478527607361963</v>
      </c>
      <c r="G535">
        <v>-0.6899426784783741</v>
      </c>
      <c r="H535">
        <v>-0.8791878172588831</v>
      </c>
      <c r="I535">
        <v>-0.7832422586520941</v>
      </c>
    </row>
    <row r="536" spans="1:9">
      <c r="A536" s="1" t="s">
        <v>548</v>
      </c>
      <c r="B536">
        <f>HYPERLINK("https://www.suredividend.com/sure-analysis-research-database/","Cadence Design Systems, Inc.")</f>
        <v>0</v>
      </c>
      <c r="C536">
        <v>0.033785783754069</v>
      </c>
      <c r="D536">
        <v>0.068811751333391</v>
      </c>
      <c r="E536">
        <v>0.16992869789922</v>
      </c>
      <c r="F536">
        <v>0.521912350597609</v>
      </c>
      <c r="G536">
        <v>0.6850230891170991</v>
      </c>
      <c r="H536">
        <v>0.392651666191967</v>
      </c>
      <c r="I536">
        <v>4.41483942414175</v>
      </c>
    </row>
    <row r="537" spans="1:9">
      <c r="A537" s="1" t="s">
        <v>549</v>
      </c>
      <c r="B537">
        <f>HYPERLINK("https://www.suredividend.com/sure-analysis-research-database/","Cedar Realty Trust Inc")</f>
        <v>0</v>
      </c>
      <c r="C537">
        <v>-0.001377410468319</v>
      </c>
      <c r="D537">
        <v>0.101823708206686</v>
      </c>
      <c r="E537">
        <v>0.215423302598491</v>
      </c>
      <c r="F537">
        <v>0.158327375270109</v>
      </c>
      <c r="G537">
        <v>0.681305620778618</v>
      </c>
      <c r="H537">
        <v>33.70975463794135</v>
      </c>
      <c r="I537">
        <v>6.178040147521101</v>
      </c>
    </row>
    <row r="538" spans="1:9">
      <c r="A538" s="1" t="s">
        <v>550</v>
      </c>
      <c r="B538">
        <f>HYPERLINK("https://www.suredividend.com/sure-analysis-research-database/","Cidara Therapeutics Inc")</f>
        <v>0</v>
      </c>
      <c r="C538">
        <v>-0.06010869565217301</v>
      </c>
      <c r="D538">
        <v>-0.168557692307692</v>
      </c>
      <c r="E538">
        <v>-0.152254901960784</v>
      </c>
      <c r="F538">
        <v>0.143329366653444</v>
      </c>
      <c r="G538">
        <v>0.488039924281535</v>
      </c>
      <c r="H538">
        <v>-0.469509202453987</v>
      </c>
      <c r="I538">
        <v>-0.7955791962174941</v>
      </c>
    </row>
    <row r="539" spans="1:9">
      <c r="A539" s="1" t="s">
        <v>551</v>
      </c>
      <c r="B539">
        <f>HYPERLINK("https://www.suredividend.com/sure-analysis-research-database/","CDW Corp")</f>
        <v>0</v>
      </c>
      <c r="C539">
        <v>0.028311274753706</v>
      </c>
      <c r="D539">
        <v>0.05515800566100101</v>
      </c>
      <c r="E539">
        <v>0.246960582602767</v>
      </c>
      <c r="F539">
        <v>0.175506331705852</v>
      </c>
      <c r="G539">
        <v>0.221467616953145</v>
      </c>
      <c r="H539">
        <v>0.125626618969915</v>
      </c>
      <c r="I539">
        <v>1.503719174464414</v>
      </c>
    </row>
    <row r="540" spans="1:9">
      <c r="A540" s="1" t="s">
        <v>552</v>
      </c>
      <c r="B540">
        <f>HYPERLINK("https://www.suredividend.com/sure-analysis-research-database/","Chromadex Corp")</f>
        <v>0</v>
      </c>
      <c r="C540">
        <v>-0.034246575342465</v>
      </c>
      <c r="D540">
        <v>-0.165680473372781</v>
      </c>
      <c r="E540">
        <v>0.021739130434782</v>
      </c>
      <c r="F540">
        <v>-0.160714285714285</v>
      </c>
      <c r="G540">
        <v>-0.155688622754491</v>
      </c>
      <c r="H540">
        <v>-0.780031201248049</v>
      </c>
      <c r="I540">
        <v>-0.624</v>
      </c>
    </row>
    <row r="541" spans="1:9">
      <c r="A541" s="1" t="s">
        <v>553</v>
      </c>
      <c r="B541">
        <f>HYPERLINK("https://www.suredividend.com/sure-analysis-research-database/","Codexis Inc.")</f>
        <v>0</v>
      </c>
      <c r="C541">
        <v>-0.09090909090909001</v>
      </c>
      <c r="D541">
        <v>-0.439252336448598</v>
      </c>
      <c r="E541">
        <v>-0.5408163265306121</v>
      </c>
      <c r="F541">
        <v>-0.613733905579399</v>
      </c>
      <c r="G541">
        <v>-0.68695652173913</v>
      </c>
      <c r="H541">
        <v>-0.946571682991985</v>
      </c>
      <c r="I541">
        <v>-0.8881292728402731</v>
      </c>
    </row>
    <row r="542" spans="1:9">
      <c r="A542" s="1" t="s">
        <v>554</v>
      </c>
      <c r="B542">
        <f>HYPERLINK("https://www.suredividend.com/sure-analysis-research-database/","Cadiz Inc.")</f>
        <v>0</v>
      </c>
      <c r="C542">
        <v>0.031847133757961</v>
      </c>
      <c r="D542">
        <v>-0.18796992481203</v>
      </c>
      <c r="E542">
        <v>-0.185929648241205</v>
      </c>
      <c r="F542">
        <v>0.296</v>
      </c>
      <c r="G542">
        <v>0.6530612244897961</v>
      </c>
      <c r="H542">
        <v>-0.4626865671641791</v>
      </c>
      <c r="I542">
        <v>-0.705454545454545</v>
      </c>
    </row>
    <row r="543" spans="1:9">
      <c r="A543" s="1" t="s">
        <v>555</v>
      </c>
      <c r="B543">
        <f>HYPERLINK("https://www.suredividend.com/sure-analysis-CE/","Celanese Corp")</f>
        <v>0</v>
      </c>
      <c r="C543">
        <v>-0.04227354994398001</v>
      </c>
      <c r="D543">
        <v>-0.058634747512594</v>
      </c>
      <c r="E543">
        <v>0.145920712638344</v>
      </c>
      <c r="F543">
        <v>0.158047362002779</v>
      </c>
      <c r="G543">
        <v>0.259560870238092</v>
      </c>
      <c r="H543">
        <v>-0.271020067290455</v>
      </c>
      <c r="I543">
        <v>0.273035700516616</v>
      </c>
    </row>
    <row r="544" spans="1:9">
      <c r="A544" s="1" t="s">
        <v>556</v>
      </c>
      <c r="B544">
        <f>HYPERLINK("https://www.suredividend.com/sure-analysis-research-database/","Ceco Environmental Corp.")</f>
        <v>0</v>
      </c>
      <c r="C544">
        <v>-0.005667506297229</v>
      </c>
      <c r="D544">
        <v>0.340407470288624</v>
      </c>
      <c r="E544">
        <v>0.3518835616438351</v>
      </c>
      <c r="F544">
        <v>0.3518835616438351</v>
      </c>
      <c r="G544">
        <v>0.354202401372212</v>
      </c>
      <c r="H544">
        <v>1.154160982264665</v>
      </c>
      <c r="I544">
        <v>1.074901445466491</v>
      </c>
    </row>
    <row r="545" spans="1:9">
      <c r="A545" s="1" t="s">
        <v>557</v>
      </c>
      <c r="B545">
        <f>HYPERLINK("https://www.suredividend.com/sure-analysis-research-database/","Camber Energy Inc")</f>
        <v>0</v>
      </c>
      <c r="C545">
        <v>0.547186932849364</v>
      </c>
      <c r="D545">
        <v>-0.6555207596726941</v>
      </c>
      <c r="E545">
        <v>-0.7356589147286821</v>
      </c>
      <c r="F545">
        <v>-0.831188118811881</v>
      </c>
      <c r="G545">
        <v>-0.94887556221889</v>
      </c>
      <c r="H545">
        <v>-0.994455284552845</v>
      </c>
      <c r="I545">
        <v>-0.9999988750515461</v>
      </c>
    </row>
    <row r="546" spans="1:9">
      <c r="A546" s="1" t="s">
        <v>558</v>
      </c>
      <c r="B546">
        <f>HYPERLINK("https://www.suredividend.com/sure-analysis-research-database/","Consol Energy Inc")</f>
        <v>0</v>
      </c>
      <c r="C546">
        <v>-0.027606752730883</v>
      </c>
      <c r="D546">
        <v>0.368171021377672</v>
      </c>
      <c r="E546">
        <v>0.560159839905166</v>
      </c>
      <c r="F546">
        <v>0.564839688630142</v>
      </c>
      <c r="G546">
        <v>0.6757654065339791</v>
      </c>
      <c r="H546">
        <v>3.805748051591119</v>
      </c>
      <c r="I546">
        <v>1.796435915010281</v>
      </c>
    </row>
    <row r="547" spans="1:9">
      <c r="A547" s="1" t="s">
        <v>559</v>
      </c>
      <c r="B547">
        <f>HYPERLINK("https://www.suredividend.com/sure-analysis-research-database/","Celcuity Inc")</f>
        <v>0</v>
      </c>
      <c r="C547">
        <v>0.102957283680175</v>
      </c>
      <c r="D547">
        <v>0.012060301507537</v>
      </c>
      <c r="E547">
        <v>0.07013815090329401</v>
      </c>
      <c r="F547">
        <v>-0.281227694503925</v>
      </c>
      <c r="G547">
        <v>-0.011776251226692</v>
      </c>
      <c r="H547">
        <v>-0.4738766980146291</v>
      </c>
      <c r="I547">
        <v>-0.6479020979020981</v>
      </c>
    </row>
    <row r="548" spans="1:9">
      <c r="A548" s="1" t="s">
        <v>560</v>
      </c>
      <c r="B548">
        <f>HYPERLINK("https://www.suredividend.com/sure-analysis-research-database/","Celsius Holdings Inc")</f>
        <v>0</v>
      </c>
      <c r="C548">
        <v>-0.068908045977011</v>
      </c>
      <c r="D548">
        <v>0.162695564805511</v>
      </c>
      <c r="E548">
        <v>0.6280775801426991</v>
      </c>
      <c r="F548">
        <v>0.557189542483659</v>
      </c>
      <c r="G548">
        <v>0.8697057126370451</v>
      </c>
      <c r="H548">
        <v>0.6016806722689071</v>
      </c>
      <c r="I548">
        <v>39.60401002506265</v>
      </c>
    </row>
    <row r="549" spans="1:9">
      <c r="A549" s="1" t="s">
        <v>561</v>
      </c>
      <c r="B549">
        <f>HYPERLINK("https://www.suredividend.com/sure-analysis-research-database/","Chembio Diagnostics Inc.")</f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</row>
    <row r="550" spans="1:9">
      <c r="A550" s="1" t="s">
        <v>562</v>
      </c>
      <c r="B550">
        <f>HYPERLINK("https://www.suredividend.com/sure-analysis-research-database/","Central Garden &amp; Pet Co.")</f>
        <v>0</v>
      </c>
      <c r="C550">
        <v>0.013494967978042</v>
      </c>
      <c r="D550">
        <v>0.101964685401641</v>
      </c>
      <c r="E550">
        <v>0.216305242931649</v>
      </c>
      <c r="F550">
        <v>0.183177570093457</v>
      </c>
      <c r="G550">
        <v>0.07600777076250601</v>
      </c>
      <c r="H550">
        <v>-0.169758291174817</v>
      </c>
      <c r="I550">
        <v>0.365906288532675</v>
      </c>
    </row>
    <row r="551" spans="1:9">
      <c r="A551" s="1" t="s">
        <v>563</v>
      </c>
      <c r="B551">
        <f>HYPERLINK("https://www.suredividend.com/sure-analysis-research-database/","Central Garden &amp; Pet Co.")</f>
        <v>0</v>
      </c>
      <c r="C551">
        <v>0.012367491166077</v>
      </c>
      <c r="D551">
        <v>0.05775316455696201</v>
      </c>
      <c r="E551">
        <v>0.149283667621776</v>
      </c>
      <c r="F551">
        <v>0.120391061452514</v>
      </c>
      <c r="G551">
        <v>0.02609363008442</v>
      </c>
      <c r="H551">
        <v>-0.161930631007104</v>
      </c>
      <c r="I551">
        <v>0.3592002710945441</v>
      </c>
    </row>
    <row r="552" spans="1:9">
      <c r="A552" s="1" t="s">
        <v>564</v>
      </c>
      <c r="B552">
        <f>HYPERLINK("https://www.suredividend.com/sure-analysis-research-database/","Century Aluminum Co.")</f>
        <v>0</v>
      </c>
      <c r="C552">
        <v>-0.020086083213773</v>
      </c>
      <c r="D552">
        <v>-0.218535469107551</v>
      </c>
      <c r="E552">
        <v>-0.175120772946859</v>
      </c>
      <c r="F552">
        <v>-0.165036674816625</v>
      </c>
      <c r="G552">
        <v>0.04274809160305301</v>
      </c>
      <c r="H552">
        <v>-0.48218347232752</v>
      </c>
      <c r="I552">
        <v>-0.298047276464542</v>
      </c>
    </row>
    <row r="553" spans="1:9">
      <c r="A553" s="1" t="s">
        <v>565</v>
      </c>
      <c r="B553">
        <f>HYPERLINK("https://www.suredividend.com/sure-analysis-research-database/","Cerner Corp.")</f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</row>
    <row r="554" spans="1:9">
      <c r="A554" s="1" t="s">
        <v>566</v>
      </c>
      <c r="B554">
        <f>HYPERLINK("https://www.suredividend.com/sure-analysis-research-database/","Cerus Corp.")</f>
        <v>0</v>
      </c>
      <c r="C554">
        <v>0.012738853503184</v>
      </c>
      <c r="D554">
        <v>-0.465546218487394</v>
      </c>
      <c r="E554">
        <v>-0.263888888888888</v>
      </c>
      <c r="F554">
        <v>-0.5643835616438351</v>
      </c>
      <c r="G554">
        <v>-0.5444126074498561</v>
      </c>
      <c r="H554">
        <v>-0.7623318385650221</v>
      </c>
      <c r="I554">
        <v>-0.7503924646781791</v>
      </c>
    </row>
    <row r="555" spans="1:9">
      <c r="A555" s="1" t="s">
        <v>567</v>
      </c>
      <c r="B555">
        <f>HYPERLINK("https://www.suredividend.com/sure-analysis-research-database/","Cemtrex Inc.")</f>
        <v>0</v>
      </c>
      <c r="C555">
        <v>-0.037362637362637</v>
      </c>
      <c r="D555">
        <v>-0.278418451400329</v>
      </c>
      <c r="E555">
        <v>-0.553061224489795</v>
      </c>
      <c r="F555">
        <v>-0.971095309587052</v>
      </c>
      <c r="G555">
        <v>-0.982131383287948</v>
      </c>
      <c r="H555">
        <v>-0.9972912801484231</v>
      </c>
      <c r="I555">
        <v>-0.9995745691171911</v>
      </c>
    </row>
    <row r="556" spans="1:9">
      <c r="A556" s="1" t="s">
        <v>568</v>
      </c>
      <c r="B556">
        <f>HYPERLINK("https://www.suredividend.com/sure-analysis-research-database/","Ceva Inc.")</f>
        <v>0</v>
      </c>
      <c r="C556">
        <v>-0.06464853771164601</v>
      </c>
      <c r="D556">
        <v>-0.299923195084485</v>
      </c>
      <c r="E556">
        <v>-0.282283464566929</v>
      </c>
      <c r="F556">
        <v>-0.287333854573885</v>
      </c>
      <c r="G556">
        <v>-0.3358834244080141</v>
      </c>
      <c r="H556">
        <v>-0.609886582495185</v>
      </c>
      <c r="I556">
        <v>-0.30973116243847</v>
      </c>
    </row>
    <row r="557" spans="1:9">
      <c r="A557" s="1" t="s">
        <v>569</v>
      </c>
      <c r="B557">
        <f>HYPERLINK("https://www.suredividend.com/sure-analysis-CF/","CF Industries Holdings Inc")</f>
        <v>0</v>
      </c>
      <c r="C557">
        <v>-0.04049695376896401</v>
      </c>
      <c r="D557">
        <v>0.0009196697164470001</v>
      </c>
      <c r="E557">
        <v>0.096512783547939</v>
      </c>
      <c r="F557">
        <v>-0.042447291086724</v>
      </c>
      <c r="G557">
        <v>-0.206144473403566</v>
      </c>
      <c r="H557">
        <v>0.476223646412089</v>
      </c>
      <c r="I557">
        <v>0.8339741891879541</v>
      </c>
    </row>
    <row r="558" spans="1:9">
      <c r="A558" s="1" t="s">
        <v>570</v>
      </c>
      <c r="B558">
        <f>HYPERLINK("https://www.suredividend.com/sure-analysis-research-database/","CF Bankshares Inc")</f>
        <v>0</v>
      </c>
      <c r="C558">
        <v>-0.08305537827976901</v>
      </c>
      <c r="D558">
        <v>-0.147610439182193</v>
      </c>
      <c r="E558">
        <v>-0.054882930068324</v>
      </c>
      <c r="F558">
        <v>-0.264145838265634</v>
      </c>
      <c r="G558">
        <v>-0.313117600631412</v>
      </c>
      <c r="H558">
        <v>-0.265019424269478</v>
      </c>
      <c r="I558">
        <v>0.200036245587493</v>
      </c>
    </row>
    <row r="559" spans="1:9">
      <c r="A559" s="1" t="s">
        <v>571</v>
      </c>
      <c r="B559">
        <f>HYPERLINK("https://www.suredividend.com/sure-analysis-CFFI/","C &amp; F Financial Corp")</f>
        <v>0</v>
      </c>
      <c r="C559">
        <v>0.023696682464454</v>
      </c>
      <c r="D559">
        <v>-0.035786601719156</v>
      </c>
      <c r="E559">
        <v>0.114548783181046</v>
      </c>
      <c r="F559">
        <v>-0.034764562989655</v>
      </c>
      <c r="G559">
        <v>0.03722683958902701</v>
      </c>
      <c r="H559">
        <v>0.117912898023571</v>
      </c>
      <c r="I559">
        <v>0.336531107761533</v>
      </c>
    </row>
    <row r="560" spans="1:9">
      <c r="A560" s="1" t="s">
        <v>572</v>
      </c>
      <c r="B560">
        <f>HYPERLINK("https://www.suredividend.com/sure-analysis-research-database/","Capitol Federal Financial")</f>
        <v>0</v>
      </c>
      <c r="C560">
        <v>0.19306099608282</v>
      </c>
      <c r="D560">
        <v>-0.133502406034594</v>
      </c>
      <c r="E560">
        <v>0.01140439097516</v>
      </c>
      <c r="F560">
        <v>-0.329137822529893</v>
      </c>
      <c r="G560">
        <v>-0.232220797741317</v>
      </c>
      <c r="H560">
        <v>-0.46522454549103</v>
      </c>
      <c r="I560">
        <v>-0.367449146709074</v>
      </c>
    </row>
    <row r="561" spans="1:9">
      <c r="A561" s="1" t="s">
        <v>573</v>
      </c>
      <c r="B561">
        <f>HYPERLINK("https://www.suredividend.com/sure-analysis-CFG/","Citizens Financial Group Inc")</f>
        <v>0</v>
      </c>
      <c r="C561">
        <v>-0.021407208573887</v>
      </c>
      <c r="D561">
        <v>-0.18340575551365</v>
      </c>
      <c r="E561">
        <v>-0.04605376578895901</v>
      </c>
      <c r="F561">
        <v>-0.331342578171154</v>
      </c>
      <c r="G561">
        <v>-0.3345537635127011</v>
      </c>
      <c r="H561">
        <v>-0.420358679255824</v>
      </c>
      <c r="I561">
        <v>-0.168033786515464</v>
      </c>
    </row>
    <row r="562" spans="1:9">
      <c r="A562" s="1" t="s">
        <v>574</v>
      </c>
      <c r="B562">
        <f>HYPERLINK("https://www.suredividend.com/sure-analysis-research-database/","Conformis Inc.")</f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</row>
    <row r="563" spans="1:9">
      <c r="A563" s="1" t="s">
        <v>575</v>
      </c>
      <c r="B563">
        <f>HYPERLINK("https://www.suredividend.com/sure-analysis-CFR/","Cullen Frost Bankers Inc.")</f>
        <v>0</v>
      </c>
      <c r="C563">
        <v>0.059394886680808</v>
      </c>
      <c r="D563">
        <v>-0.113107944922778</v>
      </c>
      <c r="E563">
        <v>-0.051913458252819</v>
      </c>
      <c r="F563">
        <v>-0.272674036249024</v>
      </c>
      <c r="G563">
        <v>-0.371706740860316</v>
      </c>
      <c r="H563">
        <v>-0.265008307288338</v>
      </c>
      <c r="I563">
        <v>0.09794619612380601</v>
      </c>
    </row>
    <row r="564" spans="1:9">
      <c r="A564" s="1" t="s">
        <v>576</v>
      </c>
      <c r="B564">
        <f>HYPERLINK("https://www.suredividend.com/sure-analysis-research-database/","Cancer Genetics Inc.")</f>
        <v>0</v>
      </c>
      <c r="C564">
        <v>-0.291858678955453</v>
      </c>
      <c r="D564">
        <v>0.6405693950177931</v>
      </c>
      <c r="E564">
        <v>0.092417061611374</v>
      </c>
      <c r="F564">
        <v>0.664259927797834</v>
      </c>
      <c r="G564">
        <v>0.7011070110701101</v>
      </c>
      <c r="H564">
        <v>-0.35998889351659</v>
      </c>
      <c r="I564">
        <v>-0.943086419753086</v>
      </c>
    </row>
    <row r="565" spans="1:9">
      <c r="A565" s="1" t="s">
        <v>577</v>
      </c>
      <c r="B565">
        <f>HYPERLINK("https://www.suredividend.com/sure-analysis-research-database/","Cognex Corp.")</f>
        <v>0</v>
      </c>
      <c r="C565">
        <v>-0.165758939142789</v>
      </c>
      <c r="D565">
        <v>-0.308461774012452</v>
      </c>
      <c r="E565">
        <v>-0.239728348011489</v>
      </c>
      <c r="F565">
        <v>-0.248963407484784</v>
      </c>
      <c r="G565">
        <v>-0.170820800323857</v>
      </c>
      <c r="H565">
        <v>-0.612007823719614</v>
      </c>
      <c r="I565">
        <v>-0.206084507042253</v>
      </c>
    </row>
    <row r="566" spans="1:9">
      <c r="A566" s="1" t="s">
        <v>578</v>
      </c>
      <c r="B566">
        <f>HYPERLINK("https://www.suredividend.com/sure-analysis-research-database/","Comstock Holding Co. Inc")</f>
        <v>0</v>
      </c>
      <c r="C566">
        <v>-0.07291666666666601</v>
      </c>
      <c r="D566">
        <v>-0.051172707889125</v>
      </c>
      <c r="E566">
        <v>0.013667425968109</v>
      </c>
      <c r="F566">
        <v>0.047058823529411</v>
      </c>
      <c r="G566">
        <v>0.141025641025641</v>
      </c>
      <c r="H566">
        <v>0.03368176538908201</v>
      </c>
      <c r="I566">
        <v>1.070634218975385</v>
      </c>
    </row>
    <row r="567" spans="1:9">
      <c r="A567" s="1" t="s">
        <v>579</v>
      </c>
      <c r="B567">
        <f>HYPERLINK("https://www.suredividend.com/sure-analysis-CHCO/","City Holding Co.")</f>
        <v>0</v>
      </c>
      <c r="C567">
        <v>0.06593336260261501</v>
      </c>
      <c r="D567">
        <v>-0.0195886052091</v>
      </c>
      <c r="E567">
        <v>0.089173889198671</v>
      </c>
      <c r="F567">
        <v>0.07351660654310201</v>
      </c>
      <c r="G567">
        <v>0.01713584061836</v>
      </c>
      <c r="H567">
        <v>0.28397780191332</v>
      </c>
      <c r="I567">
        <v>0.5127033297639081</v>
      </c>
    </row>
    <row r="568" spans="1:9">
      <c r="A568" s="1" t="s">
        <v>580</v>
      </c>
      <c r="B568">
        <f>HYPERLINK("https://www.suredividend.com/sure-analysis-CHCT/","Community Healthcare Trust Inc")</f>
        <v>0</v>
      </c>
      <c r="C568">
        <v>-0.049586776859504</v>
      </c>
      <c r="D568">
        <v>-0.227745211880412</v>
      </c>
      <c r="E568">
        <v>-0.215128679084316</v>
      </c>
      <c r="F568">
        <v>-0.200537609491588</v>
      </c>
      <c r="G568">
        <v>-0.169862395668847</v>
      </c>
      <c r="H568">
        <v>-0.376262728986155</v>
      </c>
      <c r="I568">
        <v>0.177715573154912</v>
      </c>
    </row>
    <row r="569" spans="1:9">
      <c r="A569" s="1" t="s">
        <v>581</v>
      </c>
      <c r="B569">
        <f>HYPERLINK("https://www.suredividend.com/sure-analysis-CHD/","Church &amp; Dwight Co., Inc.")</f>
        <v>0</v>
      </c>
      <c r="C569">
        <v>0.003382433169667</v>
      </c>
      <c r="D569">
        <v>-0.047098967621467</v>
      </c>
      <c r="E569">
        <v>-0.046760166267583</v>
      </c>
      <c r="F569">
        <v>0.151053922795774</v>
      </c>
      <c r="G569">
        <v>0.28487256763535</v>
      </c>
      <c r="H569">
        <v>0.057160954939606</v>
      </c>
      <c r="I569">
        <v>0.4788821863526641</v>
      </c>
    </row>
    <row r="570" spans="1:9">
      <c r="A570" s="1" t="s">
        <v>582</v>
      </c>
      <c r="B570">
        <f>HYPERLINK("https://www.suredividend.com/sure-analysis-research-database/","Churchill Downs, Inc.")</f>
        <v>0</v>
      </c>
      <c r="C570">
        <v>-0.002614834829599</v>
      </c>
      <c r="D570">
        <v>-0.029267051238547</v>
      </c>
      <c r="E570">
        <v>-0.23144603398482</v>
      </c>
      <c r="F570">
        <v>0.082438632171404</v>
      </c>
      <c r="G570">
        <v>0.128692440926863</v>
      </c>
      <c r="H570">
        <v>-0.014992463741169</v>
      </c>
      <c r="I570">
        <v>1.523369226053572</v>
      </c>
    </row>
    <row r="571" spans="1:9">
      <c r="A571" s="1" t="s">
        <v>583</v>
      </c>
      <c r="B571">
        <f>HYPERLINK("https://www.suredividend.com/sure-analysis-CHE/","Chemed Corp.")</f>
        <v>0</v>
      </c>
      <c r="C571">
        <v>0.122403100775193</v>
      </c>
      <c r="D571">
        <v>0.108096628413773</v>
      </c>
      <c r="E571">
        <v>0.05783537176750701</v>
      </c>
      <c r="F571">
        <v>0.137184516022116</v>
      </c>
      <c r="G571">
        <v>0.19174756582329</v>
      </c>
      <c r="H571">
        <v>0.210840952833734</v>
      </c>
      <c r="I571">
        <v>0.9175070686469911</v>
      </c>
    </row>
    <row r="572" spans="1:9">
      <c r="A572" s="1" t="s">
        <v>584</v>
      </c>
      <c r="B572">
        <f>HYPERLINK("https://www.suredividend.com/sure-analysis-research-database/","Chefs` Warehouse Inc")</f>
        <v>0</v>
      </c>
      <c r="C572">
        <v>0.143132530120481</v>
      </c>
      <c r="D572">
        <v>-0.249604555520404</v>
      </c>
      <c r="E572">
        <v>-0.271274961597542</v>
      </c>
      <c r="F572">
        <v>-0.287259615384615</v>
      </c>
      <c r="G572">
        <v>-0.3583987016499861</v>
      </c>
      <c r="H572">
        <v>-0.323059360730593</v>
      </c>
      <c r="I572">
        <v>-0.322285714285714</v>
      </c>
    </row>
    <row r="573" spans="1:9">
      <c r="A573" s="1" t="s">
        <v>585</v>
      </c>
      <c r="B573">
        <f>HYPERLINK("https://www.suredividend.com/sure-analysis-research-database/","Chegg Inc")</f>
        <v>0</v>
      </c>
      <c r="C573">
        <v>-0.08685714285714201</v>
      </c>
      <c r="D573">
        <v>-0.213582677165354</v>
      </c>
      <c r="E573">
        <v>-0.120044052863436</v>
      </c>
      <c r="F573">
        <v>-0.6838148001582901</v>
      </c>
      <c r="G573">
        <v>-0.689708737864077</v>
      </c>
      <c r="H573">
        <v>-0.7512453300124531</v>
      </c>
      <c r="I573">
        <v>-0.7009730538922151</v>
      </c>
    </row>
    <row r="574" spans="1:9">
      <c r="A574" s="1" t="s">
        <v>586</v>
      </c>
      <c r="B574">
        <f>HYPERLINK("https://www.suredividend.com/sure-analysis-research-database/","Choice Hotels International, Inc.")</f>
        <v>0</v>
      </c>
      <c r="C574">
        <v>-0.073411881024965</v>
      </c>
      <c r="D574">
        <v>-0.129150685737693</v>
      </c>
      <c r="E574">
        <v>-0.119806773871895</v>
      </c>
      <c r="F574">
        <v>0.005691106349643001</v>
      </c>
      <c r="G574">
        <v>-0.104435298914428</v>
      </c>
      <c r="H574">
        <v>-0.187603256232938</v>
      </c>
      <c r="I574">
        <v>0.535495533873473</v>
      </c>
    </row>
    <row r="575" spans="1:9">
      <c r="A575" s="1" t="s">
        <v>587</v>
      </c>
      <c r="B575">
        <f>HYPERLINK("https://www.suredividend.com/sure-analysis-research-database/","Chesapeake Energy Corp.")</f>
        <v>0</v>
      </c>
      <c r="C575">
        <v>0.06049736967957901</v>
      </c>
      <c r="D575">
        <v>0.08279539439632001</v>
      </c>
      <c r="E575">
        <v>0.131598385909495</v>
      </c>
      <c r="F575">
        <v>-0.033077049696787</v>
      </c>
      <c r="G575">
        <v>-0.09767307484939101</v>
      </c>
      <c r="H575">
        <v>0.467066264422568</v>
      </c>
      <c r="I575">
        <v>1.160342732163776</v>
      </c>
    </row>
    <row r="576" spans="1:9">
      <c r="A576" s="1" t="s">
        <v>588</v>
      </c>
      <c r="B576">
        <f>HYPERLINK("https://www.suredividend.com/sure-analysis-research-database/","Chiasma Inc")</f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</row>
    <row r="577" spans="1:9">
      <c r="A577" s="1" t="s">
        <v>589</v>
      </c>
      <c r="B577">
        <f>HYPERLINK("https://www.suredividend.com/sure-analysis-research-database/","Chemung Financial Corp.")</f>
        <v>0</v>
      </c>
      <c r="C577">
        <v>0.06791214339813101</v>
      </c>
      <c r="D577">
        <v>0.008687109074130001</v>
      </c>
      <c r="E577">
        <v>0.210158464958331</v>
      </c>
      <c r="F577">
        <v>-0.040779349770852</v>
      </c>
      <c r="G577">
        <v>-0.001114595534061</v>
      </c>
      <c r="H577">
        <v>-0.035418167887406</v>
      </c>
      <c r="I577">
        <v>0.180677089002955</v>
      </c>
    </row>
    <row r="578" spans="1:9">
      <c r="A578" s="1" t="s">
        <v>590</v>
      </c>
      <c r="B578">
        <f>HYPERLINK("https://www.suredividend.com/sure-analysis-research-database/","Cherry Hill Mortgage Investment Corporation")</f>
        <v>0</v>
      </c>
      <c r="C578">
        <v>-0.09659090909090901</v>
      </c>
      <c r="D578">
        <v>-0.216227540482586</v>
      </c>
      <c r="E578">
        <v>-0.350583045724671</v>
      </c>
      <c r="F578">
        <v>-0.383577576180507</v>
      </c>
      <c r="G578">
        <v>-0.318707687034021</v>
      </c>
      <c r="H578">
        <v>-0.520730659673554</v>
      </c>
      <c r="I578">
        <v>-0.658318022112626</v>
      </c>
    </row>
    <row r="579" spans="1:9">
      <c r="A579" s="1" t="s">
        <v>591</v>
      </c>
      <c r="B579">
        <f>HYPERLINK("https://www.suredividend.com/sure-analysis-research-database/","Coherus Biosciences Inc")</f>
        <v>0</v>
      </c>
      <c r="C579">
        <v>-0.077777777777777</v>
      </c>
      <c r="D579">
        <v>-0.235023041474654</v>
      </c>
      <c r="E579">
        <v>-0.536959553695955</v>
      </c>
      <c r="F579">
        <v>-0.58080808080808</v>
      </c>
      <c r="G579">
        <v>-0.610785463071512</v>
      </c>
      <c r="H579">
        <v>-0.8060747663551401</v>
      </c>
      <c r="I579">
        <v>-0.730081300813008</v>
      </c>
    </row>
    <row r="580" spans="1:9">
      <c r="A580" s="1" t="s">
        <v>592</v>
      </c>
      <c r="B580">
        <f>HYPERLINK("https://www.suredividend.com/sure-analysis-CHRW/","C.H. Robinson Worldwide, Inc.")</f>
        <v>0</v>
      </c>
      <c r="C580">
        <v>-0.049270286047869</v>
      </c>
      <c r="D580">
        <v>-0.153425181624242</v>
      </c>
      <c r="E580">
        <v>-0.199573787540559</v>
      </c>
      <c r="F580">
        <v>-0.08168834918171701</v>
      </c>
      <c r="G580">
        <v>-0.040540492773124</v>
      </c>
      <c r="H580">
        <v>-0.081926477452348</v>
      </c>
      <c r="I580">
        <v>0.05070561017183101</v>
      </c>
    </row>
    <row r="581" spans="1:9">
      <c r="A581" s="1" t="s">
        <v>593</v>
      </c>
      <c r="B581">
        <f>HYPERLINK("https://www.suredividend.com/sure-analysis-research-database/","Chico`s Fas, Inc.")</f>
        <v>0</v>
      </c>
      <c r="C581">
        <v>0.006693440428380001</v>
      </c>
      <c r="D581">
        <v>0.253333333333333</v>
      </c>
      <c r="E581">
        <v>0.457364341085271</v>
      </c>
      <c r="F581">
        <v>0.5284552845528451</v>
      </c>
      <c r="G581">
        <v>0.333333333333333</v>
      </c>
      <c r="H581">
        <v>0.314685314685314</v>
      </c>
      <c r="I581">
        <v>0.110225293058139</v>
      </c>
    </row>
    <row r="582" spans="1:9">
      <c r="A582" s="1" t="s">
        <v>594</v>
      </c>
      <c r="B582">
        <f>HYPERLINK("https://www.suredividend.com/sure-analysis-research-database/","Charter Communications Inc.")</f>
        <v>0</v>
      </c>
      <c r="C582">
        <v>-0.059019384264538</v>
      </c>
      <c r="D582">
        <v>-0.015391223423294</v>
      </c>
      <c r="E582">
        <v>0.155054166783304</v>
      </c>
      <c r="F582">
        <v>0.216809200825714</v>
      </c>
      <c r="G582">
        <v>0.188267649642183</v>
      </c>
      <c r="H582">
        <v>-0.394541452677916</v>
      </c>
      <c r="I582">
        <v>0.298077830559662</v>
      </c>
    </row>
    <row r="583" spans="1:9">
      <c r="A583" s="1" t="s">
        <v>595</v>
      </c>
      <c r="B583">
        <f>HYPERLINK("https://www.suredividend.com/sure-analysis-research-database/","Chuy`s Holdings Inc")</f>
        <v>0</v>
      </c>
      <c r="C583">
        <v>-0.056082589285714</v>
      </c>
      <c r="D583">
        <v>-0.163658838071693</v>
      </c>
      <c r="E583">
        <v>-0.031491554537646</v>
      </c>
      <c r="F583">
        <v>0.195406360424028</v>
      </c>
      <c r="G583">
        <v>0.187017543859649</v>
      </c>
      <c r="H583">
        <v>0.156976744186046</v>
      </c>
      <c r="I583">
        <v>0.348883572567783</v>
      </c>
    </row>
    <row r="584" spans="1:9">
      <c r="A584" s="1" t="s">
        <v>596</v>
      </c>
      <c r="B584">
        <f>HYPERLINK("https://www.suredividend.com/sure-analysis-CI/","Cigna Group (The)")</f>
        <v>0</v>
      </c>
      <c r="C584">
        <v>0.10902830910482</v>
      </c>
      <c r="D584">
        <v>0.06985331243883501</v>
      </c>
      <c r="E584">
        <v>0.285123374100707</v>
      </c>
      <c r="F584">
        <v>-0.024570938460089</v>
      </c>
      <c r="G584">
        <v>0.010748693814366</v>
      </c>
      <c r="H584">
        <v>0.537856125648087</v>
      </c>
      <c r="I584">
        <v>0.569967920251596</v>
      </c>
    </row>
    <row r="585" spans="1:9">
      <c r="A585" s="1" t="s">
        <v>597</v>
      </c>
      <c r="B585">
        <f>HYPERLINK("https://www.suredividend.com/sure-analysis-research-database/","Citizens, Inc.")</f>
        <v>0</v>
      </c>
      <c r="C585">
        <v>0.054982817869415</v>
      </c>
      <c r="D585">
        <v>0.171755725190839</v>
      </c>
      <c r="E585">
        <v>0.6417112299465241</v>
      </c>
      <c r="F585">
        <v>0.44131455399061</v>
      </c>
      <c r="G585">
        <v>0.145522388059701</v>
      </c>
      <c r="H585">
        <v>-0.524031007751938</v>
      </c>
      <c r="I585">
        <v>-0.607416879795396</v>
      </c>
    </row>
    <row r="586" spans="1:9">
      <c r="A586" s="1" t="s">
        <v>598</v>
      </c>
      <c r="B586">
        <f>HYPERLINK("https://www.suredividend.com/sure-analysis-research-database/","CIENA Corp.")</f>
        <v>0</v>
      </c>
      <c r="C586">
        <v>-0.09202714164546201</v>
      </c>
      <c r="D586">
        <v>0.02391200382592</v>
      </c>
      <c r="E586">
        <v>-0.04205816554809801</v>
      </c>
      <c r="F586">
        <v>-0.160062769713613</v>
      </c>
      <c r="G586">
        <v>-0.07436230004323301</v>
      </c>
      <c r="H586">
        <v>-0.276200135226504</v>
      </c>
      <c r="I586">
        <v>0.3372891942535911</v>
      </c>
    </row>
    <row r="587" spans="1:9">
      <c r="A587" s="1" t="s">
        <v>599</v>
      </c>
      <c r="B587">
        <f>HYPERLINK("https://www.suredividend.com/sure-analysis-CIM/","Chimera Investment Corp")</f>
        <v>0</v>
      </c>
      <c r="C587">
        <v>-0.08206106870229</v>
      </c>
      <c r="D587">
        <v>-0.198092761161681</v>
      </c>
      <c r="E587">
        <v>-0.019347998939835</v>
      </c>
      <c r="F587">
        <v>-0.028341716663636</v>
      </c>
      <c r="G587">
        <v>-0.143762460837368</v>
      </c>
      <c r="H587">
        <v>-0.592082499406357</v>
      </c>
      <c r="I587">
        <v>-0.527463135247713</v>
      </c>
    </row>
    <row r="588" spans="1:9">
      <c r="A588" s="1" t="s">
        <v>600</v>
      </c>
      <c r="B588">
        <f>HYPERLINK("https://www.suredividend.com/sure-analysis-CINF/","Cincinnati Financial Corp.")</f>
        <v>0</v>
      </c>
      <c r="C588">
        <v>-0.001698980611632</v>
      </c>
      <c r="D588">
        <v>-0.07408094028660901</v>
      </c>
      <c r="E588">
        <v>-0.007878176299521001</v>
      </c>
      <c r="F588">
        <v>0.011289305278972</v>
      </c>
      <c r="G588">
        <v>0.05221244810830301</v>
      </c>
      <c r="H588">
        <v>-0.136478571891681</v>
      </c>
      <c r="I588">
        <v>0.4783712903817801</v>
      </c>
    </row>
    <row r="589" spans="1:9">
      <c r="A589" s="1" t="s">
        <v>601</v>
      </c>
      <c r="B589">
        <f>HYPERLINK("https://www.suredividend.com/sure-analysis-CIO/","City Office REIT Inc")</f>
        <v>0</v>
      </c>
      <c r="C589">
        <v>-0.000685803860095</v>
      </c>
      <c r="D589">
        <v>-0.21589729792059</v>
      </c>
      <c r="E589">
        <v>-0.22521838207368</v>
      </c>
      <c r="F589">
        <v>-0.463806970509383</v>
      </c>
      <c r="G589">
        <v>-0.567535482229736</v>
      </c>
      <c r="H589">
        <v>-0.7432395864143531</v>
      </c>
      <c r="I589">
        <v>-0.46144301591911</v>
      </c>
    </row>
    <row r="590" spans="1:9">
      <c r="A590" s="1" t="s">
        <v>602</v>
      </c>
      <c r="B590">
        <f>HYPERLINK("https://www.suredividend.com/sure-analysis-research-database/","Circor International Inc")</f>
        <v>0</v>
      </c>
      <c r="C590">
        <v>0.003944065973467001</v>
      </c>
      <c r="D590">
        <v>-0.000178539546509</v>
      </c>
      <c r="E590">
        <v>0.90865712338105</v>
      </c>
      <c r="F590">
        <v>1.337228714524207</v>
      </c>
      <c r="G590">
        <v>2.198172472872644</v>
      </c>
      <c r="H590">
        <v>0.73374613003096</v>
      </c>
      <c r="I590">
        <v>0.451529289787454</v>
      </c>
    </row>
    <row r="591" spans="1:9">
      <c r="A591" s="1" t="s">
        <v>603</v>
      </c>
      <c r="B591">
        <f>HYPERLINK("https://www.suredividend.com/sure-analysis-research-database/","CIT Group Inc")</f>
        <v>0</v>
      </c>
      <c r="C591">
        <v>0.120418848167539</v>
      </c>
      <c r="D591">
        <v>0.009009416792557</v>
      </c>
      <c r="E591">
        <v>0.07937545520390001</v>
      </c>
      <c r="F591">
        <v>0.042072458122321</v>
      </c>
      <c r="G591">
        <v>0.535705879313611</v>
      </c>
      <c r="H591">
        <v>0.293020108275328</v>
      </c>
      <c r="I591">
        <v>0.448208282127214</v>
      </c>
    </row>
    <row r="592" spans="1:9">
      <c r="A592" s="1" t="s">
        <v>604</v>
      </c>
      <c r="B592">
        <f>HYPERLINK("https://www.suredividend.com/sure-analysis-research-database/","Civista Bancshares Inc")</f>
        <v>0</v>
      </c>
      <c r="C592">
        <v>-0.04906391220142001</v>
      </c>
      <c r="D592">
        <v>-0.176225176303471</v>
      </c>
      <c r="E592">
        <v>0.057217501148369</v>
      </c>
      <c r="F592">
        <v>-0.300958157149162</v>
      </c>
      <c r="G592">
        <v>-0.334008518180256</v>
      </c>
      <c r="H592">
        <v>-0.354898044986335</v>
      </c>
      <c r="I592">
        <v>-0.265809030598766</v>
      </c>
    </row>
    <row r="593" spans="1:9">
      <c r="A593" s="1" t="s">
        <v>605</v>
      </c>
      <c r="B593">
        <f>HYPERLINK("https://www.suredividend.com/sure-analysis-research-database/","Compx International, Inc.")</f>
        <v>0</v>
      </c>
      <c r="C593">
        <v>0.024725274725274</v>
      </c>
      <c r="D593">
        <v>-0.119223594417813</v>
      </c>
      <c r="E593">
        <v>0.044186150676341</v>
      </c>
      <c r="F593">
        <v>0.073745905084316</v>
      </c>
      <c r="G593">
        <v>0.159285159285159</v>
      </c>
      <c r="H593">
        <v>0.013741221490226</v>
      </c>
      <c r="I593">
        <v>0.8135672332646151</v>
      </c>
    </row>
    <row r="594" spans="1:9">
      <c r="A594" s="1" t="s">
        <v>606</v>
      </c>
      <c r="B594">
        <f>HYPERLINK("https://www.suredividend.com/sure-analysis-research-database/","Citizens Holding Co")</f>
        <v>0</v>
      </c>
      <c r="C594">
        <v>-0.05218216318785501</v>
      </c>
      <c r="D594">
        <v>-0.123145791275344</v>
      </c>
      <c r="E594">
        <v>-0.199147039489506</v>
      </c>
      <c r="F594">
        <v>-0.234394758018163</v>
      </c>
      <c r="G594">
        <v>-0.266374391399176</v>
      </c>
      <c r="H594">
        <v>-0.3826321253769711</v>
      </c>
      <c r="I594">
        <v>-0.442484987834006</v>
      </c>
    </row>
    <row r="595" spans="1:9">
      <c r="A595" s="1" t="s">
        <v>607</v>
      </c>
      <c r="B595">
        <f>HYPERLINK("https://www.suredividend.com/sure-analysis-research-database/","SEACOR Holdings Inc")</f>
        <v>0</v>
      </c>
      <c r="C595">
        <v>0.02292334237121</v>
      </c>
      <c r="D595">
        <v>-0.011904761904761</v>
      </c>
      <c r="E595">
        <v>0.297686053783614</v>
      </c>
      <c r="F595">
        <v>0.001206272617611</v>
      </c>
      <c r="G595">
        <v>0.644867221561632</v>
      </c>
      <c r="H595">
        <v>-0.033535165346995</v>
      </c>
      <c r="I595">
        <v>-0.214364818688651</v>
      </c>
    </row>
    <row r="596" spans="1:9">
      <c r="A596" s="1" t="s">
        <v>608</v>
      </c>
      <c r="B596">
        <f>HYPERLINK("https://www.suredividend.com/sure-analysis-research-database/","CKX Lands Inc")</f>
        <v>0</v>
      </c>
      <c r="C596">
        <v>-0.03718750000000001</v>
      </c>
      <c r="D596">
        <v>0.244529610545708</v>
      </c>
      <c r="E596">
        <v>0.306994309363683</v>
      </c>
      <c r="F596">
        <v>0.269557788944723</v>
      </c>
      <c r="G596">
        <v>0.185378075558808</v>
      </c>
      <c r="H596">
        <v>0.07415816326530601</v>
      </c>
      <c r="I596">
        <v>0.10807894736842</v>
      </c>
    </row>
    <row r="597" spans="1:9">
      <c r="A597" s="1" t="s">
        <v>609</v>
      </c>
      <c r="B597">
        <f>HYPERLINK("https://www.suredividend.com/sure-analysis-CL/","Colgate-Palmolive Co.")</f>
        <v>0</v>
      </c>
      <c r="C597">
        <v>0.064073438137928</v>
      </c>
      <c r="D597">
        <v>-0.028968668661521</v>
      </c>
      <c r="E597">
        <v>-0.06283632336156</v>
      </c>
      <c r="F597">
        <v>-0.026101267240155</v>
      </c>
      <c r="G597">
        <v>0.05446569039308401</v>
      </c>
      <c r="H597">
        <v>0.03043076965464</v>
      </c>
      <c r="I597">
        <v>0.399697979607074</v>
      </c>
    </row>
    <row r="598" spans="1:9">
      <c r="A598" s="1" t="s">
        <v>610</v>
      </c>
      <c r="B598">
        <f>HYPERLINK("https://www.suredividend.com/sure-analysis-research-database/","Clarus Corp")</f>
        <v>0</v>
      </c>
      <c r="C598">
        <v>-0.199724517906336</v>
      </c>
      <c r="D598">
        <v>-0.300976947880071</v>
      </c>
      <c r="E598">
        <v>-0.348318639657222</v>
      </c>
      <c r="F598">
        <v>-0.248334303641891</v>
      </c>
      <c r="G598">
        <v>-0.4911944232807011</v>
      </c>
      <c r="H598">
        <v>-0.7834449033142991</v>
      </c>
      <c r="I598">
        <v>-0.40552929379745</v>
      </c>
    </row>
    <row r="599" spans="1:9">
      <c r="A599" s="1" t="s">
        <v>611</v>
      </c>
      <c r="B599">
        <f>HYPERLINK("https://www.suredividend.com/sure-analysis-research-database/","Core Laboratories Inc")</f>
        <v>0</v>
      </c>
      <c r="C599">
        <v>-0.089155593656236</v>
      </c>
      <c r="D599">
        <v>-0.181741869402151</v>
      </c>
      <c r="E599">
        <v>-0.001020134733001</v>
      </c>
      <c r="F599">
        <v>0.049657441206834</v>
      </c>
      <c r="G599">
        <v>0.11860356163374</v>
      </c>
      <c r="H599">
        <v>-0.176030833895571</v>
      </c>
      <c r="I599">
        <v>-0.739916406073104</v>
      </c>
    </row>
    <row r="600" spans="1:9">
      <c r="A600" s="1" t="s">
        <v>612</v>
      </c>
      <c r="B600">
        <f>HYPERLINK("https://www.suredividend.com/sure-analysis-research-database/","Columbia Financial, Inc")</f>
        <v>0</v>
      </c>
      <c r="C600">
        <v>0.078709677419354</v>
      </c>
      <c r="D600">
        <v>-0.04729344729344701</v>
      </c>
      <c r="E600">
        <v>0.14559780746831</v>
      </c>
      <c r="F600">
        <v>-0.226641998149861</v>
      </c>
      <c r="G600">
        <v>-0.214285714285714</v>
      </c>
      <c r="H600">
        <v>-0.112055231014338</v>
      </c>
      <c r="I600">
        <v>0.073170731707316</v>
      </c>
    </row>
    <row r="601" spans="1:9">
      <c r="A601" s="1" t="s">
        <v>613</v>
      </c>
      <c r="B601">
        <f>HYPERLINK("https://www.suredividend.com/sure-analysis-research-database/","Collectors Universe Inc")</f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</row>
    <row r="602" spans="1:9">
      <c r="A602" s="1" t="s">
        <v>614</v>
      </c>
      <c r="B602">
        <f>HYPERLINK("https://www.suredividend.com/sure-analysis-research-database/","Cloudera Inc")</f>
        <v>0</v>
      </c>
      <c r="C602">
        <v>0.002507836990595</v>
      </c>
      <c r="D602">
        <v>0.015883100381194</v>
      </c>
      <c r="E602">
        <v>0.29578606158833</v>
      </c>
      <c r="F602">
        <v>0.149532710280373</v>
      </c>
      <c r="G602">
        <v>0.4629460201280881</v>
      </c>
      <c r="H602">
        <v>0.829519450800915</v>
      </c>
      <c r="I602">
        <v>-0.116574585635359</v>
      </c>
    </row>
    <row r="603" spans="1:9">
      <c r="A603" s="1" t="s">
        <v>615</v>
      </c>
      <c r="B603">
        <f>HYPERLINK("https://www.suredividend.com/sure-analysis-research-database/","Chatham Lodging Trust")</f>
        <v>0</v>
      </c>
      <c r="C603">
        <v>0.034267912772585</v>
      </c>
      <c r="D603">
        <v>0.049481581387507</v>
      </c>
      <c r="E603">
        <v>0.014060416009122</v>
      </c>
      <c r="F603">
        <v>-0.170373332000599</v>
      </c>
      <c r="G603">
        <v>-0.184154912272079</v>
      </c>
      <c r="H603">
        <v>-0.222567400908565</v>
      </c>
      <c r="I603">
        <v>-0.42462334781403</v>
      </c>
    </row>
    <row r="604" spans="1:9">
      <c r="A604" s="1" t="s">
        <v>616</v>
      </c>
      <c r="B604">
        <f>HYPERLINK("https://www.suredividend.com/sure-analysis-research-database/","Celldex Therapeutics Inc.")</f>
        <v>0</v>
      </c>
      <c r="C604">
        <v>-0.122762148337595</v>
      </c>
      <c r="D604">
        <v>-0.302643043857101</v>
      </c>
      <c r="E604">
        <v>-0.221717990275526</v>
      </c>
      <c r="F604">
        <v>-0.461296836437065</v>
      </c>
      <c r="G604">
        <v>-0.305668016194331</v>
      </c>
      <c r="H604">
        <v>-0.477475516866158</v>
      </c>
      <c r="I604">
        <v>3.639613526570048</v>
      </c>
    </row>
    <row r="605" spans="1:9">
      <c r="A605" s="1" t="s">
        <v>617</v>
      </c>
      <c r="B605">
        <f>HYPERLINK("https://www.suredividend.com/sure-analysis-research-database/","Cleveland-Cliffs Inc")</f>
        <v>0</v>
      </c>
      <c r="C605">
        <v>0.09420751113940101</v>
      </c>
      <c r="D605">
        <v>0.028725314183123</v>
      </c>
      <c r="E605">
        <v>0.125</v>
      </c>
      <c r="F605">
        <v>0.06703910614525101</v>
      </c>
      <c r="G605">
        <v>0.404411764705882</v>
      </c>
      <c r="H605">
        <v>-0.242063492063492</v>
      </c>
      <c r="I605">
        <v>0.6817986146440731</v>
      </c>
    </row>
    <row r="606" spans="1:9">
      <c r="A606" s="1" t="s">
        <v>618</v>
      </c>
      <c r="B606">
        <f>HYPERLINK("https://www.suredividend.com/sure-analysis-research-database/","Clearfield Inc")</f>
        <v>0</v>
      </c>
      <c r="C606">
        <v>-0.103544127866573</v>
      </c>
      <c r="D606">
        <v>-0.442764578833693</v>
      </c>
      <c r="E606">
        <v>-0.380998080614203</v>
      </c>
      <c r="F606">
        <v>-0.725940089228808</v>
      </c>
      <c r="G606">
        <v>-0.777317452097358</v>
      </c>
      <c r="H606">
        <v>-0.5678391959798991</v>
      </c>
      <c r="I606">
        <v>1.089068825910931</v>
      </c>
    </row>
    <row r="607" spans="1:9">
      <c r="A607" s="1" t="s">
        <v>619</v>
      </c>
      <c r="B607">
        <f>HYPERLINK("https://www.suredividend.com/sure-analysis-research-database/","CoreLogic Inc")</f>
        <v>0</v>
      </c>
      <c r="C607">
        <v>0.003890074036893</v>
      </c>
      <c r="D607">
        <v>-0.034516051170649</v>
      </c>
      <c r="E607">
        <v>0.038098204090107</v>
      </c>
      <c r="F607">
        <v>0.03876947368147601</v>
      </c>
      <c r="G607">
        <v>0.5915583743822761</v>
      </c>
      <c r="H607">
        <v>1.09173841765218</v>
      </c>
      <c r="I607">
        <v>1.149994356264814</v>
      </c>
    </row>
    <row r="608" spans="1:9">
      <c r="A608" s="1" t="s">
        <v>620</v>
      </c>
      <c r="B608">
        <f>HYPERLINK("https://www.suredividend.com/sure-analysis-research-database/","Clean Harbors, Inc.")</f>
        <v>0</v>
      </c>
      <c r="C608">
        <v>-0.05365317707379601</v>
      </c>
      <c r="D608">
        <v>-0.076042908224076</v>
      </c>
      <c r="E608">
        <v>0.061481582911132</v>
      </c>
      <c r="F608">
        <v>0.35856992639327</v>
      </c>
      <c r="G608">
        <v>0.300452944136889</v>
      </c>
      <c r="H608">
        <v>0.323431498079385</v>
      </c>
      <c r="I608">
        <v>1.394440154440154</v>
      </c>
    </row>
    <row r="609" spans="1:9">
      <c r="A609" s="1" t="s">
        <v>621</v>
      </c>
      <c r="B609">
        <f>HYPERLINK("https://www.suredividend.com/sure-analysis-research-database/","ClearSign Technologies Corp")</f>
        <v>0</v>
      </c>
      <c r="C609">
        <v>-0.138095238095238</v>
      </c>
      <c r="D609">
        <v>-0.276</v>
      </c>
      <c r="E609">
        <v>-0.129807692307692</v>
      </c>
      <c r="F609">
        <v>0.6884328358208951</v>
      </c>
      <c r="G609">
        <v>0.16025641025641</v>
      </c>
      <c r="H609">
        <v>-0.434375</v>
      </c>
      <c r="I609">
        <v>-0.33941605839416</v>
      </c>
    </row>
    <row r="610" spans="1:9">
      <c r="A610" s="1" t="s">
        <v>622</v>
      </c>
      <c r="B610">
        <f>HYPERLINK("https://www.suredividend.com/sure-analysis-research-database/","Clean Energy Fuels Corp")</f>
        <v>0</v>
      </c>
      <c r="C610">
        <v>0.06963788300835601</v>
      </c>
      <c r="D610">
        <v>-0.193277310924369</v>
      </c>
      <c r="E610">
        <v>-0.022900763358778</v>
      </c>
      <c r="F610">
        <v>-0.261538461538461</v>
      </c>
      <c r="G610">
        <v>-0.400936037441497</v>
      </c>
      <c r="H610">
        <v>-0.5957894736842101</v>
      </c>
      <c r="I610">
        <v>0.662337662337662</v>
      </c>
    </row>
    <row r="611" spans="1:9">
      <c r="A611" s="1" t="s">
        <v>623</v>
      </c>
      <c r="B611">
        <f>HYPERLINK("https://www.suredividend.com/sure-analysis-CLPR/","Clipper Realty Inc")</f>
        <v>0</v>
      </c>
      <c r="C611">
        <v>-0.057199211045364</v>
      </c>
      <c r="D611">
        <v>-0.262231825899058</v>
      </c>
      <c r="E611">
        <v>-0.07269094224688101</v>
      </c>
      <c r="F611">
        <v>-0.21465538486815</v>
      </c>
      <c r="G611">
        <v>-0.251300043856901</v>
      </c>
      <c r="H611">
        <v>-0.387642680536517</v>
      </c>
      <c r="I611">
        <v>-0.558454034880283</v>
      </c>
    </row>
    <row r="612" spans="1:9">
      <c r="A612" s="1" t="s">
        <v>624</v>
      </c>
      <c r="B612">
        <f>HYPERLINK("https://www.suredividend.com/sure-analysis-research-database/","Continental Resources Inc (OKLA)")</f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</row>
    <row r="613" spans="1:9">
      <c r="A613" s="1" t="s">
        <v>625</v>
      </c>
      <c r="B613">
        <f>HYPERLINK("https://www.suredividend.com/sure-analysis-research-database/","Cellectar Biosciences Inc")</f>
        <v>0</v>
      </c>
      <c r="C613">
        <v>-0.16083916083916</v>
      </c>
      <c r="D613">
        <v>0.283422459893048</v>
      </c>
      <c r="E613">
        <v>0.5483870967741931</v>
      </c>
      <c r="F613">
        <v>0.403508771929824</v>
      </c>
      <c r="G613">
        <v>0.176470588235294</v>
      </c>
      <c r="H613">
        <v>-0.7447894512973201</v>
      </c>
      <c r="I613">
        <v>-0.9055118110236221</v>
      </c>
    </row>
    <row r="614" spans="1:9">
      <c r="A614" s="1" t="s">
        <v>626</v>
      </c>
      <c r="B614">
        <f>HYPERLINK("https://www.suredividend.com/sure-analysis-research-database/","ClearOne Inc")</f>
        <v>0</v>
      </c>
      <c r="C614">
        <v>-0.127994791666666</v>
      </c>
      <c r="D614">
        <v>-0.152171160906444</v>
      </c>
      <c r="E614">
        <v>0.7426489721571691</v>
      </c>
      <c r="F614">
        <v>0.410191619288271</v>
      </c>
      <c r="G614">
        <v>2.89813736903376</v>
      </c>
      <c r="H614">
        <v>0.382820565765021</v>
      </c>
      <c r="I614">
        <v>0.438668098818474</v>
      </c>
    </row>
    <row r="615" spans="1:9">
      <c r="A615" s="1" t="s">
        <v>627</v>
      </c>
      <c r="B615">
        <f>HYPERLINK("https://www.suredividend.com/sure-analysis-research-database/","Clovis Oncology Inc")</f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</row>
    <row r="616" spans="1:9">
      <c r="A616" s="1" t="s">
        <v>628</v>
      </c>
      <c r="B616">
        <f>HYPERLINK("https://www.suredividend.com/sure-analysis-research-database/","Clearwater Paper Corp")</f>
        <v>0</v>
      </c>
      <c r="C616">
        <v>-0.017955801104972</v>
      </c>
      <c r="D616">
        <v>-0.038929440389294</v>
      </c>
      <c r="E616">
        <v>-0.020391292367043</v>
      </c>
      <c r="F616">
        <v>-0.059772546945252</v>
      </c>
      <c r="G616">
        <v>-0.07058823529411701</v>
      </c>
      <c r="H616">
        <v>-0.125676340383669</v>
      </c>
      <c r="I616">
        <v>0.349146110056925</v>
      </c>
    </row>
    <row r="617" spans="1:9">
      <c r="A617" s="1" t="s">
        <v>629</v>
      </c>
      <c r="B617">
        <f>HYPERLINK("https://www.suredividend.com/sure-analysis-CLX/","Clorox Co.")</f>
        <v>0</v>
      </c>
      <c r="C617">
        <v>-0.046861912366464</v>
      </c>
      <c r="D617">
        <v>-0.179188036070084</v>
      </c>
      <c r="E617">
        <v>-0.253820522635</v>
      </c>
      <c r="F617">
        <v>-0.09428266391782901</v>
      </c>
      <c r="G617">
        <v>-0.07685010840500901</v>
      </c>
      <c r="H617">
        <v>-0.207484858070788</v>
      </c>
      <c r="I617">
        <v>-0.08585909254738401</v>
      </c>
    </row>
    <row r="618" spans="1:9">
      <c r="A618" s="1" t="s">
        <v>630</v>
      </c>
      <c r="B618">
        <f>HYPERLINK("https://www.suredividend.com/sure-analysis-CMA/","Comerica, Inc.")</f>
        <v>0</v>
      </c>
      <c r="C618">
        <v>0.047950310559006</v>
      </c>
      <c r="D618">
        <v>-0.17433347688212</v>
      </c>
      <c r="E618">
        <v>0.170808074079008</v>
      </c>
      <c r="F618">
        <v>-0.337066590387937</v>
      </c>
      <c r="G618">
        <v>-0.339483331271502</v>
      </c>
      <c r="H618">
        <v>-0.469057293476126</v>
      </c>
      <c r="I618">
        <v>-0.361779391738538</v>
      </c>
    </row>
    <row r="619" spans="1:9">
      <c r="A619" s="1" t="s">
        <v>631</v>
      </c>
      <c r="B619">
        <f>HYPERLINK("https://www.suredividend.com/sure-analysis-research-database/","Commercial Metals Co.")</f>
        <v>0</v>
      </c>
      <c r="C619">
        <v>-0.061786411622596</v>
      </c>
      <c r="D619">
        <v>-0.193966834649475</v>
      </c>
      <c r="E619">
        <v>0.010181993105107</v>
      </c>
      <c r="F619">
        <v>-0.048334375354042</v>
      </c>
      <c r="G619">
        <v>0.060824337218656</v>
      </c>
      <c r="H619">
        <v>0.475505822653048</v>
      </c>
      <c r="I619">
        <v>1.455701547806597</v>
      </c>
    </row>
    <row r="620" spans="1:9">
      <c r="A620" s="1" t="s">
        <v>632</v>
      </c>
      <c r="B620">
        <f>HYPERLINK("https://www.suredividend.com/sure-analysis-research-database/","Columbus Mckinnon Corp.")</f>
        <v>0</v>
      </c>
      <c r="C620">
        <v>-0.06907514450867</v>
      </c>
      <c r="D620">
        <v>-0.176170587167085</v>
      </c>
      <c r="E620">
        <v>-0.062436326590015</v>
      </c>
      <c r="F620">
        <v>-0.0004902903884460001</v>
      </c>
      <c r="G620">
        <v>0.157417388929613</v>
      </c>
      <c r="H620">
        <v>-0.327263879229141</v>
      </c>
      <c r="I620">
        <v>-0.112334716779381</v>
      </c>
    </row>
    <row r="621" spans="1:9">
      <c r="A621" s="1" t="s">
        <v>633</v>
      </c>
      <c r="B621">
        <f>HYPERLINK("https://www.suredividend.com/sure-analysis-CMCSA/","Comcast Corp")</f>
        <v>0</v>
      </c>
      <c r="C621">
        <v>-0.032155219529969</v>
      </c>
      <c r="D621">
        <v>-0.045033951851735</v>
      </c>
      <c r="E621">
        <v>0.052477780336743</v>
      </c>
      <c r="F621">
        <v>0.259233141831132</v>
      </c>
      <c r="G621">
        <v>0.424635125803661</v>
      </c>
      <c r="H621">
        <v>-0.14130138300989</v>
      </c>
      <c r="I621">
        <v>0.274963026072244</v>
      </c>
    </row>
    <row r="622" spans="1:9">
      <c r="A622" s="1" t="s">
        <v>634</v>
      </c>
      <c r="B622">
        <f>HYPERLINK("https://www.suredividend.com/sure-analysis-research-database/","Creative Media &amp; Community Trust")</f>
        <v>0</v>
      </c>
      <c r="C622">
        <v>-0.00156716040645</v>
      </c>
      <c r="D622">
        <v>-0.085859754686415</v>
      </c>
      <c r="E622">
        <v>-0.03796975084634301</v>
      </c>
      <c r="F622">
        <v>-0.110961062345262</v>
      </c>
      <c r="G622">
        <v>-0.327476419109885</v>
      </c>
      <c r="H622">
        <v>-0.449239392629568</v>
      </c>
      <c r="I622">
        <v>-0.05068614963108901</v>
      </c>
    </row>
    <row r="623" spans="1:9">
      <c r="A623" s="1" t="s">
        <v>635</v>
      </c>
      <c r="B623">
        <f>HYPERLINK("https://www.suredividend.com/sure-analysis-research-database/","Cantel Medical Corp")</f>
        <v>0</v>
      </c>
      <c r="C623">
        <v>-0.085769537026504</v>
      </c>
      <c r="D623">
        <v>0.060290237467018</v>
      </c>
      <c r="E623">
        <v>0.34510460251046</v>
      </c>
      <c r="F623">
        <v>0.019147856961704</v>
      </c>
      <c r="G623">
        <v>0.854407014305491</v>
      </c>
      <c r="H623">
        <v>0.172664956621464</v>
      </c>
      <c r="I623">
        <v>0.18817765451336</v>
      </c>
    </row>
    <row r="624" spans="1:9">
      <c r="A624" s="1" t="s">
        <v>636</v>
      </c>
      <c r="B624">
        <f>HYPERLINK("https://www.suredividend.com/sure-analysis-CME/","CME Group Inc")</f>
        <v>0</v>
      </c>
      <c r="C624">
        <v>0.062053459905071</v>
      </c>
      <c r="D624">
        <v>0.07620135399769501</v>
      </c>
      <c r="E624">
        <v>0.172317490290892</v>
      </c>
      <c r="F624">
        <v>0.301279547683383</v>
      </c>
      <c r="G624">
        <v>0.306915085256581</v>
      </c>
      <c r="H624">
        <v>0.058260851816099</v>
      </c>
      <c r="I624">
        <v>0.383616604701054</v>
      </c>
    </row>
    <row r="625" spans="1:9">
      <c r="A625" s="1" t="s">
        <v>637</v>
      </c>
      <c r="B625">
        <f>HYPERLINK("https://www.suredividend.com/sure-analysis-research-database/","Chipotle Mexican Grill")</f>
        <v>0</v>
      </c>
      <c r="C625">
        <v>0.09010620578106401</v>
      </c>
      <c r="D625">
        <v>0.05086067139597</v>
      </c>
      <c r="E625">
        <v>-0.009050809168630001</v>
      </c>
      <c r="F625">
        <v>0.4669439059020241</v>
      </c>
      <c r="G625">
        <v>0.4455958181224161</v>
      </c>
      <c r="H625">
        <v>0.130987308572825</v>
      </c>
      <c r="I625">
        <v>3.27248682801906</v>
      </c>
    </row>
    <row r="626" spans="1:9">
      <c r="A626" s="1" t="s">
        <v>638</v>
      </c>
      <c r="B626">
        <f>HYPERLINK("https://www.suredividend.com/sure-analysis-CMI/","Cummins Inc.")</f>
        <v>0</v>
      </c>
      <c r="C626">
        <v>-0.03373974728441501</v>
      </c>
      <c r="D626">
        <v>-0.162862660924423</v>
      </c>
      <c r="E626">
        <v>-0.028626416066485</v>
      </c>
      <c r="F626">
        <v>-0.08159339374291701</v>
      </c>
      <c r="G626">
        <v>-0.07180460622394301</v>
      </c>
      <c r="H626">
        <v>-0.050687635112796</v>
      </c>
      <c r="I626">
        <v>0.762547047891397</v>
      </c>
    </row>
    <row r="627" spans="1:9">
      <c r="A627" s="1" t="s">
        <v>639</v>
      </c>
      <c r="B627">
        <f>HYPERLINK("https://www.suredividend.com/sure-analysis-research-database/","Capstead Mortgage Corp.")</f>
        <v>0</v>
      </c>
      <c r="C627">
        <v>-0.05417400288113101</v>
      </c>
      <c r="D627">
        <v>0.08450821723533801</v>
      </c>
      <c r="E627">
        <v>0.04713728775332601</v>
      </c>
      <c r="F627">
        <v>0.188995390356332</v>
      </c>
      <c r="G627">
        <v>0.246237321931859</v>
      </c>
      <c r="H627">
        <v>0.030421204483124</v>
      </c>
      <c r="I627">
        <v>0.051031627967143</v>
      </c>
    </row>
    <row r="628" spans="1:9">
      <c r="A628" s="1" t="s">
        <v>640</v>
      </c>
      <c r="B628">
        <f>HYPERLINK("https://www.suredividend.com/sure-analysis-CMP/","Compass Minerals International Inc")</f>
        <v>0</v>
      </c>
      <c r="C628">
        <v>-0.108407079646017</v>
      </c>
      <c r="D628">
        <v>-0.368336907881159</v>
      </c>
      <c r="E628">
        <v>-0.238861503012446</v>
      </c>
      <c r="F628">
        <v>-0.402282598216735</v>
      </c>
      <c r="G628">
        <v>-0.353078096155389</v>
      </c>
      <c r="H628">
        <v>-0.6432328591684581</v>
      </c>
      <c r="I628">
        <v>-0.4462637689788621</v>
      </c>
    </row>
    <row r="629" spans="1:9">
      <c r="A629" s="1" t="s">
        <v>641</v>
      </c>
      <c r="B629">
        <f>HYPERLINK("https://www.suredividend.com/sure-analysis-research-database/","Chimerix Inc")</f>
        <v>0</v>
      </c>
      <c r="C629">
        <v>0.007297769554938001</v>
      </c>
      <c r="D629">
        <v>-0.169491525423728</v>
      </c>
      <c r="E629">
        <v>-0.140350877192982</v>
      </c>
      <c r="F629">
        <v>-0.4731182795698921</v>
      </c>
      <c r="G629">
        <v>-0.4731182795698921</v>
      </c>
      <c r="H629">
        <v>-0.8256227758007111</v>
      </c>
      <c r="I629">
        <v>-0.738666666666666</v>
      </c>
    </row>
    <row r="630" spans="1:9">
      <c r="A630" s="1" t="s">
        <v>642</v>
      </c>
      <c r="B630">
        <f>HYPERLINK("https://www.suredividend.com/sure-analysis-CMS/","CMS Energy Corporation")</f>
        <v>0</v>
      </c>
      <c r="C630">
        <v>0.107550738633189</v>
      </c>
      <c r="D630">
        <v>-0.063278878297128</v>
      </c>
      <c r="E630">
        <v>-0.07433656062086601</v>
      </c>
      <c r="F630">
        <v>-0.09393026315359901</v>
      </c>
      <c r="G630">
        <v>0.014164688945038</v>
      </c>
      <c r="H630">
        <v>-0.015965084576303</v>
      </c>
      <c r="I630">
        <v>0.331376203119416</v>
      </c>
    </row>
    <row r="631" spans="1:9">
      <c r="A631" s="1" t="s">
        <v>643</v>
      </c>
      <c r="B631">
        <f>HYPERLINK("https://www.suredividend.com/sure-analysis-research-database/","Core Molding Technologies")</f>
        <v>0</v>
      </c>
      <c r="C631">
        <v>-0.151096121416526</v>
      </c>
      <c r="D631">
        <v>0.07702182284980701</v>
      </c>
      <c r="E631">
        <v>0.300775193798449</v>
      </c>
      <c r="F631">
        <v>0.9376443418013851</v>
      </c>
      <c r="G631">
        <v>1.483473112974839</v>
      </c>
      <c r="H631">
        <v>1.219576719576719</v>
      </c>
      <c r="I631">
        <v>2.590584878744651</v>
      </c>
    </row>
    <row r="632" spans="1:9">
      <c r="A632" s="1" t="s">
        <v>644</v>
      </c>
      <c r="B632">
        <f>HYPERLINK("https://www.suredividend.com/sure-analysis-research-database/","Comtech Telecommunications Corp.")</f>
        <v>0</v>
      </c>
      <c r="C632">
        <v>0.48235294117647</v>
      </c>
      <c r="D632">
        <v>0.26</v>
      </c>
      <c r="E632">
        <v>0.164510166358595</v>
      </c>
      <c r="F632">
        <v>0.037891268533772</v>
      </c>
      <c r="G632">
        <v>0.172093023255814</v>
      </c>
      <c r="H632">
        <v>-0.5201480685959761</v>
      </c>
      <c r="I632">
        <v>-0.5191995817799531</v>
      </c>
    </row>
    <row r="633" spans="1:9">
      <c r="A633" s="1" t="s">
        <v>645</v>
      </c>
      <c r="B633">
        <f>HYPERLINK("https://www.suredividend.com/sure-analysis-CNA/","CNA Financial Corp.")</f>
        <v>0</v>
      </c>
      <c r="C633">
        <v>0.035348360655737</v>
      </c>
      <c r="D633">
        <v>0.0143240014856</v>
      </c>
      <c r="E633">
        <v>0.05057415098949401</v>
      </c>
      <c r="F633">
        <v>-0.014725490626241</v>
      </c>
      <c r="G633">
        <v>0.007359556582354001</v>
      </c>
      <c r="H633">
        <v>-0.059814149308584</v>
      </c>
      <c r="I633">
        <v>0.159614877038363</v>
      </c>
    </row>
    <row r="634" spans="1:9">
      <c r="A634" s="1" t="s">
        <v>646</v>
      </c>
      <c r="B634">
        <f>HYPERLINK("https://www.suredividend.com/sure-analysis-research-database/","Century Bancorp, Inc.")</f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</row>
    <row r="635" spans="1:9">
      <c r="A635" s="1" t="s">
        <v>647</v>
      </c>
      <c r="B635">
        <f>HYPERLINK("https://www.suredividend.com/sure-analysis-research-database/","Centene Corp.")</f>
        <v>0</v>
      </c>
      <c r="C635">
        <v>-0.005339105339105</v>
      </c>
      <c r="D635">
        <v>0.023459539717891</v>
      </c>
      <c r="E635">
        <v>0.006571261682243001</v>
      </c>
      <c r="F635">
        <v>-0.159492744787221</v>
      </c>
      <c r="G635">
        <v>-0.189630848812602</v>
      </c>
      <c r="H635">
        <v>-0.005912892991058001</v>
      </c>
      <c r="I635">
        <v>0.06612017632047</v>
      </c>
    </row>
    <row r="636" spans="1:9">
      <c r="A636" s="1" t="s">
        <v>648</v>
      </c>
      <c r="B636">
        <f>HYPERLINK("https://www.suredividend.com/sure-analysis-research-database/","Concert Pharmaceuticals Inc")</f>
        <v>0</v>
      </c>
      <c r="C636">
        <v>0</v>
      </c>
      <c r="D636">
        <v>0.7222222222222211</v>
      </c>
      <c r="E636">
        <v>0.204316546762589</v>
      </c>
      <c r="F636">
        <v>0.433219178082191</v>
      </c>
      <c r="G636">
        <v>1.90625</v>
      </c>
      <c r="H636">
        <v>0.358766233766233</v>
      </c>
      <c r="I636">
        <v>-0.6294820717131471</v>
      </c>
    </row>
    <row r="637" spans="1:9">
      <c r="A637" s="1" t="s">
        <v>649</v>
      </c>
      <c r="B637">
        <f>HYPERLINK("https://www.suredividend.com/sure-analysis-research-database/","Conduent Inc")</f>
        <v>0</v>
      </c>
      <c r="C637">
        <v>-0.260623229461756</v>
      </c>
      <c r="D637">
        <v>-0.294594594594594</v>
      </c>
      <c r="E637">
        <v>-0.211480362537764</v>
      </c>
      <c r="F637">
        <v>-0.355555555555555</v>
      </c>
      <c r="G637">
        <v>-0.318537859007832</v>
      </c>
      <c r="H637">
        <v>-0.625</v>
      </c>
      <c r="I637">
        <v>-0.862992125984252</v>
      </c>
    </row>
    <row r="638" spans="1:9">
      <c r="A638" s="1" t="s">
        <v>650</v>
      </c>
      <c r="B638">
        <f>HYPERLINK("https://www.suredividend.com/sure-analysis-research-database/","Conifer Holdings Inc")</f>
        <v>0</v>
      </c>
      <c r="C638">
        <v>0.038961038961038</v>
      </c>
      <c r="D638">
        <v>-0.062133645955451</v>
      </c>
      <c r="E638">
        <v>-0.285671766176558</v>
      </c>
      <c r="F638">
        <v>-0.235668789808917</v>
      </c>
      <c r="G638">
        <v>-0.215686274509803</v>
      </c>
      <c r="H638">
        <v>-0.5539033457249071</v>
      </c>
      <c r="I638">
        <v>-0.7837837837837831</v>
      </c>
    </row>
    <row r="639" spans="1:9">
      <c r="A639" s="1" t="s">
        <v>651</v>
      </c>
      <c r="B639">
        <f>HYPERLINK("https://www.suredividend.com/sure-analysis-research-database/","Cinemark Holdings Inc")</f>
        <v>0</v>
      </c>
      <c r="C639">
        <v>-0.088696592752839</v>
      </c>
      <c r="D639">
        <v>-0.028258362168396</v>
      </c>
      <c r="E639">
        <v>0.00118835412953</v>
      </c>
      <c r="F639">
        <v>0.9457274826789841</v>
      </c>
      <c r="G639">
        <v>0.606291706387035</v>
      </c>
      <c r="H639">
        <v>-0.186383389666827</v>
      </c>
      <c r="I639">
        <v>-0.5587029796060531</v>
      </c>
    </row>
    <row r="640" spans="1:9">
      <c r="A640" s="1" t="s">
        <v>652</v>
      </c>
      <c r="B640">
        <f>HYPERLINK("https://www.suredividend.com/sure-analysis-research-database/","Conmed Corp.")</f>
        <v>0</v>
      </c>
      <c r="C640">
        <v>0.009363672976238</v>
      </c>
      <c r="D640">
        <v>-0.128832809764024</v>
      </c>
      <c r="E640">
        <v>-0.194517091905399</v>
      </c>
      <c r="F640">
        <v>0.137318922377558</v>
      </c>
      <c r="G640">
        <v>0.340617018146806</v>
      </c>
      <c r="H640">
        <v>-0.318670997268567</v>
      </c>
      <c r="I640">
        <v>0.5583515205780121</v>
      </c>
    </row>
    <row r="641" spans="1:9">
      <c r="A641" s="1" t="s">
        <v>653</v>
      </c>
      <c r="B641">
        <f>HYPERLINK("https://www.suredividend.com/sure-analysis-research-database/","Cannae Holdings Inc")</f>
        <v>0</v>
      </c>
      <c r="C641">
        <v>-0.09391675560298801</v>
      </c>
      <c r="D641">
        <v>-0.110529072812991</v>
      </c>
      <c r="E641">
        <v>-0.050866405813303</v>
      </c>
      <c r="F641">
        <v>-0.177723970944309</v>
      </c>
      <c r="G641">
        <v>-0.227479526842584</v>
      </c>
      <c r="H641">
        <v>-0.505532906231799</v>
      </c>
      <c r="I641">
        <v>-0.047672462142456</v>
      </c>
    </row>
    <row r="642" spans="1:9">
      <c r="A642" s="1" t="s">
        <v>654</v>
      </c>
      <c r="B642">
        <f>HYPERLINK("https://www.suredividend.com/sure-analysis-research-database/","CNO Financial Group Inc")</f>
        <v>0</v>
      </c>
      <c r="C642">
        <v>0.020390824129141</v>
      </c>
      <c r="D642">
        <v>-0.021664311112378</v>
      </c>
      <c r="E642">
        <v>0.07359632420642301</v>
      </c>
      <c r="F642">
        <v>0.070739220170194</v>
      </c>
      <c r="G642">
        <v>0.154180661467568</v>
      </c>
      <c r="H642">
        <v>0.003714831328271</v>
      </c>
      <c r="I642">
        <v>0.4811434772957101</v>
      </c>
    </row>
    <row r="643" spans="1:9">
      <c r="A643" s="1" t="s">
        <v>655</v>
      </c>
      <c r="B643">
        <f>HYPERLINK("https://www.suredividend.com/sure-analysis-research-database/","ConnectOne Bancorp Inc.")</f>
        <v>0</v>
      </c>
      <c r="C643">
        <v>0.007437070938214001</v>
      </c>
      <c r="D643">
        <v>-0.135828520112474</v>
      </c>
      <c r="E643">
        <v>0.235260695421609</v>
      </c>
      <c r="F643">
        <v>-0.24674380306692</v>
      </c>
      <c r="G643">
        <v>-0.240830473694194</v>
      </c>
      <c r="H643">
        <v>-0.44598599392189</v>
      </c>
      <c r="I643">
        <v>-0.082344113141082</v>
      </c>
    </row>
    <row r="644" spans="1:9">
      <c r="A644" s="1" t="s">
        <v>656</v>
      </c>
      <c r="B644">
        <f>HYPERLINK("https://www.suredividend.com/sure-analysis-CNP/","Centerpoint Energy Inc.")</f>
        <v>0</v>
      </c>
      <c r="C644">
        <v>0.06757281553398001</v>
      </c>
      <c r="D644">
        <v>-0.06939742721733201</v>
      </c>
      <c r="E644">
        <v>-0.07290932452895101</v>
      </c>
      <c r="F644">
        <v>-0.064988248579115</v>
      </c>
      <c r="G644">
        <v>0.003746248274754</v>
      </c>
      <c r="H644">
        <v>0.103107883068156</v>
      </c>
      <c r="I644">
        <v>0.188484368987864</v>
      </c>
    </row>
    <row r="645" spans="1:9">
      <c r="A645" s="1" t="s">
        <v>657</v>
      </c>
      <c r="B645">
        <f>HYPERLINK("https://www.suredividend.com/sure-analysis-research-database/","Cornerstone Building Brands Inc")</f>
        <v>0</v>
      </c>
      <c r="C645">
        <v>0.008588957055214001</v>
      </c>
      <c r="D645">
        <v>0.011070110701107</v>
      </c>
      <c r="E645">
        <v>0.6234364713627381</v>
      </c>
      <c r="F645">
        <v>0.413990825688073</v>
      </c>
      <c r="G645">
        <v>0.482862297053517</v>
      </c>
      <c r="H645">
        <v>3.172588832487309</v>
      </c>
      <c r="I645">
        <v>0.405128205128205</v>
      </c>
    </row>
    <row r="646" spans="1:9">
      <c r="A646" s="1" t="s">
        <v>658</v>
      </c>
      <c r="B646">
        <f>HYPERLINK("https://www.suredividend.com/sure-analysis-CNS/","Cohen &amp; Steers Inc.")</f>
        <v>0</v>
      </c>
      <c r="C646">
        <v>-0.108064516129032</v>
      </c>
      <c r="D646">
        <v>-0.12033862985981</v>
      </c>
      <c r="E646">
        <v>-0.0266466480914</v>
      </c>
      <c r="F646">
        <v>-0.119866818183265</v>
      </c>
      <c r="G646">
        <v>-0.027341723170549</v>
      </c>
      <c r="H646">
        <v>-0.379261961554651</v>
      </c>
      <c r="I646">
        <v>0.840162120612145</v>
      </c>
    </row>
    <row r="647" spans="1:9">
      <c r="A647" s="1" t="s">
        <v>659</v>
      </c>
      <c r="B647">
        <f>HYPERLINK("https://www.suredividend.com/sure-analysis-research-database/","Consolidated Communications Holdings Inc")</f>
        <v>0</v>
      </c>
      <c r="C647">
        <v>0.246290801186943</v>
      </c>
      <c r="D647">
        <v>0.173184357541899</v>
      </c>
      <c r="E647">
        <v>0.07969151670951101</v>
      </c>
      <c r="F647">
        <v>0.173184357541899</v>
      </c>
      <c r="G647">
        <v>-0.171597633136094</v>
      </c>
      <c r="H647">
        <v>-0.453836150845253</v>
      </c>
      <c r="I647">
        <v>-0.64146079117652</v>
      </c>
    </row>
    <row r="648" spans="1:9">
      <c r="A648" s="1" t="s">
        <v>660</v>
      </c>
      <c r="B648">
        <f>HYPERLINK("https://www.suredividend.com/sure-analysis-research-database/","Century Casinos Inc.")</f>
        <v>0</v>
      </c>
      <c r="C648">
        <v>-0.128155339805825</v>
      </c>
      <c r="D648">
        <v>-0.415364583333333</v>
      </c>
      <c r="E648">
        <v>-0.3530259365994231</v>
      </c>
      <c r="F648">
        <v>-0.36130867709815</v>
      </c>
      <c r="G648">
        <v>-0.415364583333333</v>
      </c>
      <c r="H648">
        <v>-0.7090084251458191</v>
      </c>
      <c r="I648">
        <v>-0.303875968992248</v>
      </c>
    </row>
    <row r="649" spans="1:9">
      <c r="A649" s="1" t="s">
        <v>661</v>
      </c>
      <c r="B649">
        <f>HYPERLINK("https://www.suredividend.com/sure-analysis-research-database/","CNX Resources Corp")</f>
        <v>0</v>
      </c>
      <c r="C649">
        <v>0.011358473421172</v>
      </c>
      <c r="D649">
        <v>0.108013937282229</v>
      </c>
      <c r="E649">
        <v>0.501011463250168</v>
      </c>
      <c r="F649">
        <v>0.321852731591449</v>
      </c>
      <c r="G649">
        <v>0.2987164527421231</v>
      </c>
      <c r="H649">
        <v>0.501011463250168</v>
      </c>
      <c r="I649">
        <v>0.4979811574697171</v>
      </c>
    </row>
    <row r="650" spans="1:9">
      <c r="A650" s="1" t="s">
        <v>662</v>
      </c>
      <c r="B650">
        <f>HYPERLINK("https://www.suredividend.com/sure-analysis-research-database/","PC Connection, Inc.")</f>
        <v>0</v>
      </c>
      <c r="C650">
        <v>0.04203233256351</v>
      </c>
      <c r="D650">
        <v>0.141242983581479</v>
      </c>
      <c r="E650">
        <v>0.4413346145196571</v>
      </c>
      <c r="F650">
        <v>0.213072795121898</v>
      </c>
      <c r="G650">
        <v>0.103377038019555</v>
      </c>
      <c r="H650">
        <v>0.235866421246384</v>
      </c>
      <c r="I650">
        <v>0.9473994965765131</v>
      </c>
    </row>
    <row r="651" spans="1:9">
      <c r="A651" s="1" t="s">
        <v>663</v>
      </c>
      <c r="B651">
        <f>HYPERLINK("https://www.suredividend.com/sure-analysis-research-database/","Coda Octopus Group Inc.")</f>
        <v>0</v>
      </c>
      <c r="C651">
        <v>0.11525974025974</v>
      </c>
      <c r="D651">
        <v>-0.181168057210965</v>
      </c>
      <c r="E651">
        <v>-0.196491228070175</v>
      </c>
      <c r="F651">
        <v>0.001457725947521</v>
      </c>
      <c r="G651">
        <v>0.100961538461538</v>
      </c>
      <c r="H651">
        <v>-0.210344827586206</v>
      </c>
      <c r="I651">
        <v>0.119804400977995</v>
      </c>
    </row>
    <row r="652" spans="1:9">
      <c r="A652" s="1" t="s">
        <v>664</v>
      </c>
      <c r="B652">
        <f>HYPERLINK("https://www.suredividend.com/sure-analysis-COF/","Capital One Financial Corp.")</f>
        <v>0</v>
      </c>
      <c r="C652">
        <v>0.100189234650967</v>
      </c>
      <c r="D652">
        <v>-0.07100157836521101</v>
      </c>
      <c r="E652">
        <v>0.18298312963189</v>
      </c>
      <c r="F652">
        <v>0.145229051281967</v>
      </c>
      <c r="G652">
        <v>0.04314732449906</v>
      </c>
      <c r="H652">
        <v>-0.278006483798437</v>
      </c>
      <c r="I652">
        <v>0.3151462369726371</v>
      </c>
    </row>
    <row r="653" spans="1:9">
      <c r="A653" s="1" t="s">
        <v>665</v>
      </c>
      <c r="B653">
        <f>HYPERLINK("https://www.suredividend.com/sure-analysis-research-database/","Cabot Oil &amp; Gas Corp.")</f>
        <v>0</v>
      </c>
      <c r="C653">
        <v>0.249298147108366</v>
      </c>
      <c r="D653">
        <v>0.255629168971004</v>
      </c>
      <c r="E653">
        <v>0.180872518840887</v>
      </c>
      <c r="F653">
        <v>0.3921737933450961</v>
      </c>
      <c r="G653">
        <v>0.340482573726541</v>
      </c>
      <c r="H653">
        <v>0.319394205339247</v>
      </c>
      <c r="I653">
        <v>-0.06634999496458401</v>
      </c>
    </row>
    <row r="654" spans="1:9">
      <c r="A654" s="1" t="s">
        <v>666</v>
      </c>
      <c r="B654">
        <f>HYPERLINK("https://www.suredividend.com/sure-analysis-research-database/","Cohen &amp; Company Inc")</f>
        <v>0</v>
      </c>
      <c r="C654">
        <v>-0.12442396313364</v>
      </c>
      <c r="D654">
        <v>0.037589878947847</v>
      </c>
      <c r="E654">
        <v>-0.071691475847692</v>
      </c>
      <c r="F654">
        <v>-0.250078939059046</v>
      </c>
      <c r="G654">
        <v>-0.347900697860656</v>
      </c>
      <c r="H654">
        <v>-0.6380262907220421</v>
      </c>
      <c r="I654">
        <v>-0.228770904367592</v>
      </c>
    </row>
    <row r="655" spans="1:9">
      <c r="A655" s="1" t="s">
        <v>667</v>
      </c>
      <c r="B655">
        <f>HYPERLINK("https://www.suredividend.com/sure-analysis-research-database/","Coherent Corp")</f>
        <v>0</v>
      </c>
      <c r="C655">
        <v>-0.040519641200123</v>
      </c>
      <c r="D655">
        <v>-0.3271149674620391</v>
      </c>
      <c r="E655">
        <v>-0.061422087745839</v>
      </c>
      <c r="F655">
        <v>-0.116239316239316</v>
      </c>
      <c r="G655">
        <v>-0.053113553113553</v>
      </c>
      <c r="H655">
        <v>-0.5143259746359791</v>
      </c>
      <c r="I655">
        <v>-0.314323607427055</v>
      </c>
    </row>
    <row r="656" spans="1:9">
      <c r="A656" s="1" t="s">
        <v>668</v>
      </c>
      <c r="B656">
        <f>HYPERLINK("https://www.suredividend.com/sure-analysis-research-database/","Cohu, Inc.")</f>
        <v>0</v>
      </c>
      <c r="C656">
        <v>-0.094465372355838</v>
      </c>
      <c r="D656">
        <v>-0.270200840728631</v>
      </c>
      <c r="E656">
        <v>-0.08384637936089101</v>
      </c>
      <c r="F656">
        <v>-0.024960998439937</v>
      </c>
      <c r="G656">
        <v>0.010999676480103</v>
      </c>
      <c r="H656">
        <v>-0.102784955498133</v>
      </c>
      <c r="I656">
        <v>0.450439076917364</v>
      </c>
    </row>
    <row r="657" spans="1:9">
      <c r="A657" s="1" t="s">
        <v>669</v>
      </c>
      <c r="B657">
        <f>HYPERLINK("https://www.suredividend.com/sure-analysis-research-database/","Coca-Cola Consolidated Inc")</f>
        <v>0</v>
      </c>
      <c r="C657">
        <v>0.012472078405364</v>
      </c>
      <c r="D657">
        <v>0.032508978199378</v>
      </c>
      <c r="E657">
        <v>0.08592537276145601</v>
      </c>
      <c r="F657">
        <v>0.262042043349884</v>
      </c>
      <c r="G657">
        <v>0.413068045908237</v>
      </c>
      <c r="H657">
        <v>0.584112971100748</v>
      </c>
      <c r="I657">
        <v>2.753873085339168</v>
      </c>
    </row>
    <row r="658" spans="1:9">
      <c r="A658" s="1" t="s">
        <v>670</v>
      </c>
      <c r="B658">
        <f>HYPERLINK("https://www.suredividend.com/sure-analysis-research-database/","Columbia Banking System, Inc.")</f>
        <v>0</v>
      </c>
      <c r="C658">
        <v>0.070364663585002</v>
      </c>
      <c r="D658">
        <v>-0.009741031123782001</v>
      </c>
      <c r="E658">
        <v>0.152125959874614</v>
      </c>
      <c r="F658">
        <v>-0.250181697813149</v>
      </c>
      <c r="G658">
        <v>-0.318695976252435</v>
      </c>
      <c r="H658">
        <v>-0.32170731866086</v>
      </c>
      <c r="I658">
        <v>-0.306629935354221</v>
      </c>
    </row>
    <row r="659" spans="1:9">
      <c r="A659" s="1" t="s">
        <v>671</v>
      </c>
      <c r="B659">
        <f>HYPERLINK("https://www.suredividend.com/sure-analysis-COLD/","Americold Realty Trust Inc")</f>
        <v>0</v>
      </c>
      <c r="C659">
        <v>-0.06590064210882</v>
      </c>
      <c r="D659">
        <v>-0.147813110852125</v>
      </c>
      <c r="E659">
        <v>-0.021790293639867</v>
      </c>
      <c r="F659">
        <v>-0.001852567412869</v>
      </c>
      <c r="G659">
        <v>0.177859313142676</v>
      </c>
      <c r="H659">
        <v>0.045120941365085</v>
      </c>
      <c r="I659">
        <v>0.045120941365085</v>
      </c>
    </row>
    <row r="660" spans="1:9">
      <c r="A660" s="1" t="s">
        <v>672</v>
      </c>
      <c r="B660">
        <f>HYPERLINK("https://www.suredividend.com/sure-analysis-research-database/","Collegium Pharmaceutical Inc")</f>
        <v>0</v>
      </c>
      <c r="C660">
        <v>-0.048769771528998</v>
      </c>
      <c r="D660">
        <v>-0.01590909090909</v>
      </c>
      <c r="E660">
        <v>-0.02914798206278</v>
      </c>
      <c r="F660">
        <v>-0.06681034482758601</v>
      </c>
      <c r="G660">
        <v>0.228020419739081</v>
      </c>
      <c r="H660">
        <v>0.080878681977034</v>
      </c>
      <c r="I660">
        <v>0.321733821733821</v>
      </c>
    </row>
    <row r="661" spans="1:9">
      <c r="A661" s="1" t="s">
        <v>673</v>
      </c>
      <c r="B661">
        <f>HYPERLINK("https://www.suredividend.com/sure-analysis-research-database/","Columbia Sportswear Co.")</f>
        <v>0</v>
      </c>
      <c r="C661">
        <v>0.071438655936749</v>
      </c>
      <c r="D661">
        <v>0.030310600156942</v>
      </c>
      <c r="E661">
        <v>-0.05472364149998601</v>
      </c>
      <c r="F661">
        <v>-0.120075133919254</v>
      </c>
      <c r="G661">
        <v>0.052020172615037</v>
      </c>
      <c r="H661">
        <v>-0.226987890936944</v>
      </c>
      <c r="I661">
        <v>-0.141457564993099</v>
      </c>
    </row>
    <row r="662" spans="1:9">
      <c r="A662" s="1" t="s">
        <v>674</v>
      </c>
      <c r="B662">
        <f>HYPERLINK("https://www.suredividend.com/sure-analysis-research-database/","CommScope Holding Company Inc")</f>
        <v>0</v>
      </c>
      <c r="C662">
        <v>-0.5348837209302321</v>
      </c>
      <c r="D662">
        <v>-0.6380090497737551</v>
      </c>
      <c r="E662">
        <v>-0.662447257383966</v>
      </c>
      <c r="F662">
        <v>-0.782312925170068</v>
      </c>
      <c r="G662">
        <v>-0.875679875679875</v>
      </c>
      <c r="H662">
        <v>-0.857904085257548</v>
      </c>
      <c r="I662">
        <v>-0.935064935064935</v>
      </c>
    </row>
    <row r="663" spans="1:9">
      <c r="A663" s="1" t="s">
        <v>675</v>
      </c>
      <c r="B663">
        <f>HYPERLINK("https://www.suredividend.com/sure-analysis-research-database/","CyrusOne Inc")</f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</row>
    <row r="664" spans="1:9">
      <c r="A664" s="1" t="s">
        <v>676</v>
      </c>
      <c r="B664">
        <f>HYPERLINK("https://www.suredividend.com/sure-analysis-research-database/","Conns Inc")</f>
        <v>0</v>
      </c>
      <c r="C664">
        <v>-0.157480314960629</v>
      </c>
      <c r="D664">
        <v>-0.291390728476821</v>
      </c>
      <c r="E664">
        <v>-0.283482142857142</v>
      </c>
      <c r="F664">
        <v>-0.533430232558139</v>
      </c>
      <c r="G664">
        <v>-0.5776315789473681</v>
      </c>
      <c r="H664">
        <v>-0.866528066528066</v>
      </c>
      <c r="I664">
        <v>-0.8919191919191911</v>
      </c>
    </row>
    <row r="665" spans="1:9">
      <c r="A665" s="1" t="s">
        <v>677</v>
      </c>
      <c r="B665">
        <f>HYPERLINK("https://www.suredividend.com/sure-analysis-research-database/","Cooper Companies, Inc.")</f>
        <v>0</v>
      </c>
      <c r="C665">
        <v>0.049567168964411</v>
      </c>
      <c r="D665">
        <v>-0.155984117980714</v>
      </c>
      <c r="E665">
        <v>-0.143530576476445</v>
      </c>
      <c r="F665">
        <v>-0.009846486279828001</v>
      </c>
      <c r="G665">
        <v>0.210716706862392</v>
      </c>
      <c r="H665">
        <v>-0.221495624480081</v>
      </c>
      <c r="I665">
        <v>0.243772777424855</v>
      </c>
    </row>
    <row r="666" spans="1:9">
      <c r="A666" s="1" t="s">
        <v>678</v>
      </c>
      <c r="B666">
        <f>HYPERLINK("https://www.suredividend.com/sure-analysis-research-database/","Mr. Cooper Group Inc")</f>
        <v>0</v>
      </c>
      <c r="C666">
        <v>0.061700944969427</v>
      </c>
      <c r="D666">
        <v>-0.031603853304039</v>
      </c>
      <c r="E666">
        <v>0.282452999104744</v>
      </c>
      <c r="F666">
        <v>0.427859456765511</v>
      </c>
      <c r="G666">
        <v>0.471872591831492</v>
      </c>
      <c r="H666">
        <v>0.326081925480212</v>
      </c>
      <c r="I666">
        <v>3.032371569317382</v>
      </c>
    </row>
    <row r="667" spans="1:9">
      <c r="A667" s="1" t="s">
        <v>679</v>
      </c>
      <c r="B667">
        <f>HYPERLINK("https://www.suredividend.com/sure-analysis-COP/","Conoco Phillips")</f>
        <v>0</v>
      </c>
      <c r="C667">
        <v>0.042015371477369</v>
      </c>
      <c r="D667">
        <v>0.06554377924853</v>
      </c>
      <c r="E667">
        <v>0.262621559144124</v>
      </c>
      <c r="F667">
        <v>0.06673147600946901</v>
      </c>
      <c r="G667">
        <v>0.005008570000139</v>
      </c>
      <c r="H667">
        <v>0.8402086032240591</v>
      </c>
      <c r="I667">
        <v>1.171839068184569</v>
      </c>
    </row>
    <row r="668" spans="1:9">
      <c r="A668" s="1" t="s">
        <v>680</v>
      </c>
      <c r="B668">
        <f>HYPERLINK("https://www.suredividend.com/sure-analysis-COR/","Cencora Inc.")</f>
        <v>0</v>
      </c>
      <c r="C668">
        <v>0.073151664060755</v>
      </c>
      <c r="D668">
        <v>0.006546374825132001</v>
      </c>
      <c r="E668">
        <v>0.142327273375714</v>
      </c>
      <c r="F668">
        <v>0.169704542784782</v>
      </c>
      <c r="G668">
        <v>0.259854701739986</v>
      </c>
      <c r="H668">
        <v>0.578304189429353</v>
      </c>
      <c r="I668">
        <v>1.351988016096028</v>
      </c>
    </row>
    <row r="669" spans="1:9">
      <c r="A669" s="1" t="s">
        <v>681</v>
      </c>
      <c r="B669">
        <f>HYPERLINK("https://www.suredividend.com/sure-analysis-research-database/","Core-Mark Hldg Co Inc")</f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</row>
    <row r="670" spans="1:9">
      <c r="A670" s="1" t="s">
        <v>682</v>
      </c>
      <c r="B670">
        <f>HYPERLINK("https://www.suredividend.com/sure-analysis-research-database/","CorEnergy Infrastructure Trust Inc")</f>
        <v>0</v>
      </c>
      <c r="C670">
        <v>-0.208151018877359</v>
      </c>
      <c r="D670">
        <v>-0.4443859649122801</v>
      </c>
      <c r="E670">
        <v>-0.372871287128712</v>
      </c>
      <c r="F670">
        <v>-0.6969377990430621</v>
      </c>
      <c r="G670">
        <v>-0.6438171287184391</v>
      </c>
      <c r="H670">
        <v>-0.8562219094747351</v>
      </c>
      <c r="I670">
        <v>-0.9767134065190691</v>
      </c>
    </row>
    <row r="671" spans="1:9">
      <c r="A671" s="1" t="s">
        <v>683</v>
      </c>
      <c r="B671">
        <f>HYPERLINK("https://www.suredividend.com/sure-analysis-research-database/","Corcept Therapeutics Inc")</f>
        <v>0</v>
      </c>
      <c r="C671">
        <v>-0.038037276531</v>
      </c>
      <c r="D671">
        <v>0.011195521791283</v>
      </c>
      <c r="E671">
        <v>0.129522108083965</v>
      </c>
      <c r="F671">
        <v>0.24519940915805</v>
      </c>
      <c r="G671">
        <v>-0.123092926490984</v>
      </c>
      <c r="H671">
        <v>0.403440621531631</v>
      </c>
      <c r="I671">
        <v>1.008737092930897</v>
      </c>
    </row>
    <row r="672" spans="1:9">
      <c r="A672" s="1" t="s">
        <v>684</v>
      </c>
      <c r="B672">
        <f>HYPERLINK("https://www.suredividend.com/sure-analysis-COST/","Costco Wholesale Corp")</f>
        <v>0</v>
      </c>
      <c r="C672">
        <v>-0.023275579921889</v>
      </c>
      <c r="D672">
        <v>0.014072289015983</v>
      </c>
      <c r="E672">
        <v>0.136723295988458</v>
      </c>
      <c r="F672">
        <v>0.234263402470613</v>
      </c>
      <c r="G672">
        <v>0.165314430745671</v>
      </c>
      <c r="H672">
        <v>0.141292443846305</v>
      </c>
      <c r="I672">
        <v>1.601322535078809</v>
      </c>
    </row>
    <row r="673" spans="1:9">
      <c r="A673" s="1" t="s">
        <v>685</v>
      </c>
      <c r="B673">
        <f>HYPERLINK("https://www.suredividend.com/sure-analysis-research-database/","Coty Inc")</f>
        <v>0</v>
      </c>
      <c r="C673">
        <v>-0.103351955307262</v>
      </c>
      <c r="D673">
        <v>-0.205445544554455</v>
      </c>
      <c r="E673">
        <v>-0.184589331075359</v>
      </c>
      <c r="F673">
        <v>0.125</v>
      </c>
      <c r="G673">
        <v>0.5</v>
      </c>
      <c r="H673">
        <v>0.108170310701956</v>
      </c>
      <c r="I673">
        <v>-0.074430048825496</v>
      </c>
    </row>
    <row r="674" spans="1:9">
      <c r="A674" s="1" t="s">
        <v>686</v>
      </c>
      <c r="B674">
        <f>HYPERLINK("https://www.suredividend.com/sure-analysis-research-database/","Coupa Software Inc")</f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</row>
    <row r="675" spans="1:9">
      <c r="A675" s="1" t="s">
        <v>687</v>
      </c>
      <c r="B675">
        <f>HYPERLINK("https://www.suredividend.com/sure-analysis-research-database/","Cowen Inc")</f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</row>
    <row r="676" spans="1:9">
      <c r="A676" s="1" t="s">
        <v>688</v>
      </c>
      <c r="B676">
        <f>HYPERLINK("https://www.suredividend.com/sure-analysis-CPB/","Campbell Soup Co.")</f>
        <v>0</v>
      </c>
      <c r="C676">
        <v>0.054853398886884</v>
      </c>
      <c r="D676">
        <v>-0.09831983434248101</v>
      </c>
      <c r="E676">
        <v>-0.230048979926809</v>
      </c>
      <c r="F676">
        <v>-0.24994549022458</v>
      </c>
      <c r="G676">
        <v>-0.185503220103548</v>
      </c>
      <c r="H676">
        <v>0.08854157052710401</v>
      </c>
      <c r="I676">
        <v>0.312509538586763</v>
      </c>
    </row>
    <row r="677" spans="1:9">
      <c r="A677" s="1" t="s">
        <v>689</v>
      </c>
      <c r="B677">
        <f>HYPERLINK("https://www.suredividend.com/sure-analysis-research-database/","Callon Petroleum Co.")</f>
        <v>0</v>
      </c>
      <c r="C677">
        <v>0.006787944610372001</v>
      </c>
      <c r="D677">
        <v>0.03488696622941601</v>
      </c>
      <c r="E677">
        <v>0.200777202072538</v>
      </c>
      <c r="F677">
        <v>-0.000269614451334</v>
      </c>
      <c r="G677">
        <v>-0.140472878998609</v>
      </c>
      <c r="H677">
        <v>-0.311676257657323</v>
      </c>
      <c r="I677">
        <v>-0.6424300867888141</v>
      </c>
    </row>
    <row r="678" spans="1:9">
      <c r="A678" s="1" t="s">
        <v>690</v>
      </c>
      <c r="B678">
        <f>HYPERLINK("https://www.suredividend.com/sure-analysis-research-database/","Central Pacific Financial Corp.")</f>
        <v>0</v>
      </c>
      <c r="C678">
        <v>0.04231487243310501</v>
      </c>
      <c r="D678">
        <v>-0.046816937636219</v>
      </c>
      <c r="E678">
        <v>0.203598580112958</v>
      </c>
      <c r="F678">
        <v>-0.137487126673532</v>
      </c>
      <c r="G678">
        <v>-0.09400692340977901</v>
      </c>
      <c r="H678">
        <v>-0.334062220455223</v>
      </c>
      <c r="I678">
        <v>-0.252582494812699</v>
      </c>
    </row>
    <row r="679" spans="1:9">
      <c r="A679" s="1" t="s">
        <v>691</v>
      </c>
      <c r="B679">
        <f>HYPERLINK("https://www.suredividend.com/sure-analysis-research-database/","Canterbury Park Holding Corp")</f>
        <v>0</v>
      </c>
      <c r="C679">
        <v>0.068715736040609</v>
      </c>
      <c r="D679">
        <v>-0.06105001204142201</v>
      </c>
      <c r="E679">
        <v>-0.082987063896511</v>
      </c>
      <c r="F679">
        <v>-0.31605414729702</v>
      </c>
      <c r="G679">
        <v>-0.073573091257915</v>
      </c>
      <c r="H679">
        <v>0.359215215370313</v>
      </c>
      <c r="I679">
        <v>0.480965377527046</v>
      </c>
    </row>
    <row r="680" spans="1:9">
      <c r="A680" s="1" t="s">
        <v>692</v>
      </c>
      <c r="B680">
        <f>HYPERLINK("https://www.suredividend.com/sure-analysis-research-database/","Cumberland Pharmaceuticals Inc.")</f>
        <v>0</v>
      </c>
      <c r="C680">
        <v>0.123595505617977</v>
      </c>
      <c r="D680">
        <v>0.351351351351351</v>
      </c>
      <c r="E680">
        <v>0.204819277108433</v>
      </c>
      <c r="F680">
        <v>-0.111111111111111</v>
      </c>
      <c r="G680">
        <v>-0.21259842519685</v>
      </c>
      <c r="H680">
        <v>-0.256505576208178</v>
      </c>
      <c r="I680">
        <v>-0.6240601503759391</v>
      </c>
    </row>
    <row r="681" spans="1:9">
      <c r="A681" s="1" t="s">
        <v>693</v>
      </c>
      <c r="B681">
        <f>HYPERLINK("https://www.suredividend.com/sure-analysis-CPK/","Chesapeake Utilities Corp")</f>
        <v>0</v>
      </c>
      <c r="C681">
        <v>-0.007174692901402001</v>
      </c>
      <c r="D681">
        <v>-0.2166795032995</v>
      </c>
      <c r="E681">
        <v>-0.247831121491786</v>
      </c>
      <c r="F681">
        <v>-0.216040735323403</v>
      </c>
      <c r="G681">
        <v>-0.248579310549097</v>
      </c>
      <c r="H681">
        <v>-0.284069788497612</v>
      </c>
      <c r="I681">
        <v>0.25229844000883</v>
      </c>
    </row>
    <row r="682" spans="1:9">
      <c r="A682" s="1" t="s">
        <v>694</v>
      </c>
      <c r="B682">
        <f>HYPERLINK("https://www.suredividend.com/sure-analysis-research-database/","CorePoint Lodging Inc")</f>
        <v>0</v>
      </c>
      <c r="C682">
        <v>0.015267175572519</v>
      </c>
      <c r="D682">
        <v>0.039739413680781</v>
      </c>
      <c r="E682">
        <v>0.105263157894736</v>
      </c>
      <c r="F682">
        <v>0.01656050955414</v>
      </c>
      <c r="G682">
        <v>0.819840364880273</v>
      </c>
      <c r="H682">
        <v>1.148221929092524</v>
      </c>
      <c r="I682">
        <v>-0.334708935159132</v>
      </c>
    </row>
    <row r="683" spans="1:9">
      <c r="A683" s="1" t="s">
        <v>695</v>
      </c>
      <c r="B683">
        <f>HYPERLINK("https://www.suredividend.com/sure-analysis-research-database/","Capri Holdings Ltd")</f>
        <v>0</v>
      </c>
      <c r="C683">
        <v>-0.032227307398932</v>
      </c>
      <c r="D683">
        <v>0.409722222222222</v>
      </c>
      <c r="E683">
        <v>0.27544609198291</v>
      </c>
      <c r="F683">
        <v>-0.114619678995115</v>
      </c>
      <c r="G683">
        <v>0.146115627822944</v>
      </c>
      <c r="H683">
        <v>-0.08607959661444201</v>
      </c>
      <c r="I683">
        <v>-0.129353233830845</v>
      </c>
    </row>
    <row r="684" spans="1:9">
      <c r="A684" s="1" t="s">
        <v>696</v>
      </c>
      <c r="B684">
        <f>HYPERLINK("https://www.suredividend.com/sure-analysis-research-database/","Copart, Inc.")</f>
        <v>0</v>
      </c>
      <c r="C684">
        <v>0.037368179734067</v>
      </c>
      <c r="D684">
        <v>0.023408345584077</v>
      </c>
      <c r="E684">
        <v>0.149644308943089</v>
      </c>
      <c r="F684">
        <v>0.486286746592215</v>
      </c>
      <c r="G684">
        <v>0.615206139568088</v>
      </c>
      <c r="H684">
        <v>0.175095760566123</v>
      </c>
      <c r="I684">
        <v>2.599125074567508</v>
      </c>
    </row>
    <row r="685" spans="1:9">
      <c r="A685" s="1" t="s">
        <v>697</v>
      </c>
      <c r="B685">
        <f>HYPERLINK("https://www.suredividend.com/sure-analysis-research-database/","Catalyst Pharmaceuticals Inc")</f>
        <v>0</v>
      </c>
      <c r="C685">
        <v>0.07130730050933701</v>
      </c>
      <c r="D685">
        <v>-0.06310319227913801</v>
      </c>
      <c r="E685">
        <v>-0.240673886883273</v>
      </c>
      <c r="F685">
        <v>-0.321505376344086</v>
      </c>
      <c r="G685">
        <v>-0.06725794530672501</v>
      </c>
      <c r="H685">
        <v>1</v>
      </c>
      <c r="I685">
        <v>2.968553459119496</v>
      </c>
    </row>
    <row r="686" spans="1:9">
      <c r="A686" s="1" t="s">
        <v>698</v>
      </c>
      <c r="B686">
        <f>HYPERLINK("https://www.suredividend.com/sure-analysis-research-database/","Cooper-Standard Holdings Inc")</f>
        <v>0</v>
      </c>
      <c r="C686">
        <v>-0.031202435312024</v>
      </c>
      <c r="D686">
        <v>-0.328940432261465</v>
      </c>
      <c r="E686">
        <v>-0.03560606060606</v>
      </c>
      <c r="F686">
        <v>0.405077262693156</v>
      </c>
      <c r="G686">
        <v>0.815977175463623</v>
      </c>
      <c r="H686">
        <v>-0.528343831048536</v>
      </c>
      <c r="I686">
        <v>-0.8243168644769521</v>
      </c>
    </row>
    <row r="687" spans="1:9">
      <c r="A687" s="1" t="s">
        <v>699</v>
      </c>
      <c r="B687">
        <f>HYPERLINK("https://www.suredividend.com/sure-analysis-research-database/","CPS Technologies Corporation")</f>
        <v>0</v>
      </c>
      <c r="C687">
        <v>-0.122302158273381</v>
      </c>
      <c r="D687">
        <v>-0.161512027491409</v>
      </c>
      <c r="E687">
        <v>-0.08955223880597001</v>
      </c>
      <c r="F687">
        <v>-0.09293680297397701</v>
      </c>
      <c r="G687">
        <v>-0.207792207792207</v>
      </c>
      <c r="H687">
        <v>-0.515873015873015</v>
      </c>
      <c r="I687">
        <v>0.807407407407407</v>
      </c>
    </row>
    <row r="688" spans="1:9">
      <c r="A688" s="1" t="s">
        <v>700</v>
      </c>
      <c r="B688">
        <f>HYPERLINK("https://www.suredividend.com/sure-analysis-research-database/","Computer Programs &amp; Systems Inc")</f>
        <v>0</v>
      </c>
      <c r="C688">
        <v>-0.143643031784841</v>
      </c>
      <c r="D688">
        <v>-0.465267175572519</v>
      </c>
      <c r="E688">
        <v>-0.463834672789896</v>
      </c>
      <c r="F688">
        <v>-0.485304922850844</v>
      </c>
      <c r="G688">
        <v>-0.459907478797224</v>
      </c>
      <c r="H688">
        <v>-0.612662427426043</v>
      </c>
      <c r="I688">
        <v>-0.463074387766834</v>
      </c>
    </row>
    <row r="689" spans="1:9">
      <c r="A689" s="1" t="s">
        <v>701</v>
      </c>
      <c r="B689">
        <f>HYPERLINK("https://www.suredividend.com/sure-analysis-research-database/","Consumer Portfolio Service, Inc.")</f>
        <v>0</v>
      </c>
      <c r="C689">
        <v>0.08641975308641901</v>
      </c>
      <c r="D689">
        <v>-0.179661016949152</v>
      </c>
      <c r="E689">
        <v>-0.088512241054613</v>
      </c>
      <c r="F689">
        <v>0.093785310734463</v>
      </c>
      <c r="G689">
        <v>0.637901861252115</v>
      </c>
      <c r="H689">
        <v>0.327846364883401</v>
      </c>
      <c r="I689">
        <v>1.488431876606683</v>
      </c>
    </row>
    <row r="690" spans="1:9">
      <c r="A690" s="1" t="s">
        <v>702</v>
      </c>
      <c r="B690">
        <f>HYPERLINK("https://www.suredividend.com/sure-analysis-CPT/","Camden Property Trust")</f>
        <v>0</v>
      </c>
      <c r="C690">
        <v>-0.058785599140247</v>
      </c>
      <c r="D690">
        <v>-0.174243331387899</v>
      </c>
      <c r="E690">
        <v>-0.182691500103586</v>
      </c>
      <c r="F690">
        <v>-0.193610017724374</v>
      </c>
      <c r="G690">
        <v>-0.187139013336377</v>
      </c>
      <c r="H690">
        <v>-0.422750155879867</v>
      </c>
      <c r="I690">
        <v>0.145484960768644</v>
      </c>
    </row>
    <row r="691" spans="1:9">
      <c r="A691" s="1" t="s">
        <v>703</v>
      </c>
      <c r="B691">
        <f>HYPERLINK("https://www.suredividend.com/sure-analysis-research-database/","Crane Co")</f>
        <v>0</v>
      </c>
      <c r="C691">
        <v>0.147448450639327</v>
      </c>
      <c r="D691">
        <v>0.079842896463652</v>
      </c>
      <c r="E691">
        <v>0.404583898541691</v>
      </c>
      <c r="F691">
        <v>0.383472222222222</v>
      </c>
      <c r="G691">
        <v>0.383472222222222</v>
      </c>
      <c r="H691">
        <v>0.383472222222222</v>
      </c>
      <c r="I691">
        <v>0.383472222222222</v>
      </c>
    </row>
    <row r="692" spans="1:9">
      <c r="A692" s="1" t="s">
        <v>704</v>
      </c>
      <c r="B692">
        <f>HYPERLINK("https://www.suredividend.com/sure-analysis-research-database/","CRA International Inc.")</f>
        <v>0</v>
      </c>
      <c r="C692">
        <v>-0.163794830695251</v>
      </c>
      <c r="D692">
        <v>-0.181669073522332</v>
      </c>
      <c r="E692">
        <v>-0.181888038138699</v>
      </c>
      <c r="F692">
        <v>-0.306214150172594</v>
      </c>
      <c r="G692">
        <v>-0.167682923789191</v>
      </c>
      <c r="H692">
        <v>-0.233146588710433</v>
      </c>
      <c r="I692">
        <v>1.082465327588487</v>
      </c>
    </row>
    <row r="693" spans="1:9">
      <c r="A693" s="1" t="s">
        <v>705</v>
      </c>
      <c r="B693">
        <f>HYPERLINK("https://www.suredividend.com/sure-analysis-research-database/","Corbus Pharmaceuticals Holdings Inc")</f>
        <v>0</v>
      </c>
      <c r="C693">
        <v>-0.243788819875776</v>
      </c>
      <c r="D693">
        <v>-0.290087463556851</v>
      </c>
      <c r="E693">
        <v>-0.392768079800498</v>
      </c>
      <c r="F693">
        <v>0.469079939668175</v>
      </c>
      <c r="G693">
        <v>0.2832674571805</v>
      </c>
      <c r="H693">
        <v>-0.845396825396825</v>
      </c>
      <c r="I693">
        <v>-0.9777014652014651</v>
      </c>
    </row>
    <row r="694" spans="1:9">
      <c r="A694" s="1" t="s">
        <v>706</v>
      </c>
      <c r="B694">
        <f>HYPERLINK("https://www.suredividend.com/sure-analysis-research-database/","California Resources Corporation")</f>
        <v>0</v>
      </c>
      <c r="C694">
        <v>-0.034926470588235</v>
      </c>
      <c r="D694">
        <v>0.029363324078866</v>
      </c>
      <c r="E694">
        <v>0.321689043071957</v>
      </c>
      <c r="F694">
        <v>0.22971266885126</v>
      </c>
      <c r="G694">
        <v>0.217391304347826</v>
      </c>
      <c r="H694">
        <v>0.200364910932923</v>
      </c>
      <c r="I694">
        <v>2.64590928977687</v>
      </c>
    </row>
    <row r="695" spans="1:9">
      <c r="A695" s="1" t="s">
        <v>707</v>
      </c>
      <c r="B695">
        <f>HYPERLINK("https://www.suredividend.com/sure-analysis-research-database/","Cree, Inc.")</f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</row>
    <row r="696" spans="1:9">
      <c r="A696" s="1" t="s">
        <v>708</v>
      </c>
      <c r="B696">
        <f>HYPERLINK("https://www.suredividend.com/sure-analysis-CRI/","Carters Inc")</f>
        <v>0</v>
      </c>
      <c r="C696">
        <v>0.009534986064251001</v>
      </c>
      <c r="D696">
        <v>-0.06057400266184301</v>
      </c>
      <c r="E696">
        <v>0.04362384048114001</v>
      </c>
      <c r="F696">
        <v>-0.046885689989945</v>
      </c>
      <c r="G696">
        <v>0.103192236296659</v>
      </c>
      <c r="H696">
        <v>-0.251887402640461</v>
      </c>
      <c r="I696">
        <v>-0.200687580575848</v>
      </c>
    </row>
    <row r="697" spans="1:9">
      <c r="A697" s="1" t="s">
        <v>709</v>
      </c>
      <c r="B697">
        <f>HYPERLINK("https://www.suredividend.com/sure-analysis-research-database/","Curis Inc")</f>
        <v>0</v>
      </c>
      <c r="C697">
        <v>-0.132692307692307</v>
      </c>
      <c r="D697">
        <v>-0.716245123946143</v>
      </c>
      <c r="E697">
        <v>-0.7331360946745561</v>
      </c>
      <c r="F697">
        <v>-0.5900000000000001</v>
      </c>
      <c r="G697">
        <v>-0.7381560613098</v>
      </c>
      <c r="H697">
        <v>-0.9674132947976881</v>
      </c>
      <c r="I697">
        <v>-0.8688953488372091</v>
      </c>
    </row>
    <row r="698" spans="1:9">
      <c r="A698" s="1" t="s">
        <v>710</v>
      </c>
      <c r="B698">
        <f>HYPERLINK("https://www.suredividend.com/sure-analysis-research-database/","Comstock Resources, Inc.")</f>
        <v>0</v>
      </c>
      <c r="C698">
        <v>0.242681775259679</v>
      </c>
      <c r="D698">
        <v>0.149425287356322</v>
      </c>
      <c r="E698">
        <v>0.253810975609756</v>
      </c>
      <c r="F698">
        <v>-0.006799948679632001</v>
      </c>
      <c r="G698">
        <v>-0.253274018929163</v>
      </c>
      <c r="H698">
        <v>0.394688314716293</v>
      </c>
      <c r="I698">
        <v>0.880644792500285</v>
      </c>
    </row>
    <row r="699" spans="1:9">
      <c r="A699" s="1" t="s">
        <v>711</v>
      </c>
      <c r="B699">
        <f>HYPERLINK("https://www.suredividend.com/sure-analysis-research-database/","Charles River Laboratories International Inc.")</f>
        <v>0</v>
      </c>
      <c r="C699">
        <v>-0.096592378096075</v>
      </c>
      <c r="D699">
        <v>-0.151934372117858</v>
      </c>
      <c r="E699">
        <v>-0.075608465608465</v>
      </c>
      <c r="F699">
        <v>-0.198210188159706</v>
      </c>
      <c r="G699">
        <v>-0.190220162224797</v>
      </c>
      <c r="H699">
        <v>-0.595531890265077</v>
      </c>
      <c r="I699">
        <v>0.414655870445344</v>
      </c>
    </row>
    <row r="700" spans="1:9">
      <c r="A700" s="1" t="s">
        <v>712</v>
      </c>
      <c r="B700">
        <f>HYPERLINK("https://www.suredividend.com/sure-analysis-research-database/","Salesforce Inc")</f>
        <v>0</v>
      </c>
      <c r="C700">
        <v>0.021599332384271</v>
      </c>
      <c r="D700">
        <v>-0.05619047619047601</v>
      </c>
      <c r="E700">
        <v>0.073617416425918</v>
      </c>
      <c r="F700">
        <v>0.5695753827588801</v>
      </c>
      <c r="G700">
        <v>0.3873075128324781</v>
      </c>
      <c r="H700">
        <v>-0.313054959564284</v>
      </c>
      <c r="I700">
        <v>0.521383142042547</v>
      </c>
    </row>
    <row r="701" spans="1:9">
      <c r="A701" s="1" t="s">
        <v>713</v>
      </c>
      <c r="B701">
        <f>HYPERLINK("https://www.suredividend.com/sure-analysis-research-database/","CorMedix Inc")</f>
        <v>0</v>
      </c>
      <c r="C701">
        <v>-0.045197740112994</v>
      </c>
      <c r="D701">
        <v>-0.183574879227053</v>
      </c>
      <c r="E701">
        <v>-0.314401622718052</v>
      </c>
      <c r="F701">
        <v>-0.199052132701421</v>
      </c>
      <c r="G701">
        <v>0.145762711864406</v>
      </c>
      <c r="H701">
        <v>-0.386569872958257</v>
      </c>
      <c r="I701">
        <v>-0.46771653543307</v>
      </c>
    </row>
    <row r="702" spans="1:9">
      <c r="A702" s="1" t="s">
        <v>714</v>
      </c>
      <c r="B702">
        <f>HYPERLINK("https://www.suredividend.com/sure-analysis-research-database/","Americas Car Mart, Inc.")</f>
        <v>0</v>
      </c>
      <c r="C702">
        <v>-0.235994848679974</v>
      </c>
      <c r="D702">
        <v>-0.407737104825291</v>
      </c>
      <c r="E702">
        <v>-0.08940905602455801</v>
      </c>
      <c r="F702">
        <v>-0.014807639081096</v>
      </c>
      <c r="G702">
        <v>0.055918125185404</v>
      </c>
      <c r="H702">
        <v>-0.398275716338432</v>
      </c>
      <c r="I702">
        <v>-0.07713248638838401</v>
      </c>
    </row>
    <row r="703" spans="1:9">
      <c r="A703" s="1" t="s">
        <v>715</v>
      </c>
      <c r="B703">
        <f>HYPERLINK("https://www.suredividend.com/sure-analysis-research-database/","Crinetics Pharmaceuticals Inc")</f>
        <v>0</v>
      </c>
      <c r="C703">
        <v>0.07590272660280001</v>
      </c>
      <c r="D703">
        <v>0.5232133541992691</v>
      </c>
      <c r="E703">
        <v>0.399808245445829</v>
      </c>
      <c r="F703">
        <v>0.595628415300546</v>
      </c>
      <c r="G703">
        <v>0.621321488062187</v>
      </c>
      <c r="H703">
        <v>0.108580106302202</v>
      </c>
      <c r="I703">
        <v>0.109001139384732</v>
      </c>
    </row>
    <row r="704" spans="1:9">
      <c r="A704" s="1" t="s">
        <v>716</v>
      </c>
      <c r="B704">
        <f>HYPERLINK("https://www.suredividend.com/sure-analysis-research-database/","Crocs Inc")</f>
        <v>0</v>
      </c>
      <c r="C704">
        <v>-0.057919890760127</v>
      </c>
      <c r="D704">
        <v>-0.206232023010546</v>
      </c>
      <c r="E704">
        <v>-0.3110019973368841</v>
      </c>
      <c r="F704">
        <v>-0.236465922715115</v>
      </c>
      <c r="G704">
        <v>0.234750186428039</v>
      </c>
      <c r="H704">
        <v>-0.505436081242532</v>
      </c>
      <c r="I704">
        <v>2.929283341243474</v>
      </c>
    </row>
    <row r="705" spans="1:9">
      <c r="A705" s="1" t="s">
        <v>717</v>
      </c>
      <c r="B705">
        <f>HYPERLINK("https://www.suredividend.com/sure-analysis-research-database/","Carpenter Technology Corp.")</f>
        <v>0</v>
      </c>
      <c r="C705">
        <v>0.013385733035772</v>
      </c>
      <c r="D705">
        <v>0.157542876420894</v>
      </c>
      <c r="E705">
        <v>0.245944889402706</v>
      </c>
      <c r="F705">
        <v>0.8473244698384791</v>
      </c>
      <c r="G705">
        <v>0.927685287103283</v>
      </c>
      <c r="H705">
        <v>1.250353029359996</v>
      </c>
      <c r="I705">
        <v>0.640003901868019</v>
      </c>
    </row>
    <row r="706" spans="1:9">
      <c r="A706" s="1" t="s">
        <v>718</v>
      </c>
      <c r="B706">
        <f>HYPERLINK("https://www.suredividend.com/sure-analysis-research-database/","Cirrus Logic, Inc.")</f>
        <v>0</v>
      </c>
      <c r="C706">
        <v>-0.036291427006299</v>
      </c>
      <c r="D706">
        <v>-0.123224520308995</v>
      </c>
      <c r="E706">
        <v>-0.175802295619582</v>
      </c>
      <c r="F706">
        <v>-0.05518259935553101</v>
      </c>
      <c r="G706">
        <v>-0.007475317348378</v>
      </c>
      <c r="H706">
        <v>-0.140886338664387</v>
      </c>
      <c r="I706">
        <v>0.6956626506024091</v>
      </c>
    </row>
    <row r="707" spans="1:9">
      <c r="A707" s="1" t="s">
        <v>719</v>
      </c>
      <c r="B707">
        <f>HYPERLINK("https://www.suredividend.com/sure-analysis-research-database/","Corvel Corp.")</f>
        <v>0</v>
      </c>
      <c r="C707">
        <v>0.012878787878787</v>
      </c>
      <c r="D707">
        <v>-0.074398855402224</v>
      </c>
      <c r="E707">
        <v>-0.021038758176315</v>
      </c>
      <c r="F707">
        <v>0.379962843184476</v>
      </c>
      <c r="G707">
        <v>0.283437859976961</v>
      </c>
      <c r="H707">
        <v>0.081948640483383</v>
      </c>
      <c r="I707">
        <v>2.355362221850426</v>
      </c>
    </row>
    <row r="708" spans="1:9">
      <c r="A708" s="1" t="s">
        <v>720</v>
      </c>
      <c r="B708">
        <f>HYPERLINK("https://www.suredividend.com/sure-analysis-research-database/","Corvus Pharmaceuticals Inc")</f>
        <v>0</v>
      </c>
      <c r="C708">
        <v>-0.134751773049645</v>
      </c>
      <c r="D708">
        <v>-0.437788018433179</v>
      </c>
      <c r="E708">
        <v>0.184466019417475</v>
      </c>
      <c r="F708">
        <v>0.4352941176470581</v>
      </c>
      <c r="G708">
        <v>0.41220048616738</v>
      </c>
      <c r="H708">
        <v>-0.754032258064516</v>
      </c>
      <c r="I708">
        <v>-0.8521212121212121</v>
      </c>
    </row>
    <row r="709" spans="1:9">
      <c r="A709" s="1" t="s">
        <v>721</v>
      </c>
      <c r="B709">
        <f>HYPERLINK("https://www.suredividend.com/sure-analysis-research-database/","Crown Crafts, Inc.")</f>
        <v>0</v>
      </c>
      <c r="C709">
        <v>-0.114893617021276</v>
      </c>
      <c r="D709">
        <v>-0.138752018549956</v>
      </c>
      <c r="E709">
        <v>-0.189557763491135</v>
      </c>
      <c r="F709">
        <v>-0.159663865546218</v>
      </c>
      <c r="G709">
        <v>-0.215331220763543</v>
      </c>
      <c r="H709">
        <v>-0.335940617766781</v>
      </c>
      <c r="I709">
        <v>0.08057561431762601</v>
      </c>
    </row>
    <row r="710" spans="1:9">
      <c r="A710" s="1" t="s">
        <v>722</v>
      </c>
      <c r="B710">
        <f>HYPERLINK("https://www.suredividend.com/sure-analysis-CSCO/","Cisco Systems, Inc.")</f>
        <v>0</v>
      </c>
      <c r="C710">
        <v>-0.016095006985259</v>
      </c>
      <c r="D710">
        <v>0.017775865495372</v>
      </c>
      <c r="E710">
        <v>0.171901902368907</v>
      </c>
      <c r="F710">
        <v>0.158162133916476</v>
      </c>
      <c r="G710">
        <v>0.237937443676779</v>
      </c>
      <c r="H710">
        <v>-0.012379426037984</v>
      </c>
      <c r="I710">
        <v>0.369838112402033</v>
      </c>
    </row>
    <row r="711" spans="1:9">
      <c r="A711" s="1" t="s">
        <v>723</v>
      </c>
      <c r="B711">
        <f>HYPERLINK("https://www.suredividend.com/sure-analysis-research-database/","Costar Group, Inc.")</f>
        <v>0</v>
      </c>
      <c r="C711">
        <v>-0.025668026852705</v>
      </c>
      <c r="D711">
        <v>-0.09929423217327801</v>
      </c>
      <c r="E711">
        <v>-0.009765886287625002</v>
      </c>
      <c r="F711">
        <v>-0.042184265010352</v>
      </c>
      <c r="G711">
        <v>-0.065167971710027</v>
      </c>
      <c r="H711">
        <v>-0.130301962166607</v>
      </c>
      <c r="I711">
        <v>1.04007386379296</v>
      </c>
    </row>
    <row r="712" spans="1:9">
      <c r="A712" s="1" t="s">
        <v>724</v>
      </c>
      <c r="B712">
        <f>HYPERLINK("https://www.suredividend.com/sure-analysis-research-database/","CSG Systems International Inc.")</f>
        <v>0</v>
      </c>
      <c r="C712">
        <v>-0.07291866028708101</v>
      </c>
      <c r="D712">
        <v>-0.06923478955944201</v>
      </c>
      <c r="E712">
        <v>-0.034967486931021</v>
      </c>
      <c r="F712">
        <v>-0.129670787734179</v>
      </c>
      <c r="G712">
        <v>-0.179799081253058</v>
      </c>
      <c r="H712">
        <v>0.004766626149652</v>
      </c>
      <c r="I712">
        <v>0.510233986500179</v>
      </c>
    </row>
    <row r="713" spans="1:9">
      <c r="A713" s="1" t="s">
        <v>725</v>
      </c>
      <c r="B713">
        <f>HYPERLINK("https://www.suredividend.com/sure-analysis-research-database/","Cardiovascular Systems Inc.")</f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</row>
    <row r="714" spans="1:9">
      <c r="A714" s="1" t="s">
        <v>726</v>
      </c>
      <c r="B714">
        <f>HYPERLINK("https://www.suredividend.com/sure-analysis-CSL/","Carlisle Companies Inc.")</f>
        <v>0</v>
      </c>
      <c r="C714">
        <v>0.046160568863464</v>
      </c>
      <c r="D714">
        <v>-0.05089077873807901</v>
      </c>
      <c r="E714">
        <v>0.250780698983844</v>
      </c>
      <c r="F714">
        <v>0.128124242312605</v>
      </c>
      <c r="G714">
        <v>0.146025942354481</v>
      </c>
      <c r="H714">
        <v>0.177965624069056</v>
      </c>
      <c r="I714">
        <v>1.826344297781961</v>
      </c>
    </row>
    <row r="715" spans="1:9">
      <c r="A715" s="1" t="s">
        <v>727</v>
      </c>
      <c r="B715">
        <f>HYPERLINK("https://www.suredividend.com/sure-analysis-research-database/","Castlight Health Inc")</f>
        <v>0</v>
      </c>
      <c r="C715">
        <v>0.004901960784313</v>
      </c>
      <c r="D715">
        <v>0.120218579234972</v>
      </c>
      <c r="E715">
        <v>0.164772727272727</v>
      </c>
      <c r="F715">
        <v>0.331168831168831</v>
      </c>
      <c r="G715">
        <v>0.120218579234972</v>
      </c>
      <c r="H715">
        <v>0.589147286821705</v>
      </c>
      <c r="I715">
        <v>-0.430555555555555</v>
      </c>
    </row>
    <row r="716" spans="1:9">
      <c r="A716" s="1" t="s">
        <v>728</v>
      </c>
      <c r="B716">
        <f>HYPERLINK("https://www.suredividend.com/sure-analysis-research-database/","Cornerstone OnDemand Inc")</f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</row>
    <row r="717" spans="1:9">
      <c r="A717" s="1" t="s">
        <v>729</v>
      </c>
      <c r="B717">
        <f>HYPERLINK("https://www.suredividend.com/sure-analysis-research-database/","CSP Inc.")</f>
        <v>0</v>
      </c>
      <c r="C717">
        <v>0.20157215047726</v>
      </c>
      <c r="D717">
        <v>0.624818726415452</v>
      </c>
      <c r="E717">
        <v>0.746867474796946</v>
      </c>
      <c r="F717">
        <v>1.305040930633347</v>
      </c>
      <c r="G717">
        <v>1.921900600764609</v>
      </c>
      <c r="H717">
        <v>1.533803784129389</v>
      </c>
      <c r="I717">
        <v>0.9746251441753171</v>
      </c>
    </row>
    <row r="718" spans="1:9">
      <c r="A718" s="1" t="s">
        <v>730</v>
      </c>
      <c r="B718">
        <f>HYPERLINK("https://www.suredividend.com/sure-analysis-research-database/","CapStar Financial Holdings Inc")</f>
        <v>0</v>
      </c>
      <c r="C718">
        <v>0.107268877911079</v>
      </c>
      <c r="D718">
        <v>0.07463545269617701</v>
      </c>
      <c r="E718">
        <v>0.297348249944186</v>
      </c>
      <c r="F718">
        <v>-0.07654277390306301</v>
      </c>
      <c r="G718">
        <v>-0.04190227281054201</v>
      </c>
      <c r="H718">
        <v>-0.242347419200625</v>
      </c>
      <c r="I718">
        <v>0.160005323160182</v>
      </c>
    </row>
    <row r="719" spans="1:9">
      <c r="A719" s="1" t="s">
        <v>731</v>
      </c>
      <c r="B719">
        <f>HYPERLINK("https://www.suredividend.com/sure-analysis-research-database/","Carriage Services, Inc.")</f>
        <v>0</v>
      </c>
      <c r="C719">
        <v>-0.176068990298239</v>
      </c>
      <c r="D719">
        <v>-0.278604147790194</v>
      </c>
      <c r="E719">
        <v>-0.202010113208072</v>
      </c>
      <c r="F719">
        <v>-0.157966634473793</v>
      </c>
      <c r="G719">
        <v>-0.03434741594232101</v>
      </c>
      <c r="H719">
        <v>-0.515637740121587</v>
      </c>
      <c r="I719">
        <v>0.6013576272251741</v>
      </c>
    </row>
    <row r="720" spans="1:9">
      <c r="A720" s="1" t="s">
        <v>732</v>
      </c>
      <c r="B720">
        <f>HYPERLINK("https://www.suredividend.com/sure-analysis-research-database/","CSW Industrials Inc")</f>
        <v>0</v>
      </c>
      <c r="C720">
        <v>-0.015590969501216</v>
      </c>
      <c r="D720">
        <v>-0.04932624140975701</v>
      </c>
      <c r="E720">
        <v>0.282932999231526</v>
      </c>
      <c r="F720">
        <v>0.491355750305231</v>
      </c>
      <c r="G720">
        <v>0.370859842720951</v>
      </c>
      <c r="H720">
        <v>0.207503945390032</v>
      </c>
      <c r="I720">
        <v>2.802522311735042</v>
      </c>
    </row>
    <row r="721" spans="1:9">
      <c r="A721" s="1" t="s">
        <v>733</v>
      </c>
      <c r="B721">
        <f>HYPERLINK("https://www.suredividend.com/sure-analysis-CSX/","CSX Corp.")</f>
        <v>0</v>
      </c>
      <c r="C721">
        <v>-0.004911591355599001</v>
      </c>
      <c r="D721">
        <v>-0.07134082616747001</v>
      </c>
      <c r="E721">
        <v>-0.007777146551217</v>
      </c>
      <c r="F721">
        <v>-0.001321056056154</v>
      </c>
      <c r="G721">
        <v>0.087870901690692</v>
      </c>
      <c r="H721">
        <v>-0.120015520621288</v>
      </c>
      <c r="I721">
        <v>0.415298637792525</v>
      </c>
    </row>
    <row r="722" spans="1:9">
      <c r="A722" s="1" t="s">
        <v>734</v>
      </c>
      <c r="B722">
        <f>HYPERLINK("https://www.suredividend.com/sure-analysis-CTAS/","Cintas Corporation")</f>
        <v>0</v>
      </c>
      <c r="C722">
        <v>0.05407635036195201</v>
      </c>
      <c r="D722">
        <v>0.028741726226563</v>
      </c>
      <c r="E722">
        <v>0.12266281235722</v>
      </c>
      <c r="F722">
        <v>0.143645950181172</v>
      </c>
      <c r="G722">
        <v>0.245364514433572</v>
      </c>
      <c r="H722">
        <v>0.201500035497956</v>
      </c>
      <c r="I722">
        <v>2.000083353584732</v>
      </c>
    </row>
    <row r="723" spans="1:9">
      <c r="A723" s="1" t="s">
        <v>735</v>
      </c>
      <c r="B723">
        <f>HYPERLINK("https://www.suredividend.com/sure-analysis-research-database/","Cooper Tire &amp; Rubber Co.")</f>
        <v>0</v>
      </c>
      <c r="C723">
        <v>0.019243148016397</v>
      </c>
      <c r="D723">
        <v>0.040711772824917</v>
      </c>
      <c r="E723">
        <v>0.4988989308169831</v>
      </c>
      <c r="F723">
        <v>0.491124377665598</v>
      </c>
      <c r="G723">
        <v>1.130831722018004</v>
      </c>
      <c r="H723">
        <v>1.06583053803607</v>
      </c>
      <c r="I723">
        <v>1.019337582097466</v>
      </c>
    </row>
    <row r="724" spans="1:9">
      <c r="A724" s="1" t="s">
        <v>736</v>
      </c>
      <c r="B724">
        <f>HYPERLINK("https://www.suredividend.com/sure-analysis-CTBI/","Community Trust Bancorp, Inc.")</f>
        <v>0</v>
      </c>
      <c r="C724">
        <v>0.129742253113234</v>
      </c>
      <c r="D724">
        <v>0.029189839487542</v>
      </c>
      <c r="E724">
        <v>0.189249501557822</v>
      </c>
      <c r="F724">
        <v>-0.09825568762338001</v>
      </c>
      <c r="G724">
        <v>-0.09859324164448301</v>
      </c>
      <c r="H724">
        <v>-0.009237130368748001</v>
      </c>
      <c r="I724">
        <v>0.064334824839026</v>
      </c>
    </row>
    <row r="725" spans="1:9">
      <c r="A725" s="1" t="s">
        <v>737</v>
      </c>
      <c r="B725">
        <f>HYPERLINK("https://www.suredividend.com/sure-analysis-research-database/","Computer Task Group, Inc.")</f>
        <v>0</v>
      </c>
      <c r="C725">
        <v>-0.016377649325626</v>
      </c>
      <c r="D725">
        <v>0.295685279187817</v>
      </c>
      <c r="E725">
        <v>0.537650602409638</v>
      </c>
      <c r="F725">
        <v>0.3505291005291</v>
      </c>
      <c r="G725">
        <v>0.3363874345549741</v>
      </c>
      <c r="H725">
        <v>0.320827943078913</v>
      </c>
      <c r="I725">
        <v>1.172340425531915</v>
      </c>
    </row>
    <row r="726" spans="1:9">
      <c r="A726" s="1" t="s">
        <v>738</v>
      </c>
      <c r="B726">
        <f>HYPERLINK("https://www.suredividend.com/sure-analysis-research-database/","Charles &amp; Colvard Ltd")</f>
        <v>0</v>
      </c>
      <c r="C726">
        <v>-0.396644055694394</v>
      </c>
      <c r="D726">
        <v>-0.6159090909090911</v>
      </c>
      <c r="E726">
        <v>-0.6551020408163261</v>
      </c>
      <c r="F726">
        <v>-0.5890577507598781</v>
      </c>
      <c r="G726">
        <v>-0.668627450980392</v>
      </c>
      <c r="H726">
        <v>-0.896</v>
      </c>
      <c r="I726">
        <v>-0.681702608531876</v>
      </c>
    </row>
    <row r="727" spans="1:9">
      <c r="A727" s="1" t="s">
        <v>739</v>
      </c>
      <c r="B727">
        <f>HYPERLINK("https://www.suredividend.com/sure-analysis-research-database/","CTI BioPharma Corp")</f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</row>
    <row r="728" spans="1:9">
      <c r="A728" s="1" t="s">
        <v>740</v>
      </c>
      <c r="B728">
        <f>HYPERLINK("https://www.suredividend.com/sure-analysis-research-database/","Catalent Inc.")</f>
        <v>0</v>
      </c>
      <c r="C728">
        <v>-0.262225213100044</v>
      </c>
      <c r="D728">
        <v>-0.293296089385474</v>
      </c>
      <c r="E728">
        <v>-0.32491789819376</v>
      </c>
      <c r="F728">
        <v>-0.269273494778937</v>
      </c>
      <c r="G728">
        <v>-0.267483296213808</v>
      </c>
      <c r="H728">
        <v>-0.758782544921158</v>
      </c>
      <c r="I728">
        <v>-0.217835909631391</v>
      </c>
    </row>
    <row r="729" spans="1:9">
      <c r="A729" s="1" t="s">
        <v>741</v>
      </c>
      <c r="B729">
        <f>HYPERLINK("https://www.suredividend.com/sure-analysis-research-database/","CytomX Therapeutics Inc")</f>
        <v>0</v>
      </c>
      <c r="C729">
        <v>-0.064</v>
      </c>
      <c r="D729">
        <v>-0.31578947368421</v>
      </c>
      <c r="E729">
        <v>-0.29090909090909</v>
      </c>
      <c r="F729">
        <v>-0.26875</v>
      </c>
      <c r="G729">
        <v>-0.078740157480315</v>
      </c>
      <c r="H729">
        <v>-0.8020304568527911</v>
      </c>
      <c r="I729">
        <v>-0.9220519653564291</v>
      </c>
    </row>
    <row r="730" spans="1:9">
      <c r="A730" s="1" t="s">
        <v>742</v>
      </c>
      <c r="B730">
        <f>HYPERLINK("https://www.suredividend.com/sure-analysis-CTO/","CTO Realty Growth Inc")</f>
        <v>0</v>
      </c>
      <c r="C730">
        <v>0.045197740112994</v>
      </c>
      <c r="D730">
        <v>-0.033050507866264</v>
      </c>
      <c r="E730">
        <v>0.063238759363206</v>
      </c>
      <c r="F730">
        <v>-0.026196199533276</v>
      </c>
      <c r="G730">
        <v>-0.09522670955962201</v>
      </c>
      <c r="H730">
        <v>0.08481776364655101</v>
      </c>
      <c r="I730">
        <v>0.319721312904734</v>
      </c>
    </row>
    <row r="731" spans="1:9">
      <c r="A731" s="1" t="s">
        <v>743</v>
      </c>
      <c r="B731">
        <f>HYPERLINK("https://www.suredividend.com/sure-analysis-CTRA/","Coterra Energy Inc")</f>
        <v>0</v>
      </c>
      <c r="C731">
        <v>0.06648936170212701</v>
      </c>
      <c r="D731">
        <v>0.04604147645754501</v>
      </c>
      <c r="E731">
        <v>0.172274680620925</v>
      </c>
      <c r="F731">
        <v>0.177368683754661</v>
      </c>
      <c r="G731">
        <v>-0.039001410514495</v>
      </c>
      <c r="H731">
        <v>0.4518615067912151</v>
      </c>
      <c r="I731">
        <v>0.215156775570456</v>
      </c>
    </row>
    <row r="732" spans="1:9">
      <c r="A732" s="1" t="s">
        <v>744</v>
      </c>
      <c r="B732">
        <f>HYPERLINK("https://www.suredividend.com/sure-analysis-CTRE/","CareTrust REIT Inc")</f>
        <v>0</v>
      </c>
      <c r="C732">
        <v>0.104321907600596</v>
      </c>
      <c r="D732">
        <v>0.105013570342092</v>
      </c>
      <c r="E732">
        <v>0.187842646917379</v>
      </c>
      <c r="F732">
        <v>0.249009725757243</v>
      </c>
      <c r="G732">
        <v>0.282939159943211</v>
      </c>
      <c r="H732">
        <v>0.228305733751056</v>
      </c>
      <c r="I732">
        <v>0.661770312394877</v>
      </c>
    </row>
    <row r="733" spans="1:9">
      <c r="A733" s="1" t="s">
        <v>745</v>
      </c>
      <c r="B733">
        <f>HYPERLINK("https://www.suredividend.com/sure-analysis-research-database/","Citi Trends Inc")</f>
        <v>0</v>
      </c>
      <c r="C733">
        <v>0.100134710372698</v>
      </c>
      <c r="D733">
        <v>0.325040562466198</v>
      </c>
      <c r="E733">
        <v>0.483949121744397</v>
      </c>
      <c r="F733">
        <v>-0.07477341389728001</v>
      </c>
      <c r="G733">
        <v>0.192794547224927</v>
      </c>
      <c r="H733">
        <v>-0.698535745047372</v>
      </c>
      <c r="I733">
        <v>-0.024048247867844</v>
      </c>
    </row>
    <row r="734" spans="1:9">
      <c r="A734" s="1" t="s">
        <v>746</v>
      </c>
      <c r="B734">
        <f>HYPERLINK("https://www.suredividend.com/sure-analysis-research-database/","CTS Corp.")</f>
        <v>0</v>
      </c>
      <c r="C734">
        <v>-0.05890770331504801</v>
      </c>
      <c r="D734">
        <v>-0.141701849060461</v>
      </c>
      <c r="E734">
        <v>-0.020143427561135</v>
      </c>
      <c r="F734">
        <v>0.003879666730267</v>
      </c>
      <c r="G734">
        <v>-0.021431299319019</v>
      </c>
      <c r="H734">
        <v>0.08900234579826101</v>
      </c>
      <c r="I734">
        <v>0.45483772254851</v>
      </c>
    </row>
    <row r="735" spans="1:9">
      <c r="A735" s="1" t="s">
        <v>747</v>
      </c>
      <c r="B735">
        <f>HYPERLINK("https://www.suredividend.com/sure-analysis-CTSH/","Cognizant Technology Solutions Corp.")</f>
        <v>0</v>
      </c>
      <c r="C735">
        <v>-0.060655253837072</v>
      </c>
      <c r="D735">
        <v>-0.021758007675319</v>
      </c>
      <c r="E735">
        <v>0.081425476787155</v>
      </c>
      <c r="F735">
        <v>0.12770831598511</v>
      </c>
      <c r="G735">
        <v>0.07514349322820001</v>
      </c>
      <c r="H735">
        <v>-0.164507380950505</v>
      </c>
      <c r="I735">
        <v>-0.017786323388259</v>
      </c>
    </row>
    <row r="736" spans="1:9">
      <c r="A736" s="1" t="s">
        <v>748</v>
      </c>
      <c r="B736">
        <f>HYPERLINK("https://www.suredividend.com/sure-analysis-research-database/","Cytosorbents Corp")</f>
        <v>0</v>
      </c>
      <c r="C736">
        <v>-0.160112359550561</v>
      </c>
      <c r="D736">
        <v>-0.5537313432835821</v>
      </c>
      <c r="E736">
        <v>-0.369198312236286</v>
      </c>
      <c r="F736">
        <v>-0.03548387096774101</v>
      </c>
      <c r="G736">
        <v>-0.263546798029556</v>
      </c>
      <c r="H736">
        <v>-0.7457482993197271</v>
      </c>
      <c r="I736">
        <v>-0.845876288659793</v>
      </c>
    </row>
    <row r="737" spans="1:9">
      <c r="A737" s="1" t="s">
        <v>749</v>
      </c>
      <c r="B737">
        <f>HYPERLINK("https://www.suredividend.com/sure-analysis-research-database/","CatchMark Timber Trust Inc")</f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</row>
    <row r="738" spans="1:9">
      <c r="A738" s="1" t="s">
        <v>750</v>
      </c>
      <c r="B738">
        <f>HYPERLINK("https://www.suredividend.com/sure-analysis-research-database/","Corteva Inc")</f>
        <v>0</v>
      </c>
      <c r="C738">
        <v>-0.009790209790209</v>
      </c>
      <c r="D738">
        <v>-0.110640550555849</v>
      </c>
      <c r="E738">
        <v>-0.177915860783136</v>
      </c>
      <c r="F738">
        <v>-0.149848616102443</v>
      </c>
      <c r="G738">
        <v>-0.249799053317852</v>
      </c>
      <c r="H738">
        <v>0.184370892579758</v>
      </c>
      <c r="I738">
        <v>0.708965517241379</v>
      </c>
    </row>
    <row r="739" spans="1:9">
      <c r="A739" s="1" t="s">
        <v>751</v>
      </c>
      <c r="B739">
        <f>HYPERLINK("https://www.suredividend.com/sure-analysis-research-database/","Citrix Systems, Inc.")</f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</row>
    <row r="740" spans="1:9">
      <c r="A740" s="1" t="s">
        <v>752</v>
      </c>
      <c r="B740">
        <f>HYPERLINK("https://www.suredividend.com/sure-analysis-research-database/","Cubic Corp.")</f>
        <v>0</v>
      </c>
      <c r="C740">
        <v>0.001468820937374</v>
      </c>
      <c r="D740">
        <v>0.08279638663627101</v>
      </c>
      <c r="E740">
        <v>0.208913074314304</v>
      </c>
      <c r="F740">
        <v>0.211252047015959</v>
      </c>
      <c r="G740">
        <v>0.9831301726645331</v>
      </c>
      <c r="H740">
        <v>0.288710722245037</v>
      </c>
      <c r="I740">
        <v>0.88689213769784</v>
      </c>
    </row>
    <row r="741" spans="1:9">
      <c r="A741" s="1" t="s">
        <v>753</v>
      </c>
      <c r="B741">
        <f>HYPERLINK("https://www.suredividend.com/sure-analysis-CUBE/","CubeSmart")</f>
        <v>0</v>
      </c>
      <c r="C741">
        <v>-0.072247400693148</v>
      </c>
      <c r="D741">
        <v>-0.174743352296845</v>
      </c>
      <c r="E741">
        <v>-0.193021023193688</v>
      </c>
      <c r="F741">
        <v>-0.104995820741979</v>
      </c>
      <c r="G741">
        <v>-0.077243716374416</v>
      </c>
      <c r="H741">
        <v>-0.322144827263802</v>
      </c>
      <c r="I741">
        <v>0.518033187346233</v>
      </c>
    </row>
    <row r="742" spans="1:9">
      <c r="A742" s="1" t="s">
        <v>754</v>
      </c>
      <c r="B742">
        <f>HYPERLINK("https://www.suredividend.com/sure-analysis-research-database/","Customers Bancorp Inc")</f>
        <v>0</v>
      </c>
      <c r="C742">
        <v>0.267575757575757</v>
      </c>
      <c r="D742">
        <v>0.018257059396299</v>
      </c>
      <c r="E742">
        <v>1.294569391113548</v>
      </c>
      <c r="F742">
        <v>0.476005645730416</v>
      </c>
      <c r="G742">
        <v>0.3283582089552231</v>
      </c>
      <c r="H742">
        <v>-0.253702051739518</v>
      </c>
      <c r="I742">
        <v>1.297884496009052</v>
      </c>
    </row>
    <row r="743" spans="1:9">
      <c r="A743" s="1" t="s">
        <v>755</v>
      </c>
      <c r="B743">
        <f>HYPERLINK("https://www.suredividend.com/sure-analysis-research-database/","Cue Biopharma Inc")</f>
        <v>0</v>
      </c>
      <c r="C743">
        <v>0.054631828978622</v>
      </c>
      <c r="D743">
        <v>-0.3917808219178081</v>
      </c>
      <c r="E743">
        <v>-0.492571428571428</v>
      </c>
      <c r="F743">
        <v>-0.221052631578947</v>
      </c>
      <c r="G743">
        <v>-0.259999999999999</v>
      </c>
      <c r="H743">
        <v>-0.834328358208955</v>
      </c>
      <c r="I743">
        <v>-0.702412868632707</v>
      </c>
    </row>
    <row r="744" spans="1:9">
      <c r="A744" s="1" t="s">
        <v>756</v>
      </c>
      <c r="B744">
        <f>HYPERLINK("https://www.suredividend.com/sure-analysis-research-database/","Culp Inc.")</f>
        <v>0</v>
      </c>
      <c r="C744">
        <v>-0.025985663082437</v>
      </c>
      <c r="D744">
        <v>-0.025985663082437</v>
      </c>
      <c r="E744">
        <v>-0.006398537477148</v>
      </c>
      <c r="F744">
        <v>0.184095860566448</v>
      </c>
      <c r="G744">
        <v>0.076237623762376</v>
      </c>
      <c r="H744">
        <v>-0.585389855592087</v>
      </c>
      <c r="I744">
        <v>-0.7347162904209881</v>
      </c>
    </row>
    <row r="745" spans="1:9">
      <c r="A745" s="1" t="s">
        <v>757</v>
      </c>
      <c r="B745">
        <f>HYPERLINK("https://www.suredividend.com/sure-analysis-research-database/","CURO Group Holdings Corp")</f>
        <v>0</v>
      </c>
      <c r="C745">
        <v>-0.27754716981132</v>
      </c>
      <c r="D745">
        <v>-0.521374999999999</v>
      </c>
      <c r="E745">
        <v>-0.518364779874213</v>
      </c>
      <c r="F745">
        <v>-0.784281690140845</v>
      </c>
      <c r="G745">
        <v>-0.8452929292929291</v>
      </c>
      <c r="H745">
        <v>-0.953485264462207</v>
      </c>
      <c r="I745">
        <v>-0.945435242648578</v>
      </c>
    </row>
    <row r="746" spans="1:9">
      <c r="A746" s="1" t="s">
        <v>758</v>
      </c>
      <c r="B746">
        <f>HYPERLINK("https://www.suredividend.com/sure-analysis-research-database/","Cutera Inc")</f>
        <v>0</v>
      </c>
      <c r="C746">
        <v>-0.442776735459662</v>
      </c>
      <c r="D746">
        <v>-0.8394594594594591</v>
      </c>
      <c r="E746">
        <v>-0.8576222435282831</v>
      </c>
      <c r="F746">
        <v>-0.9328358208955221</v>
      </c>
      <c r="G746">
        <v>-0.9335421794584911</v>
      </c>
      <c r="H746">
        <v>-0.93137707948244</v>
      </c>
      <c r="I746">
        <v>-0.860694183864915</v>
      </c>
    </row>
    <row r="747" spans="1:9">
      <c r="A747" s="1" t="s">
        <v>759</v>
      </c>
      <c r="B747">
        <f>HYPERLINK("https://www.suredividend.com/sure-analysis-CUZ/","Cousins Properties Inc.")</f>
        <v>0</v>
      </c>
      <c r="C747">
        <v>-0.029994916115912</v>
      </c>
      <c r="D747">
        <v>-0.182529787534864</v>
      </c>
      <c r="E747">
        <v>-0.06340658855176501</v>
      </c>
      <c r="F747">
        <v>-0.200630111274969</v>
      </c>
      <c r="G747">
        <v>-0.14338819599709</v>
      </c>
      <c r="H747">
        <v>-0.4624004327845571</v>
      </c>
      <c r="I747">
        <v>-0.29859903612509</v>
      </c>
    </row>
    <row r="748" spans="1:9">
      <c r="A748" s="1" t="s">
        <v>760</v>
      </c>
      <c r="B748">
        <f>HYPERLINK("https://www.suredividend.com/sure-analysis-research-database/","Covanta Holding Corporation")</f>
        <v>0</v>
      </c>
      <c r="C748">
        <v>0.003964321110009</v>
      </c>
      <c r="D748">
        <v>0.016017572189402</v>
      </c>
      <c r="E748">
        <v>0.37970485484497</v>
      </c>
      <c r="F748">
        <v>0.5655184137728531</v>
      </c>
      <c r="G748">
        <v>0.628512635843354</v>
      </c>
      <c r="H748">
        <v>0.499186029302945</v>
      </c>
      <c r="I748">
        <v>0.836059631156826</v>
      </c>
    </row>
    <row r="749" spans="1:9">
      <c r="A749" s="1" t="s">
        <v>761</v>
      </c>
      <c r="B749">
        <f>HYPERLINK("https://www.suredividend.com/sure-analysis-research-database/","CVB Financial Corp.")</f>
        <v>0</v>
      </c>
      <c r="C749">
        <v>0.067168863779033</v>
      </c>
      <c r="D749">
        <v>-0.09450685245255401</v>
      </c>
      <c r="E749">
        <v>0.336393937488208</v>
      </c>
      <c r="F749">
        <v>-0.303447117295408</v>
      </c>
      <c r="G749">
        <v>-0.3491477664282761</v>
      </c>
      <c r="H749">
        <v>-0.083004293697542</v>
      </c>
      <c r="I749">
        <v>-0.07642325892202201</v>
      </c>
    </row>
    <row r="750" spans="1:9">
      <c r="A750" s="1" t="s">
        <v>762</v>
      </c>
      <c r="B750">
        <f>HYPERLINK("https://www.suredividend.com/sure-analysis-research-database/","Cavco Industries Inc")</f>
        <v>0</v>
      </c>
      <c r="C750">
        <v>-0.024976204073862</v>
      </c>
      <c r="D750">
        <v>-0.105143615906073</v>
      </c>
      <c r="E750">
        <v>-0.138947262242993</v>
      </c>
      <c r="F750">
        <v>0.13188950276243</v>
      </c>
      <c r="G750">
        <v>0.25694512614116</v>
      </c>
      <c r="H750">
        <v>0.05778603882693</v>
      </c>
      <c r="I750">
        <v>0.237149758454106</v>
      </c>
    </row>
    <row r="751" spans="1:9">
      <c r="A751" s="1" t="s">
        <v>763</v>
      </c>
      <c r="B751">
        <f>HYPERLINK("https://www.suredividend.com/sure-analysis-research-database/","Central Valley Community Bancorp")</f>
        <v>0</v>
      </c>
      <c r="C751">
        <v>0.15208874921251</v>
      </c>
      <c r="D751">
        <v>-0.00987634345031</v>
      </c>
      <c r="E751">
        <v>0.199044381975898</v>
      </c>
      <c r="F751">
        <v>-0.208237120789871</v>
      </c>
      <c r="G751">
        <v>-0.09354026367665901</v>
      </c>
      <c r="H751">
        <v>-0.191191048706464</v>
      </c>
      <c r="I751">
        <v>-0.074677212981272</v>
      </c>
    </row>
    <row r="752" spans="1:9">
      <c r="A752" s="1" t="s">
        <v>764</v>
      </c>
      <c r="B752">
        <f>HYPERLINK("https://www.suredividend.com/sure-analysis-research-database/","Covetrus Inc")</f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</row>
    <row r="753" spans="1:9">
      <c r="A753" s="1" t="s">
        <v>765</v>
      </c>
      <c r="B753">
        <f>HYPERLINK("https://www.suredividend.com/sure-analysis-research-database/","Commercial Vehicle Group Inc")</f>
        <v>0</v>
      </c>
      <c r="C753">
        <v>-0.183968462549277</v>
      </c>
      <c r="D753">
        <v>-0.456692913385826</v>
      </c>
      <c r="E753">
        <v>-0.142265193370165</v>
      </c>
      <c r="F753">
        <v>-0.08810572687224601</v>
      </c>
      <c r="G753">
        <v>0.277777777777777</v>
      </c>
      <c r="H753">
        <v>-0.401734104046242</v>
      </c>
      <c r="I753">
        <v>-0.131468531468531</v>
      </c>
    </row>
    <row r="754" spans="1:9">
      <c r="A754" s="1" t="s">
        <v>766</v>
      </c>
      <c r="B754">
        <f>HYPERLINK("https://www.suredividend.com/sure-analysis-research-database/","Calavo Growers, Inc")</f>
        <v>0</v>
      </c>
      <c r="C754">
        <v>-0.012385137834598</v>
      </c>
      <c r="D754">
        <v>-0.339986863816221</v>
      </c>
      <c r="E754">
        <v>-0.209802034951555</v>
      </c>
      <c r="F754">
        <v>-0.14399986148865</v>
      </c>
      <c r="G754">
        <v>-0.261348696005545</v>
      </c>
      <c r="H754">
        <v>-0.374246919330504</v>
      </c>
      <c r="I754">
        <v>-0.7246250076585881</v>
      </c>
    </row>
    <row r="755" spans="1:9">
      <c r="A755" s="1" t="s">
        <v>767</v>
      </c>
      <c r="B755">
        <f>HYPERLINK("https://www.suredividend.com/sure-analysis-research-database/","CVR Energy Inc")</f>
        <v>0</v>
      </c>
      <c r="C755">
        <v>0.003892215568862</v>
      </c>
      <c r="D755">
        <v>-0.075276824004743</v>
      </c>
      <c r="E755">
        <v>0.323773841155035</v>
      </c>
      <c r="F755">
        <v>0.123651986246741</v>
      </c>
      <c r="G755">
        <v>-0.036042744158902</v>
      </c>
      <c r="H755">
        <v>1.146606914212548</v>
      </c>
      <c r="I755">
        <v>0.10140262129225</v>
      </c>
    </row>
    <row r="756" spans="1:9">
      <c r="A756" s="1" t="s">
        <v>768</v>
      </c>
      <c r="B756">
        <f>HYPERLINK("https://www.suredividend.com/sure-analysis-research-database/","Commvault Systems Inc")</f>
        <v>0</v>
      </c>
      <c r="C756">
        <v>-0.033972763215697</v>
      </c>
      <c r="D756">
        <v>-0.063989784335981</v>
      </c>
      <c r="E756">
        <v>0.07355573637103301</v>
      </c>
      <c r="F756">
        <v>0.049809038828771</v>
      </c>
      <c r="G756">
        <v>0.036612193588937</v>
      </c>
      <c r="H756">
        <v>0.025334162262977</v>
      </c>
      <c r="I756">
        <v>0.129816749443397</v>
      </c>
    </row>
    <row r="757" spans="1:9">
      <c r="A757" s="1" t="s">
        <v>769</v>
      </c>
      <c r="B757">
        <f>HYPERLINK("https://www.suredividend.com/sure-analysis-research-database/","Codorus Valley Bancorp, Inc.")</f>
        <v>0</v>
      </c>
      <c r="C757">
        <v>0.094876355435872</v>
      </c>
      <c r="D757">
        <v>-0.07950453493084601</v>
      </c>
      <c r="E757">
        <v>0.149773071104387</v>
      </c>
      <c r="F757">
        <v>-0.122117225783808</v>
      </c>
      <c r="G757">
        <v>0.007890723426828001</v>
      </c>
      <c r="H757">
        <v>-0.03353761426608001</v>
      </c>
      <c r="I757">
        <v>-0.104143337066069</v>
      </c>
    </row>
    <row r="758" spans="1:9">
      <c r="A758" s="1" t="s">
        <v>770</v>
      </c>
      <c r="B758">
        <f>HYPERLINK("https://www.suredividend.com/sure-analysis-research-database/","Cel-Sci Corp.")</f>
        <v>0</v>
      </c>
      <c r="C758">
        <v>0.594827586206896</v>
      </c>
      <c r="D758">
        <v>0.209150326797385</v>
      </c>
      <c r="E758">
        <v>-0.222689075630252</v>
      </c>
      <c r="F758">
        <v>-0.212765957446808</v>
      </c>
      <c r="G758">
        <v>-0.463768115942028</v>
      </c>
      <c r="H758">
        <v>-0.8514056224899591</v>
      </c>
      <c r="I758">
        <v>-0.446107784431137</v>
      </c>
    </row>
    <row r="759" spans="1:9">
      <c r="A759" s="1" t="s">
        <v>771</v>
      </c>
      <c r="B759">
        <f>HYPERLINK("https://www.suredividend.com/sure-analysis-research-database/","Carvana Co.")</f>
        <v>0</v>
      </c>
      <c r="C759">
        <v>-0.237707006369426</v>
      </c>
      <c r="D759">
        <v>-0.4229508196721311</v>
      </c>
      <c r="E759">
        <v>3.14404432132964</v>
      </c>
      <c r="F759">
        <v>5.312236286919831</v>
      </c>
      <c r="G759">
        <v>1.221232368225687</v>
      </c>
      <c r="H759">
        <v>-0.9003663003663001</v>
      </c>
      <c r="I759">
        <v>-0.354198143751348</v>
      </c>
    </row>
    <row r="760" spans="1:9">
      <c r="A760" s="1" t="s">
        <v>772</v>
      </c>
      <c r="B760">
        <f>HYPERLINK("https://www.suredividend.com/sure-analysis-research-database/","Chicago Rivet &amp; Machine Co.")</f>
        <v>0</v>
      </c>
      <c r="C760">
        <v>0.026973448836077</v>
      </c>
      <c r="D760">
        <v>-0.291924461158963</v>
      </c>
      <c r="E760">
        <v>-0.379566440603496</v>
      </c>
      <c r="F760">
        <v>-0.366912405407457</v>
      </c>
      <c r="G760">
        <v>-0.332914261767339</v>
      </c>
      <c r="H760">
        <v>-0.287037602557055</v>
      </c>
      <c r="I760">
        <v>-0.403482354864974</v>
      </c>
    </row>
    <row r="761" spans="1:9">
      <c r="A761" s="1" t="s">
        <v>773</v>
      </c>
      <c r="B761">
        <f>HYPERLINK("https://www.suredividend.com/sure-analysis-CVS/","CVS Health Corp")</f>
        <v>0</v>
      </c>
      <c r="C761">
        <v>0.007859976352050001</v>
      </c>
      <c r="D761">
        <v>-0.080777774991189</v>
      </c>
      <c r="E761">
        <v>-0.026749028705593</v>
      </c>
      <c r="F761">
        <v>-0.228576777325208</v>
      </c>
      <c r="G761">
        <v>-0.257346025137621</v>
      </c>
      <c r="H761">
        <v>-0.193512897540005</v>
      </c>
      <c r="I761">
        <v>0.100404830151471</v>
      </c>
    </row>
    <row r="762" spans="1:9">
      <c r="A762" s="1" t="s">
        <v>774</v>
      </c>
      <c r="B762">
        <f>HYPERLINK("https://www.suredividend.com/sure-analysis-research-database/","CPI Aerostructures Inc")</f>
        <v>0</v>
      </c>
      <c r="C762">
        <v>-0.095092024539877</v>
      </c>
      <c r="D762">
        <v>-0.278728606356968</v>
      </c>
      <c r="E762">
        <v>-0.108761329305135</v>
      </c>
      <c r="F762">
        <v>-0.078125</v>
      </c>
      <c r="G762">
        <v>0.350114416475972</v>
      </c>
      <c r="H762">
        <v>-0.03594771241830001</v>
      </c>
      <c r="I762">
        <v>-0.5583832335329341</v>
      </c>
    </row>
    <row r="763" spans="1:9">
      <c r="A763" s="1" t="s">
        <v>775</v>
      </c>
      <c r="B763">
        <f>HYPERLINK("https://www.suredividend.com/sure-analysis-research-database/","CVD Equipment Corp.")</f>
        <v>0</v>
      </c>
      <c r="C763">
        <v>-0.198851744186046</v>
      </c>
      <c r="D763">
        <v>-0.307550251256281</v>
      </c>
      <c r="E763">
        <v>-0.498918181818181</v>
      </c>
      <c r="F763">
        <v>0.0003448275862060001</v>
      </c>
      <c r="G763">
        <v>-0.138752168002625</v>
      </c>
      <c r="H763">
        <v>0.106807228915662</v>
      </c>
      <c r="I763">
        <v>0.255558086560364</v>
      </c>
    </row>
    <row r="764" spans="1:9">
      <c r="A764" s="1" t="s">
        <v>776</v>
      </c>
      <c r="B764">
        <f>HYPERLINK("https://www.suredividend.com/sure-analysis-CVX/","Chevron Corp.")</f>
        <v>0</v>
      </c>
      <c r="C764">
        <v>-0.106761138465233</v>
      </c>
      <c r="D764">
        <v>-0.05972776603174901</v>
      </c>
      <c r="E764">
        <v>-0.052359736373052</v>
      </c>
      <c r="F764">
        <v>-0.147578483404826</v>
      </c>
      <c r="G764">
        <v>-0.136220610974689</v>
      </c>
      <c r="H764">
        <v>0.408632085298183</v>
      </c>
      <c r="I764">
        <v>0.6144663828290921</v>
      </c>
    </row>
    <row r="765" spans="1:9">
      <c r="A765" s="1" t="s">
        <v>777</v>
      </c>
      <c r="B765">
        <f>HYPERLINK("https://www.suredividend.com/sure-analysis-research-database/","Curtiss-Wright Corp.")</f>
        <v>0</v>
      </c>
      <c r="C765">
        <v>0.058171458171458</v>
      </c>
      <c r="D765">
        <v>0.07914448164033301</v>
      </c>
      <c r="E765">
        <v>0.200503755541046</v>
      </c>
      <c r="F765">
        <v>0.227297578208078</v>
      </c>
      <c r="G765">
        <v>0.243822898324114</v>
      </c>
      <c r="H765">
        <v>0.605651692741083</v>
      </c>
      <c r="I765">
        <v>0.9002437163959741</v>
      </c>
    </row>
    <row r="766" spans="1:9">
      <c r="A766" s="1" t="s">
        <v>778</v>
      </c>
      <c r="B766">
        <f>HYPERLINK("https://www.suredividend.com/sure-analysis-research-database/","Community West Bancshares")</f>
        <v>0</v>
      </c>
      <c r="C766">
        <v>0</v>
      </c>
      <c r="D766">
        <v>-0.028944911297852</v>
      </c>
      <c r="E766">
        <v>0.14265623626615</v>
      </c>
      <c r="F766">
        <v>-0.101812956002653</v>
      </c>
      <c r="G766">
        <v>-0.04725609756097501</v>
      </c>
      <c r="H766">
        <v>0.05388600196184901</v>
      </c>
      <c r="I766">
        <v>0.343849819614004</v>
      </c>
    </row>
    <row r="767" spans="1:9">
      <c r="A767" s="1" t="s">
        <v>779</v>
      </c>
      <c r="B767">
        <f>HYPERLINK("https://www.suredividend.com/sure-analysis-research-database/","CohBar Inc")</f>
        <v>0</v>
      </c>
      <c r="C767">
        <v>-0.698458445040214</v>
      </c>
      <c r="D767">
        <v>-0.7170440251572321</v>
      </c>
      <c r="E767">
        <v>-0.467573964497041</v>
      </c>
      <c r="F767">
        <v>-0.469113222018998</v>
      </c>
      <c r="G767">
        <v>-0.591</v>
      </c>
      <c r="H767">
        <v>-0.9558921568627451</v>
      </c>
      <c r="I767">
        <v>-0.9929922118380061</v>
      </c>
    </row>
    <row r="768" spans="1:9">
      <c r="A768" s="1" t="s">
        <v>780</v>
      </c>
      <c r="B768">
        <f>HYPERLINK("https://www.suredividend.com/sure-analysis-CWEN/","Clearway Energy Inc")</f>
        <v>0</v>
      </c>
      <c r="C768">
        <v>0.152911392405063</v>
      </c>
      <c r="D768">
        <v>-0.084759251890171</v>
      </c>
      <c r="E768">
        <v>-0.219133124599192</v>
      </c>
      <c r="F768">
        <v>-0.255877489395355</v>
      </c>
      <c r="G768">
        <v>-0.313550814423572</v>
      </c>
      <c r="H768">
        <v>-0.297480246452691</v>
      </c>
      <c r="I768">
        <v>0.475935828877005</v>
      </c>
    </row>
    <row r="769" spans="1:9">
      <c r="A769" s="1" t="s">
        <v>781</v>
      </c>
      <c r="B769">
        <f>HYPERLINK("https://www.suredividend.com/sure-analysis-CWH/","Camping World Holdings Inc")</f>
        <v>0</v>
      </c>
      <c r="C769">
        <v>-0.07504970178926401</v>
      </c>
      <c r="D769">
        <v>-0.316938887869333</v>
      </c>
      <c r="E769">
        <v>-0.123302900967617</v>
      </c>
      <c r="F769">
        <v>-0.117904965043251</v>
      </c>
      <c r="G769">
        <v>-0.2113805290234</v>
      </c>
      <c r="H769">
        <v>-0.438259903649952</v>
      </c>
      <c r="I769">
        <v>0.235313640889478</v>
      </c>
    </row>
    <row r="770" spans="1:9">
      <c r="A770" s="1" t="s">
        <v>782</v>
      </c>
      <c r="B770">
        <f>HYPERLINK("https://www.suredividend.com/sure-analysis-research-database/","Casella Waste Systems, Inc.")</f>
        <v>0</v>
      </c>
      <c r="C770">
        <v>0.043559096945551</v>
      </c>
      <c r="D770">
        <v>-0.036183000122654</v>
      </c>
      <c r="E770">
        <v>-0.122305372500837</v>
      </c>
      <c r="F770">
        <v>-0.009204387845164001</v>
      </c>
      <c r="G770">
        <v>-0.014423679919729</v>
      </c>
      <c r="H770">
        <v>-0.09833620195065901</v>
      </c>
      <c r="I770">
        <v>1.61063122923588</v>
      </c>
    </row>
    <row r="771" spans="1:9">
      <c r="A771" s="1" t="s">
        <v>783</v>
      </c>
      <c r="B771">
        <f>HYPERLINK("https://www.suredividend.com/sure-analysis-CWT/","California Water Service Group")</f>
        <v>0</v>
      </c>
      <c r="C771">
        <v>0.09658599827139101</v>
      </c>
      <c r="D771">
        <v>-0.021860219488784</v>
      </c>
      <c r="E771">
        <v>-0.081811915277021</v>
      </c>
      <c r="F771">
        <v>-0.151495291007856</v>
      </c>
      <c r="G771">
        <v>-0.120154783410713</v>
      </c>
      <c r="H771">
        <v>-0.155798789007918</v>
      </c>
      <c r="I771">
        <v>0.312359713272029</v>
      </c>
    </row>
    <row r="772" spans="1:9">
      <c r="A772" s="1" t="s">
        <v>784</v>
      </c>
      <c r="B772">
        <f>HYPERLINK("https://www.suredividend.com/sure-analysis-research-database/","Concho Resources Inc")</f>
        <v>0</v>
      </c>
      <c r="C772">
        <v>0.101410342511752</v>
      </c>
      <c r="D772">
        <v>0.35593220338983</v>
      </c>
      <c r="E772">
        <v>0.311457056778493</v>
      </c>
      <c r="F772">
        <v>0.124250214224507</v>
      </c>
      <c r="G772">
        <v>-0.261109822058124</v>
      </c>
      <c r="H772">
        <v>-0.463728509287878</v>
      </c>
      <c r="I772">
        <v>-0.131124676986327</v>
      </c>
    </row>
    <row r="773" spans="1:9">
      <c r="A773" s="1" t="s">
        <v>785</v>
      </c>
      <c r="B773">
        <f>HYPERLINK("https://www.suredividend.com/sure-analysis-research-database/","Columbia Property Trust Inc")</f>
        <v>0</v>
      </c>
      <c r="C773">
        <v>0.005738132498695</v>
      </c>
      <c r="D773">
        <v>0.012073490813648</v>
      </c>
      <c r="E773">
        <v>0.039594083803792</v>
      </c>
      <c r="F773">
        <v>0.397759814405336</v>
      </c>
      <c r="G773">
        <v>0.39097310400554</v>
      </c>
      <c r="H773">
        <v>0.022079677684417</v>
      </c>
      <c r="I773">
        <v>0.114012989114105</v>
      </c>
    </row>
    <row r="774" spans="1:9">
      <c r="A774" s="1" t="s">
        <v>786</v>
      </c>
      <c r="B774">
        <f>HYPERLINK("https://www.suredividend.com/sure-analysis-research-database/","CoreCivic Inc")</f>
        <v>0</v>
      </c>
      <c r="C774">
        <v>0.16010498687664</v>
      </c>
      <c r="D774">
        <v>0.374093264248704</v>
      </c>
      <c r="E774">
        <v>0.529411764705882</v>
      </c>
      <c r="F774">
        <v>0.147058823529411</v>
      </c>
      <c r="G774">
        <v>0.332663316582914</v>
      </c>
      <c r="H774">
        <v>0.486547085201793</v>
      </c>
      <c r="I774">
        <v>-0.316420849679604</v>
      </c>
    </row>
    <row r="775" spans="1:9">
      <c r="A775" s="1" t="s">
        <v>787</v>
      </c>
      <c r="B775">
        <f>HYPERLINK("https://www.suredividend.com/sure-analysis-research-database/","Cyanotech Corp.")</f>
        <v>0</v>
      </c>
      <c r="C775">
        <v>-0.09090909090909001</v>
      </c>
      <c r="D775">
        <v>-0.202279202279202</v>
      </c>
      <c r="E775">
        <v>-0.333333333333333</v>
      </c>
      <c r="F775">
        <v>-0.363636363636363</v>
      </c>
      <c r="G775">
        <v>-0.6335078534031411</v>
      </c>
      <c r="H775">
        <v>-0.7756410256410251</v>
      </c>
      <c r="I775">
        <v>-0.784615384615384</v>
      </c>
    </row>
    <row r="776" spans="1:9">
      <c r="A776" s="1" t="s">
        <v>788</v>
      </c>
      <c r="B776">
        <f>HYPERLINK("https://www.suredividend.com/sure-analysis-research-database/","Cyberoptics Corp.")</f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</row>
    <row r="777" spans="1:9">
      <c r="A777" s="1" t="s">
        <v>789</v>
      </c>
      <c r="B777">
        <f>HYPERLINK("https://www.suredividend.com/sure-analysis-research-database/","Cyclacel Pharmaceuticals Inc")</f>
        <v>0</v>
      </c>
      <c r="C777">
        <v>0.657790368271955</v>
      </c>
      <c r="D777">
        <v>-0.056129032258064</v>
      </c>
      <c r="E777">
        <v>-0.063530164826372</v>
      </c>
      <c r="F777">
        <v>-0.12263868065967</v>
      </c>
      <c r="G777">
        <v>-0.5123333333333331</v>
      </c>
      <c r="H777">
        <v>-0.886147859922178</v>
      </c>
      <c r="I777">
        <v>-0.9774923076923071</v>
      </c>
    </row>
    <row r="778" spans="1:9">
      <c r="A778" s="1" t="s">
        <v>790</v>
      </c>
      <c r="B778">
        <f>HYPERLINK("https://www.suredividend.com/sure-analysis-research-database/","Cyclerion Therapeutics Inc")</f>
        <v>0</v>
      </c>
      <c r="C778">
        <v>-0.262686567164179</v>
      </c>
      <c r="D778">
        <v>-0.223270440251572</v>
      </c>
      <c r="E778">
        <v>-0.523166023166023</v>
      </c>
      <c r="F778">
        <v>-0.8117951843950011</v>
      </c>
      <c r="G778">
        <v>-0.7790302379674361</v>
      </c>
      <c r="H778">
        <v>-0.9532196969696971</v>
      </c>
      <c r="I778">
        <v>-0.9914768806073151</v>
      </c>
    </row>
    <row r="779" spans="1:9">
      <c r="A779" s="1" t="s">
        <v>791</v>
      </c>
      <c r="B779">
        <f>HYPERLINK("https://www.suredividend.com/sure-analysis-research-database/","Community Health Systems, Inc.")</f>
        <v>0</v>
      </c>
      <c r="C779">
        <v>-0.198630136986301</v>
      </c>
      <c r="D779">
        <v>-0.4347826086956521</v>
      </c>
      <c r="E779">
        <v>-0.385826771653543</v>
      </c>
      <c r="F779">
        <v>-0.458333333333333</v>
      </c>
      <c r="G779">
        <v>-0.209459459459459</v>
      </c>
      <c r="H779">
        <v>-0.820964039785768</v>
      </c>
      <c r="I779">
        <v>-0.35</v>
      </c>
    </row>
    <row r="780" spans="1:9">
      <c r="A780" s="1" t="s">
        <v>792</v>
      </c>
      <c r="B780">
        <f>HYPERLINK("https://www.suredividend.com/sure-analysis-research-database/","CryoPort Inc")</f>
        <v>0</v>
      </c>
      <c r="C780">
        <v>-0.264840182648401</v>
      </c>
      <c r="D780">
        <v>-0.360264900662251</v>
      </c>
      <c r="E780">
        <v>-0.51285930408472</v>
      </c>
      <c r="F780">
        <v>-0.443227665706051</v>
      </c>
      <c r="G780">
        <v>-0.6448529411764701</v>
      </c>
      <c r="H780">
        <v>-0.8755635707844901</v>
      </c>
      <c r="I780">
        <v>-0.160729800173761</v>
      </c>
    </row>
    <row r="781" spans="1:9">
      <c r="A781" s="1" t="s">
        <v>793</v>
      </c>
      <c r="B781">
        <f>HYPERLINK("https://www.suredividend.com/sure-analysis-research-database/","Cytokinetics Inc")</f>
        <v>0</v>
      </c>
      <c r="C781">
        <v>0.242467718794834</v>
      </c>
      <c r="D781">
        <v>0.114543114543114</v>
      </c>
      <c r="E781">
        <v>-0.07156258375770501</v>
      </c>
      <c r="F781">
        <v>-0.243998254037538</v>
      </c>
      <c r="G781">
        <v>-0.172677334607117</v>
      </c>
      <c r="H781">
        <v>-0.001153402537485</v>
      </c>
      <c r="I781">
        <v>3.681081081081081</v>
      </c>
    </row>
    <row r="782" spans="1:9">
      <c r="A782" s="1" t="s">
        <v>794</v>
      </c>
      <c r="B782">
        <f>HYPERLINK("https://www.suredividend.com/sure-analysis-research-database/","LadRx Corp")</f>
        <v>0</v>
      </c>
      <c r="C782">
        <v>0.161616161616161</v>
      </c>
      <c r="D782">
        <v>-0.03157894736842101</v>
      </c>
      <c r="E782">
        <v>-0.6827586206896551</v>
      </c>
      <c r="F782">
        <v>-0.8178217821782171</v>
      </c>
      <c r="G782">
        <v>-0.8326664241542371</v>
      </c>
      <c r="H782">
        <v>-0.8296296296296291</v>
      </c>
      <c r="I782">
        <v>-0.7860465116279071</v>
      </c>
    </row>
    <row r="783" spans="1:9">
      <c r="A783" s="1" t="s">
        <v>795</v>
      </c>
      <c r="B783">
        <f>HYPERLINK("https://www.suredividend.com/sure-analysis-research-database/","Citizens &amp; Northern Corp")</f>
        <v>0</v>
      </c>
      <c r="C783">
        <v>0.100247392904913</v>
      </c>
      <c r="D783">
        <v>-0.098810856929557</v>
      </c>
      <c r="E783">
        <v>0.105573661298379</v>
      </c>
      <c r="F783">
        <v>-0.102326996344602</v>
      </c>
      <c r="G783">
        <v>-0.13084540362623</v>
      </c>
      <c r="H783">
        <v>-0.17553297646344</v>
      </c>
      <c r="I783">
        <v>-0.038715115286963</v>
      </c>
    </row>
    <row r="784" spans="1:9">
      <c r="A784" s="1" t="s">
        <v>796</v>
      </c>
      <c r="B784">
        <f>HYPERLINK("https://www.suredividend.com/sure-analysis-research-database/","Caesars Entertainment Inc")</f>
        <v>0</v>
      </c>
      <c r="C784">
        <v>-0.132949210413999</v>
      </c>
      <c r="D784">
        <v>-0.265147404593959</v>
      </c>
      <c r="E784">
        <v>-0.088604755495737</v>
      </c>
      <c r="F784">
        <v>-0.023317307692307</v>
      </c>
      <c r="G784">
        <v>-0.078266787658802</v>
      </c>
      <c r="H784">
        <v>-0.6363880436728111</v>
      </c>
      <c r="I784">
        <v>0.05450298468725601</v>
      </c>
    </row>
    <row r="785" spans="1:9">
      <c r="A785" s="1" t="s">
        <v>797</v>
      </c>
      <c r="B785">
        <f>HYPERLINK("https://www.suredividend.com/sure-analysis-research-database/","Citizens Community Bancorp Inc MD")</f>
        <v>0</v>
      </c>
      <c r="C785">
        <v>-0.033719704952581</v>
      </c>
      <c r="D785">
        <v>-0.098328416912487</v>
      </c>
      <c r="E785">
        <v>-0.064285714285714</v>
      </c>
      <c r="F785">
        <v>-0.219561184020153</v>
      </c>
      <c r="G785">
        <v>-0.280010678140433</v>
      </c>
      <c r="H785">
        <v>-0.305023986903832</v>
      </c>
      <c r="I785">
        <v>-0.189872075765071</v>
      </c>
    </row>
    <row r="786" spans="1:9">
      <c r="A786" s="1" t="s">
        <v>798</v>
      </c>
      <c r="B786">
        <f>HYPERLINK("https://www.suredividend.com/sure-analysis-D/","Dominion Energy Inc")</f>
        <v>0</v>
      </c>
      <c r="C786">
        <v>-0.029071141574096</v>
      </c>
      <c r="D786">
        <v>-0.204403283095312</v>
      </c>
      <c r="E786">
        <v>-0.240017834050827</v>
      </c>
      <c r="F786">
        <v>-0.303282441971296</v>
      </c>
      <c r="G786">
        <v>-0.374354631877454</v>
      </c>
      <c r="H786">
        <v>-0.408321522808715</v>
      </c>
      <c r="I786">
        <v>-0.275599992946446</v>
      </c>
    </row>
    <row r="787" spans="1:9">
      <c r="A787" s="1" t="s">
        <v>799</v>
      </c>
      <c r="B787">
        <f>HYPERLINK("https://www.suredividend.com/sure-analysis-research-database/","Data io Corp.")</f>
        <v>0</v>
      </c>
      <c r="C787">
        <v>-0.215584415584415</v>
      </c>
      <c r="D787">
        <v>-0.318284424379232</v>
      </c>
      <c r="E787">
        <v>-0.337719298245614</v>
      </c>
      <c r="F787">
        <v>-0.239294710327456</v>
      </c>
      <c r="G787">
        <v>-0.26161369193154</v>
      </c>
      <c r="H787">
        <v>-0.431261770244821</v>
      </c>
      <c r="I787">
        <v>-0.3911290322580641</v>
      </c>
    </row>
    <row r="788" spans="1:9">
      <c r="A788" s="1" t="s">
        <v>800</v>
      </c>
      <c r="B788">
        <f>HYPERLINK("https://www.suredividend.com/sure-analysis-research-database/","Daktronics Inc.")</f>
        <v>0</v>
      </c>
      <c r="C788">
        <v>0.06390134529147901</v>
      </c>
      <c r="D788">
        <v>0.292915531335149</v>
      </c>
      <c r="E788">
        <v>0.972972972972973</v>
      </c>
      <c r="F788">
        <v>2.365248226950354</v>
      </c>
      <c r="G788">
        <v>1.727011494252873</v>
      </c>
      <c r="H788">
        <v>0.725454545454545</v>
      </c>
      <c r="I788">
        <v>0.302122638273349</v>
      </c>
    </row>
    <row r="789" spans="1:9">
      <c r="A789" s="1" t="s">
        <v>801</v>
      </c>
      <c r="B789">
        <f>HYPERLINK("https://www.suredividend.com/sure-analysis-research-database/","Delta Air Lines, Inc.")</f>
        <v>0</v>
      </c>
      <c r="C789">
        <v>-0.119078471345289</v>
      </c>
      <c r="D789">
        <v>-0.283268047006155</v>
      </c>
      <c r="E789">
        <v>-0.068143125300117</v>
      </c>
      <c r="F789">
        <v>-0.020783128845612</v>
      </c>
      <c r="G789">
        <v>0.00365163696773</v>
      </c>
      <c r="H789">
        <v>-0.20334188376554</v>
      </c>
      <c r="I789">
        <v>-0.403285470690731</v>
      </c>
    </row>
    <row r="790" spans="1:9">
      <c r="A790" s="1" t="s">
        <v>802</v>
      </c>
      <c r="B790">
        <f>HYPERLINK("https://www.suredividend.com/sure-analysis-research-database/","Dana Inc")</f>
        <v>0</v>
      </c>
      <c r="C790">
        <v>-0.198467966573816</v>
      </c>
      <c r="D790">
        <v>-0.373622486462953</v>
      </c>
      <c r="E790">
        <v>-0.186882744394365</v>
      </c>
      <c r="F790">
        <v>-0.224461469008779</v>
      </c>
      <c r="G790">
        <v>-0.23679813277458</v>
      </c>
      <c r="H790">
        <v>-0.4617949209525901</v>
      </c>
      <c r="I790">
        <v>-0.187984140645944</v>
      </c>
    </row>
    <row r="791" spans="1:9">
      <c r="A791" s="1" t="s">
        <v>803</v>
      </c>
      <c r="B791">
        <f>HYPERLINK("https://www.suredividend.com/sure-analysis-research-database/","Darling Ingredients Inc")</f>
        <v>0</v>
      </c>
      <c r="C791">
        <v>-0.135736800630417</v>
      </c>
      <c r="D791">
        <v>-0.364295029705839</v>
      </c>
      <c r="E791">
        <v>-0.220504619758351</v>
      </c>
      <c r="F791">
        <v>-0.299089311391596</v>
      </c>
      <c r="G791">
        <v>-0.435828189300411</v>
      </c>
      <c r="H791">
        <v>-0.4694642641189981</v>
      </c>
      <c r="I791">
        <v>1.092036242250834</v>
      </c>
    </row>
    <row r="792" spans="1:9">
      <c r="A792" s="1" t="s">
        <v>804</v>
      </c>
      <c r="B792">
        <f>HYPERLINK("https://www.suredividend.com/sure-analysis-research-database/","Dare Bioscience Inc")</f>
        <v>0</v>
      </c>
      <c r="C792">
        <v>-0.162046908315564</v>
      </c>
      <c r="D792">
        <v>-0.465306122448979</v>
      </c>
      <c r="E792">
        <v>-0.599429212108857</v>
      </c>
      <c r="F792">
        <v>-0.526506024096385</v>
      </c>
      <c r="G792">
        <v>-0.6108910891089101</v>
      </c>
      <c r="H792">
        <v>-0.746451612903225</v>
      </c>
      <c r="I792">
        <v>-0.5584269662921341</v>
      </c>
    </row>
    <row r="793" spans="1:9">
      <c r="A793" s="1" t="s">
        <v>805</v>
      </c>
      <c r="B793">
        <f>HYPERLINK("https://www.suredividend.com/sure-analysis-research-database/","Dave Inc")</f>
        <v>0</v>
      </c>
      <c r="C793">
        <v>-0.07190635451505001</v>
      </c>
      <c r="D793">
        <v>-0.178994082840236</v>
      </c>
      <c r="E793">
        <v>-0.01595744680851</v>
      </c>
      <c r="F793">
        <v>-0.401939655172413</v>
      </c>
      <c r="G793">
        <v>-0.371375498368974</v>
      </c>
      <c r="H793">
        <v>-0.444444444444444</v>
      </c>
      <c r="I793">
        <v>-0.433673469387755</v>
      </c>
    </row>
    <row r="794" spans="1:9">
      <c r="A794" s="1" t="s">
        <v>806</v>
      </c>
      <c r="B794">
        <f>HYPERLINK("https://www.suredividend.com/sure-analysis-research-database/","Diebold Nixdorf Inc")</f>
        <v>0</v>
      </c>
      <c r="C794">
        <v>0.045454545454545</v>
      </c>
      <c r="D794">
        <v>-0.071949440933398</v>
      </c>
      <c r="E794">
        <v>-0.071949440933398</v>
      </c>
      <c r="F794">
        <v>-0.071949440933398</v>
      </c>
      <c r="G794">
        <v>-0.071949440933398</v>
      </c>
      <c r="H794">
        <v>-0.071949440933398</v>
      </c>
      <c r="I794">
        <v>-0.071949440933398</v>
      </c>
    </row>
    <row r="795" spans="1:9">
      <c r="A795" s="1" t="s">
        <v>807</v>
      </c>
      <c r="B795">
        <f>HYPERLINK("https://www.suredividend.com/sure-analysis-research-database/","Designer Brands Inc")</f>
        <v>0</v>
      </c>
      <c r="C795">
        <v>-0.211102423768569</v>
      </c>
      <c r="D795">
        <v>0.028426985761025</v>
      </c>
      <c r="E795">
        <v>0.266601390876453</v>
      </c>
      <c r="F795">
        <v>0.047267141344736</v>
      </c>
      <c r="G795">
        <v>-0.295011982700195</v>
      </c>
      <c r="H795">
        <v>-0.2606054388369</v>
      </c>
      <c r="I795">
        <v>-0.6284020181932011</v>
      </c>
    </row>
    <row r="796" spans="1:9">
      <c r="A796" s="1" t="s">
        <v>808</v>
      </c>
      <c r="B796">
        <f>HYPERLINK("https://www.suredividend.com/sure-analysis-research-database/","Dropbox Inc")</f>
        <v>0</v>
      </c>
      <c r="C796">
        <v>-0.03186813186813101</v>
      </c>
      <c r="D796">
        <v>0.021646695013529</v>
      </c>
      <c r="E796">
        <v>0.319520718921617</v>
      </c>
      <c r="F796">
        <v>0.180965147453083</v>
      </c>
      <c r="G796">
        <v>0.278046421663442</v>
      </c>
      <c r="H796">
        <v>-0.122509960159362</v>
      </c>
      <c r="I796">
        <v>0.09987515605493101</v>
      </c>
    </row>
    <row r="797" spans="1:9">
      <c r="A797" s="1" t="s">
        <v>809</v>
      </c>
      <c r="B797">
        <f>HYPERLINK("https://www.suredividend.com/sure-analysis-DCI/","Donaldson Co. Inc.")</f>
        <v>0</v>
      </c>
      <c r="C797">
        <v>-0.012726054922973</v>
      </c>
      <c r="D797">
        <v>-0.06184861648129501</v>
      </c>
      <c r="E797">
        <v>-0.079122667545477</v>
      </c>
      <c r="F797">
        <v>0.013579141173902</v>
      </c>
      <c r="G797">
        <v>0.058035850475272</v>
      </c>
      <c r="H797">
        <v>-0.01199977880592</v>
      </c>
      <c r="I797">
        <v>0.191363824649673</v>
      </c>
    </row>
    <row r="798" spans="1:9">
      <c r="A798" s="1" t="s">
        <v>810</v>
      </c>
      <c r="B798">
        <f>HYPERLINK("https://www.suredividend.com/sure-analysis-research-database/","Ducommun Inc.")</f>
        <v>0</v>
      </c>
      <c r="C798">
        <v>0.09626763768775601</v>
      </c>
      <c r="D798">
        <v>0.001247141966327</v>
      </c>
      <c r="E798">
        <v>-0.085784778895426</v>
      </c>
      <c r="F798">
        <v>-0.035828662930344</v>
      </c>
      <c r="G798">
        <v>0.03569124919372101</v>
      </c>
      <c r="H798">
        <v>-0.038906624102154</v>
      </c>
      <c r="I798">
        <v>0.237985093806219</v>
      </c>
    </row>
    <row r="799" spans="1:9">
      <c r="A799" s="1" t="s">
        <v>811</v>
      </c>
      <c r="B799">
        <f>HYPERLINK("https://www.suredividend.com/sure-analysis-research-database/","Dime Community Bancshares Inc")</f>
        <v>0</v>
      </c>
      <c r="C799">
        <v>0.026388382865767</v>
      </c>
      <c r="D799">
        <v>-0.107235826463304</v>
      </c>
      <c r="E799">
        <v>0.135905441056184</v>
      </c>
      <c r="F799">
        <v>-0.335120281865844</v>
      </c>
      <c r="G799">
        <v>-0.355570297411497</v>
      </c>
      <c r="H799">
        <v>-0.415410976162878</v>
      </c>
      <c r="I799">
        <v>-0.305958829139874</v>
      </c>
    </row>
    <row r="800" spans="1:9">
      <c r="A800" s="1" t="s">
        <v>812</v>
      </c>
      <c r="B800">
        <f>HYPERLINK("https://www.suredividend.com/sure-analysis-research-database/","Deciphera Pharmaceuticals Inc")</f>
        <v>0</v>
      </c>
      <c r="C800">
        <v>-0.06973058637083901</v>
      </c>
      <c r="D800">
        <v>-0.105182926829268</v>
      </c>
      <c r="E800">
        <v>-0.179020979020979</v>
      </c>
      <c r="F800">
        <v>-0.283709579011592</v>
      </c>
      <c r="G800">
        <v>-0.294471153846153</v>
      </c>
      <c r="H800">
        <v>-0.6655270655270651</v>
      </c>
      <c r="I800">
        <v>-0.424791768740813</v>
      </c>
    </row>
    <row r="801" spans="1:9">
      <c r="A801" s="1" t="s">
        <v>813</v>
      </c>
      <c r="B801">
        <f>HYPERLINK("https://www.suredividend.com/sure-analysis-DD/","DuPont de Nemours Inc")</f>
        <v>0</v>
      </c>
      <c r="C801">
        <v>-0.07078559738134201</v>
      </c>
      <c r="D801">
        <v>-0.108012568735271</v>
      </c>
      <c r="E801">
        <v>0.05817558290517501</v>
      </c>
      <c r="F801">
        <v>0.007643477900764001</v>
      </c>
      <c r="G801">
        <v>0.147756122461012</v>
      </c>
      <c r="H801">
        <v>-0.08632014869928301</v>
      </c>
      <c r="I801">
        <v>-0.395123700887649</v>
      </c>
    </row>
    <row r="802" spans="1:9">
      <c r="A802" s="1" t="s">
        <v>814</v>
      </c>
      <c r="B802">
        <f>HYPERLINK("https://www.suredividend.com/sure-analysis-research-database/","3D Systems Corp.")</f>
        <v>0</v>
      </c>
      <c r="C802">
        <v>-0.124731182795698</v>
      </c>
      <c r="D802">
        <v>-0.514319809069212</v>
      </c>
      <c r="E802">
        <v>-0.546265328874024</v>
      </c>
      <c r="F802">
        <v>-0.45</v>
      </c>
      <c r="G802">
        <v>-0.518343195266272</v>
      </c>
      <c r="H802">
        <v>-0.870092563038621</v>
      </c>
      <c r="I802">
        <v>-0.68522815158546</v>
      </c>
    </row>
    <row r="803" spans="1:9">
      <c r="A803" s="1" t="s">
        <v>815</v>
      </c>
      <c r="B803">
        <f>HYPERLINK("https://www.suredividend.com/sure-analysis-DDS/","Dillard`s Inc.")</f>
        <v>0</v>
      </c>
      <c r="C803">
        <v>-0.002914825724104</v>
      </c>
      <c r="D803">
        <v>-0.048094416660881</v>
      </c>
      <c r="E803">
        <v>0.106637612193616</v>
      </c>
      <c r="F803">
        <v>0.007567374498999001</v>
      </c>
      <c r="G803">
        <v>0.09993883775487501</v>
      </c>
      <c r="H803">
        <v>0.39056425748781</v>
      </c>
      <c r="I803">
        <v>4.035640127684632</v>
      </c>
    </row>
    <row r="804" spans="1:9">
      <c r="A804" s="1" t="s">
        <v>816</v>
      </c>
      <c r="B804">
        <f>HYPERLINK("https://www.suredividend.com/sure-analysis-DE/","Deere &amp; Co.")</f>
        <v>0</v>
      </c>
      <c r="C804">
        <v>-0.0007489835223620001</v>
      </c>
      <c r="D804">
        <v>-0.129266897550637</v>
      </c>
      <c r="E804">
        <v>-0.020227286496966</v>
      </c>
      <c r="F804">
        <v>-0.120223001189804</v>
      </c>
      <c r="G804">
        <v>-0.019903134232026</v>
      </c>
      <c r="H804">
        <v>0.078060391698738</v>
      </c>
      <c r="I804">
        <v>1.83721340012942</v>
      </c>
    </row>
    <row r="805" spans="1:9">
      <c r="A805" s="1" t="s">
        <v>817</v>
      </c>
      <c r="B805">
        <f>HYPERLINK("https://www.suredividend.com/sure-analysis-DEA/","Easterly Government Properties Inc")</f>
        <v>0</v>
      </c>
      <c r="C805">
        <v>0.007098491570541001</v>
      </c>
      <c r="D805">
        <v>-0.200450847099432</v>
      </c>
      <c r="E805">
        <v>-0.142671541227301</v>
      </c>
      <c r="F805">
        <v>-0.15970741530443</v>
      </c>
      <c r="G805">
        <v>-0.249507385905285</v>
      </c>
      <c r="H805">
        <v>-0.382736191781417</v>
      </c>
      <c r="I805">
        <v>-0.157618174666201</v>
      </c>
    </row>
    <row r="806" spans="1:9">
      <c r="A806" s="1" t="s">
        <v>818</v>
      </c>
      <c r="B806">
        <f>HYPERLINK("https://www.suredividend.com/sure-analysis-research-database/","Deckers Outdoor Corp.")</f>
        <v>0</v>
      </c>
      <c r="C806">
        <v>0.161221138054294</v>
      </c>
      <c r="D806">
        <v>0.111051541817644</v>
      </c>
      <c r="E806">
        <v>0.239359069537243</v>
      </c>
      <c r="F806">
        <v>0.505636837358452</v>
      </c>
      <c r="G806">
        <v>0.733908427339084</v>
      </c>
      <c r="H806">
        <v>0.519301261470789</v>
      </c>
      <c r="I806">
        <v>3.563672260612043</v>
      </c>
    </row>
    <row r="807" spans="1:9">
      <c r="A807" s="1" t="s">
        <v>819</v>
      </c>
      <c r="B807">
        <f>HYPERLINK("https://www.suredividend.com/sure-analysis-DEI/","Douglas Emmett Inc")</f>
        <v>0</v>
      </c>
      <c r="C807">
        <v>-0.007287449392712001</v>
      </c>
      <c r="D807">
        <v>-0.138439915671117</v>
      </c>
      <c r="E807">
        <v>0.023107543123231</v>
      </c>
      <c r="F807">
        <v>-0.193415746156224</v>
      </c>
      <c r="G807">
        <v>-0.261494720229382</v>
      </c>
      <c r="H807">
        <v>-0.593995370355038</v>
      </c>
      <c r="I807">
        <v>-0.582419379010613</v>
      </c>
    </row>
    <row r="808" spans="1:9">
      <c r="A808" s="1" t="s">
        <v>820</v>
      </c>
      <c r="B808">
        <f>HYPERLINK("https://www.suredividend.com/sure-analysis-research-database/","Dell Technologies Inc")</f>
        <v>0</v>
      </c>
      <c r="C808">
        <v>0.019756387403446</v>
      </c>
      <c r="D808">
        <v>0.303824298043029</v>
      </c>
      <c r="E808">
        <v>0.55312174076328</v>
      </c>
      <c r="F808">
        <v>0.7575344850539161</v>
      </c>
      <c r="G808">
        <v>0.8765085187746521</v>
      </c>
      <c r="H808">
        <v>0.326362443752765</v>
      </c>
      <c r="I808">
        <v>0.5286127811177911</v>
      </c>
    </row>
    <row r="809" spans="1:9">
      <c r="A809" s="1" t="s">
        <v>821</v>
      </c>
      <c r="B809">
        <f>HYPERLINK("https://www.suredividend.com/sure-analysis-research-database/","Denny`s Corp.")</f>
        <v>0</v>
      </c>
      <c r="C809">
        <v>0.025700934579439</v>
      </c>
      <c r="D809">
        <v>-0.159406414552417</v>
      </c>
      <c r="E809">
        <v>-0.216770740410348</v>
      </c>
      <c r="F809">
        <v>-0.04668838219326801</v>
      </c>
      <c r="G809">
        <v>-0.244406196213425</v>
      </c>
      <c r="H809">
        <v>-0.401907356948228</v>
      </c>
      <c r="I809">
        <v>-0.475507765830346</v>
      </c>
    </row>
    <row r="810" spans="1:9">
      <c r="A810" s="1" t="s">
        <v>822</v>
      </c>
      <c r="B810">
        <f>HYPERLINK("https://www.suredividend.com/sure-analysis-research-database/","Journey Medical Corp")</f>
        <v>0</v>
      </c>
      <c r="C810">
        <v>0.261818181818181</v>
      </c>
      <c r="D810">
        <v>0.752525252525252</v>
      </c>
      <c r="E810">
        <v>1.238709677419355</v>
      </c>
      <c r="F810">
        <v>0.8072916666666661</v>
      </c>
      <c r="G810">
        <v>0.5630630630630631</v>
      </c>
      <c r="H810">
        <v>-0.634736842105263</v>
      </c>
      <c r="I810">
        <v>-0.634736842105263</v>
      </c>
    </row>
    <row r="811" spans="1:9">
      <c r="A811" s="1" t="s">
        <v>823</v>
      </c>
      <c r="B811">
        <f>HYPERLINK("https://www.suredividend.com/sure-analysis-research-database/","Donnelley Financial Solutions Inc")</f>
        <v>0</v>
      </c>
      <c r="C811">
        <v>-0.023956314955081</v>
      </c>
      <c r="D811">
        <v>0.125990652306441</v>
      </c>
      <c r="E811">
        <v>0.326232647199616</v>
      </c>
      <c r="F811">
        <v>0.433635187580853</v>
      </c>
      <c r="G811">
        <v>0.597750865051903</v>
      </c>
      <c r="H811">
        <v>0.3999494694290041</v>
      </c>
      <c r="I811">
        <v>2.502528445006321</v>
      </c>
    </row>
    <row r="812" spans="1:9">
      <c r="A812" s="1" t="s">
        <v>824</v>
      </c>
      <c r="B812">
        <f>HYPERLINK("https://www.suredividend.com/sure-analysis-DFS/","Discover Financial Services")</f>
        <v>0</v>
      </c>
      <c r="C812">
        <v>-0.061983926015633</v>
      </c>
      <c r="D812">
        <v>-0.167471183949782</v>
      </c>
      <c r="E812">
        <v>-0.091899358573983</v>
      </c>
      <c r="F812">
        <v>-0.111239997538176</v>
      </c>
      <c r="G812">
        <v>-0.13458872141578</v>
      </c>
      <c r="H812">
        <v>-0.22245321486392</v>
      </c>
      <c r="I812">
        <v>0.392570993334619</v>
      </c>
    </row>
    <row r="813" spans="1:9">
      <c r="A813" s="1" t="s">
        <v>825</v>
      </c>
      <c r="B813">
        <f>HYPERLINK("https://www.suredividend.com/sure-analysis-DG/","Dollar General Corp.")</f>
        <v>0</v>
      </c>
      <c r="C813">
        <v>0.137839084380123</v>
      </c>
      <c r="D813">
        <v>-0.29661111873154</v>
      </c>
      <c r="E813">
        <v>-0.46196062044742</v>
      </c>
      <c r="F813">
        <v>-0.517450554399714</v>
      </c>
      <c r="G813">
        <v>-0.5230217262121151</v>
      </c>
      <c r="H813">
        <v>-0.458442381968063</v>
      </c>
      <c r="I813">
        <v>0.09884762764757801</v>
      </c>
    </row>
    <row r="814" spans="1:9">
      <c r="A814" s="1" t="s">
        <v>826</v>
      </c>
      <c r="B814">
        <f>HYPERLINK("https://www.suredividend.com/sure-analysis-DGICA/","Donegal Group Inc.")</f>
        <v>0</v>
      </c>
      <c r="C814">
        <v>0.050271847910737</v>
      </c>
      <c r="D814">
        <v>-0.006232567749044</v>
      </c>
      <c r="E814">
        <v>0.061013808620461</v>
      </c>
      <c r="F814">
        <v>0.101804271304985</v>
      </c>
      <c r="G814">
        <v>0.07088787959747</v>
      </c>
      <c r="H814">
        <v>0.159101314933369</v>
      </c>
      <c r="I814">
        <v>0.364526103772068</v>
      </c>
    </row>
    <row r="815" spans="1:9">
      <c r="A815" s="1" t="s">
        <v>827</v>
      </c>
      <c r="B815">
        <f>HYPERLINK("https://www.suredividend.com/sure-analysis-research-database/","Digi International, Inc.")</f>
        <v>0</v>
      </c>
      <c r="C815">
        <v>-0.092565055762081</v>
      </c>
      <c r="D815">
        <v>-0.415329341317365</v>
      </c>
      <c r="E815">
        <v>-0.156530753282653</v>
      </c>
      <c r="F815">
        <v>-0.332147742818057</v>
      </c>
      <c r="G815">
        <v>-0.345751809166443</v>
      </c>
      <c r="H815">
        <v>0.060843111690569</v>
      </c>
      <c r="I815">
        <v>1.093481989708404</v>
      </c>
    </row>
    <row r="816" spans="1:9">
      <c r="A816" s="1" t="s">
        <v>828</v>
      </c>
      <c r="B816">
        <f>HYPERLINK("https://www.suredividend.com/sure-analysis-research-database/","Digital Ally Inc.")</f>
        <v>0</v>
      </c>
      <c r="C816">
        <v>0.179245283018867</v>
      </c>
      <c r="D816">
        <v>-0.365482233502538</v>
      </c>
      <c r="E816">
        <v>-0.249249249249249</v>
      </c>
      <c r="F816">
        <v>-0.462827675118177</v>
      </c>
      <c r="G816">
        <v>-0.638937030618139</v>
      </c>
      <c r="H816">
        <v>-0.7960848287112561</v>
      </c>
      <c r="I816">
        <v>-0.7960848287112561</v>
      </c>
    </row>
    <row r="817" spans="1:9">
      <c r="A817" s="1" t="s">
        <v>829</v>
      </c>
      <c r="B817">
        <f>HYPERLINK("https://www.suredividend.com/sure-analysis-DGX/","Quest Diagnostics, Inc.")</f>
        <v>0</v>
      </c>
      <c r="C817">
        <v>0.09250750979330301</v>
      </c>
      <c r="D817">
        <v>-0.019775413402796</v>
      </c>
      <c r="E817">
        <v>-0.03864102359512901</v>
      </c>
      <c r="F817">
        <v>-0.143234961597902</v>
      </c>
      <c r="G817">
        <v>-0.045897606716276</v>
      </c>
      <c r="H817">
        <v>-0.052387466952977</v>
      </c>
      <c r="I817">
        <v>0.558563316263863</v>
      </c>
    </row>
    <row r="818" spans="1:9">
      <c r="A818" s="1" t="s">
        <v>830</v>
      </c>
      <c r="B818">
        <f>HYPERLINK("https://www.suredividend.com/sure-analysis-DHI/","D.R. Horton Inc.")</f>
        <v>0</v>
      </c>
      <c r="C818">
        <v>0.07393106046336401</v>
      </c>
      <c r="D818">
        <v>-0.09128363856310701</v>
      </c>
      <c r="E818">
        <v>0.05232946596332901</v>
      </c>
      <c r="F818">
        <v>0.288026314005973</v>
      </c>
      <c r="G818">
        <v>0.5318521264976961</v>
      </c>
      <c r="H818">
        <v>0.315584536949546</v>
      </c>
      <c r="I818">
        <v>2.345754357138665</v>
      </c>
    </row>
    <row r="819" spans="1:9">
      <c r="A819" s="1" t="s">
        <v>831</v>
      </c>
      <c r="B819">
        <f>HYPERLINK("https://www.suredividend.com/sure-analysis-research-database/","Diamond Hill Investment Group, Inc.")</f>
        <v>0</v>
      </c>
      <c r="C819">
        <v>-0.09763033175355401</v>
      </c>
      <c r="D819">
        <v>-0.138878461559335</v>
      </c>
      <c r="E819">
        <v>-0.006462040809936001</v>
      </c>
      <c r="F819">
        <v>-0.139287685971101</v>
      </c>
      <c r="G819">
        <v>-0.08413048014002601</v>
      </c>
      <c r="H819">
        <v>-0.24192203024747</v>
      </c>
      <c r="I819">
        <v>0.204511540995066</v>
      </c>
    </row>
    <row r="820" spans="1:9">
      <c r="A820" s="1" t="s">
        <v>832</v>
      </c>
      <c r="B820">
        <f>HYPERLINK("https://www.suredividend.com/sure-analysis-DHR/","Danaher Corp.")</f>
        <v>0</v>
      </c>
      <c r="C820">
        <v>-0.09601121624387901</v>
      </c>
      <c r="D820">
        <v>-0.250713546056966</v>
      </c>
      <c r="E820">
        <v>-0.203257980425364</v>
      </c>
      <c r="F820">
        <v>-0.270393113611943</v>
      </c>
      <c r="G820">
        <v>-0.200795146294494</v>
      </c>
      <c r="H820">
        <v>-0.379042474357105</v>
      </c>
      <c r="I820">
        <v>0.9462438139843531</v>
      </c>
    </row>
    <row r="821" spans="1:9">
      <c r="A821" s="1" t="s">
        <v>833</v>
      </c>
      <c r="B821">
        <f>HYPERLINK("https://www.suredividend.com/sure-analysis-research-database/","DHI Group Inc")</f>
        <v>0</v>
      </c>
      <c r="C821">
        <v>-0.040268456375838</v>
      </c>
      <c r="D821">
        <v>-0.26478149100257</v>
      </c>
      <c r="E821">
        <v>-0.1875</v>
      </c>
      <c r="F821">
        <v>-0.459357277882797</v>
      </c>
      <c r="G821">
        <v>-0.538709677419354</v>
      </c>
      <c r="H821">
        <v>-0.399159663865546</v>
      </c>
      <c r="I821">
        <v>0.5714285714285711</v>
      </c>
    </row>
    <row r="822" spans="1:9">
      <c r="A822" s="1" t="s">
        <v>834</v>
      </c>
      <c r="B822">
        <f>HYPERLINK("https://www.suredividend.com/sure-analysis-research-database/","Dine Brands Global Inc")</f>
        <v>0</v>
      </c>
      <c r="C822">
        <v>-0.124093315036267</v>
      </c>
      <c r="D822">
        <v>-0.232871820229657</v>
      </c>
      <c r="E822">
        <v>-0.2820402398127</v>
      </c>
      <c r="F822">
        <v>-0.290394920320306</v>
      </c>
      <c r="G822">
        <v>-0.348779179590028</v>
      </c>
      <c r="H822">
        <v>-0.408817979978141</v>
      </c>
      <c r="I822">
        <v>-0.40788017657575</v>
      </c>
    </row>
    <row r="823" spans="1:9">
      <c r="A823" s="1" t="s">
        <v>835</v>
      </c>
      <c r="B823">
        <f>HYPERLINK("https://www.suredividend.com/sure-analysis-research-database/","Diodes, Inc.")</f>
        <v>0</v>
      </c>
      <c r="C823">
        <v>-0.165544751932186</v>
      </c>
      <c r="D823">
        <v>-0.252651557441107</v>
      </c>
      <c r="E823">
        <v>-0.194076571153383</v>
      </c>
      <c r="F823">
        <v>-0.120830049908064</v>
      </c>
      <c r="G823">
        <v>-0.057050288773066</v>
      </c>
      <c r="H823">
        <v>-0.334261561412232</v>
      </c>
      <c r="I823">
        <v>1.151028277634961</v>
      </c>
    </row>
    <row r="824" spans="1:9">
      <c r="A824" s="1" t="s">
        <v>836</v>
      </c>
      <c r="B824">
        <f>HYPERLINK("https://www.suredividend.com/sure-analysis-research-database/","Walt Disney Co (The)")</f>
        <v>0</v>
      </c>
      <c r="C824">
        <v>0.019835925064283</v>
      </c>
      <c r="D824">
        <v>-0.034878331402085</v>
      </c>
      <c r="E824">
        <v>-0.172067594433399</v>
      </c>
      <c r="F824">
        <v>-0.041321362799263</v>
      </c>
      <c r="G824">
        <v>-0.181987821646041</v>
      </c>
      <c r="H824">
        <v>-0.5095683919213331</v>
      </c>
      <c r="I824">
        <v>-0.262355697060138</v>
      </c>
    </row>
    <row r="825" spans="1:9">
      <c r="A825" s="1" t="s">
        <v>837</v>
      </c>
      <c r="B825">
        <f>HYPERLINK("https://www.suredividend.com/sure-analysis-research-database/","Warner Bros.Discovery Inc")</f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</row>
    <row r="826" spans="1:9">
      <c r="A826" s="1" t="s">
        <v>838</v>
      </c>
      <c r="B826">
        <f>HYPERLINK("https://www.suredividend.com/sure-analysis-research-database/","Dish Network Corp")</f>
        <v>0</v>
      </c>
      <c r="C826">
        <v>-0.06618962432915901</v>
      </c>
      <c r="D826">
        <v>-0.295546558704453</v>
      </c>
      <c r="E826">
        <v>-0.258522727272727</v>
      </c>
      <c r="F826">
        <v>-0.6282051282051281</v>
      </c>
      <c r="G826">
        <v>-0.641237113402061</v>
      </c>
      <c r="H826">
        <v>-0.878236529041287</v>
      </c>
      <c r="I826">
        <v>-0.830565689876786</v>
      </c>
    </row>
    <row r="827" spans="1:9">
      <c r="A827" s="1" t="s">
        <v>839</v>
      </c>
      <c r="B827">
        <f>HYPERLINK("https://www.suredividend.com/sure-analysis-research-database/","Amcon Distributing Company")</f>
        <v>0</v>
      </c>
      <c r="C827">
        <v>-0.033073833490355</v>
      </c>
      <c r="D827">
        <v>-0.194331065478573</v>
      </c>
      <c r="E827">
        <v>0.09335146988489501</v>
      </c>
      <c r="F827">
        <v>0.08232256431632401</v>
      </c>
      <c r="G827">
        <v>0.057942708333333</v>
      </c>
      <c r="H827">
        <v>0.5802256238041941</v>
      </c>
      <c r="I827">
        <v>1.702234540100467</v>
      </c>
    </row>
    <row r="828" spans="1:9">
      <c r="A828" s="1" t="s">
        <v>840</v>
      </c>
      <c r="B828">
        <f>HYPERLINK("https://www.suredividend.com/sure-analysis-research-database/","Daily Journal Corporation")</f>
        <v>0</v>
      </c>
      <c r="C828">
        <v>-0.011281911448924</v>
      </c>
      <c r="D828">
        <v>-0.003606636210627</v>
      </c>
      <c r="E828">
        <v>0.061786237188872</v>
      </c>
      <c r="F828">
        <v>0.157957766157039</v>
      </c>
      <c r="G828">
        <v>0.115692307692307</v>
      </c>
      <c r="H828">
        <v>-0.166364916515791</v>
      </c>
      <c r="I828">
        <v>0.233857932794555</v>
      </c>
    </row>
    <row r="829" spans="1:9">
      <c r="A829" s="1" t="s">
        <v>841</v>
      </c>
      <c r="B829">
        <f>HYPERLINK("https://www.suredividend.com/sure-analysis-research-database/","Delek US Holdings Inc")</f>
        <v>0</v>
      </c>
      <c r="C829">
        <v>-0.013518450858604</v>
      </c>
      <c r="D829">
        <v>-0.025749090699151</v>
      </c>
      <c r="E829">
        <v>0.346814783038114</v>
      </c>
      <c r="F829">
        <v>0.028308964949898</v>
      </c>
      <c r="G829">
        <v>-0.05207945680642</v>
      </c>
      <c r="H829">
        <v>0.525906501491997</v>
      </c>
      <c r="I829">
        <v>-0.162725792697108</v>
      </c>
    </row>
    <row r="830" spans="1:9">
      <c r="A830" s="1" t="s">
        <v>842</v>
      </c>
      <c r="B830">
        <f>HYPERLINK("https://www.suredividend.com/sure-analysis-DKS/","Dicks Sporting Goods, Inc.")</f>
        <v>0</v>
      </c>
      <c r="C830">
        <v>0.040545625587958</v>
      </c>
      <c r="D830">
        <v>-0.197810350792072</v>
      </c>
      <c r="E830">
        <v>-0.212427426693305</v>
      </c>
      <c r="F830">
        <v>-0.058763262069036</v>
      </c>
      <c r="G830">
        <v>0.021190086673289</v>
      </c>
      <c r="H830">
        <v>-0.067898233127407</v>
      </c>
      <c r="I830">
        <v>2.452613573225624</v>
      </c>
    </row>
    <row r="831" spans="1:9">
      <c r="A831" s="1" t="s">
        <v>843</v>
      </c>
      <c r="B831">
        <f>HYPERLINK("https://www.suredividend.com/sure-analysis-research-database/","Delta Apparel Inc.")</f>
        <v>0</v>
      </c>
      <c r="C831">
        <v>0.280728376327769</v>
      </c>
      <c r="D831">
        <v>0.038130381303812</v>
      </c>
      <c r="E831">
        <v>-0.249777777777777</v>
      </c>
      <c r="F831">
        <v>-0.204524033930254</v>
      </c>
      <c r="G831">
        <v>-0.4358288770053471</v>
      </c>
      <c r="H831">
        <v>-0.6923076923076921</v>
      </c>
      <c r="I831">
        <v>-0.554852320675105</v>
      </c>
    </row>
    <row r="832" spans="1:9">
      <c r="A832" s="1" t="s">
        <v>844</v>
      </c>
      <c r="B832">
        <f>HYPERLINK("https://www.suredividend.com/sure-analysis-DLB/","Dolby Laboratories Inc")</f>
        <v>0</v>
      </c>
      <c r="C832">
        <v>0.034572490706319</v>
      </c>
      <c r="D832">
        <v>-0.04649874659525</v>
      </c>
      <c r="E832">
        <v>0.01908169131675</v>
      </c>
      <c r="F832">
        <v>0.1954330420041</v>
      </c>
      <c r="G832">
        <v>0.275343811244839</v>
      </c>
      <c r="H832">
        <v>-0.045746778295282</v>
      </c>
      <c r="I832">
        <v>0.285757186087519</v>
      </c>
    </row>
    <row r="833" spans="1:9">
      <c r="A833" s="1" t="s">
        <v>845</v>
      </c>
      <c r="B833">
        <f>HYPERLINK("https://www.suredividend.com/sure-analysis-research-database/","DLH Holdings Corp")</f>
        <v>0</v>
      </c>
      <c r="C833">
        <v>0.177759056444819</v>
      </c>
      <c r="D833">
        <v>0.337799043062201</v>
      </c>
      <c r="E833">
        <v>0.381422924901186</v>
      </c>
      <c r="F833">
        <v>0.178255372945638</v>
      </c>
      <c r="G833">
        <v>0.05509433962264101</v>
      </c>
      <c r="H833">
        <v>-0.05985205110961601</v>
      </c>
      <c r="I833">
        <v>1.741176470588235</v>
      </c>
    </row>
    <row r="834" spans="1:9">
      <c r="A834" s="1" t="s">
        <v>846</v>
      </c>
      <c r="B834">
        <f>HYPERLINK("https://www.suredividend.com/sure-analysis-DLR/","Digital Realty Trust Inc")</f>
        <v>0</v>
      </c>
      <c r="C834">
        <v>0.101674843512096</v>
      </c>
      <c r="D834">
        <v>0.065914153971561</v>
      </c>
      <c r="E834">
        <v>0.404086772217538</v>
      </c>
      <c r="F834">
        <v>0.342248678775486</v>
      </c>
      <c r="G834">
        <v>0.444145798405052</v>
      </c>
      <c r="H834">
        <v>-0.107281169417799</v>
      </c>
      <c r="I834">
        <v>0.4506684725766401</v>
      </c>
    </row>
    <row r="835" spans="1:9">
      <c r="A835" s="1" t="s">
        <v>847</v>
      </c>
      <c r="B835">
        <f>HYPERLINK("https://www.suredividend.com/sure-analysis-research-database/","Duluth Holdings Inc")</f>
        <v>0</v>
      </c>
      <c r="C835">
        <v>-0.167521367521367</v>
      </c>
      <c r="D835">
        <v>-0.329201101928374</v>
      </c>
      <c r="E835">
        <v>-0.144112478031634</v>
      </c>
      <c r="F835">
        <v>-0.211974110032362</v>
      </c>
      <c r="G835">
        <v>-0.436994219653179</v>
      </c>
      <c r="H835">
        <v>-0.6791831357048741</v>
      </c>
      <c r="I835">
        <v>-0.8484754200373361</v>
      </c>
    </row>
    <row r="836" spans="1:9">
      <c r="A836" s="1" t="s">
        <v>848</v>
      </c>
      <c r="B836">
        <f>HYPERLINK("https://www.suredividend.com/sure-analysis-research-database/","Dollar Tree Inc")</f>
        <v>0</v>
      </c>
      <c r="C836">
        <v>0.089336900439518</v>
      </c>
      <c r="D836">
        <v>-0.246762684989429</v>
      </c>
      <c r="E836">
        <v>-0.262977568039304</v>
      </c>
      <c r="F836">
        <v>-0.193933823529411</v>
      </c>
      <c r="G836">
        <v>-0.255809399477806</v>
      </c>
      <c r="H836">
        <v>0.023888639425235</v>
      </c>
      <c r="I836">
        <v>0.338931297709923</v>
      </c>
    </row>
    <row r="837" spans="1:9">
      <c r="A837" s="1" t="s">
        <v>849</v>
      </c>
      <c r="B837">
        <f>HYPERLINK("https://www.suredividend.com/sure-analysis-research-database/","Deluxe Corp.")</f>
        <v>0</v>
      </c>
      <c r="C837">
        <v>-0.048622366288492</v>
      </c>
      <c r="D837">
        <v>-0.039589002994126</v>
      </c>
      <c r="E837">
        <v>0.275162925416364</v>
      </c>
      <c r="F837">
        <v>0.08993680718454601</v>
      </c>
      <c r="G837">
        <v>0.06640667579056901</v>
      </c>
      <c r="H837">
        <v>-0.467667045536988</v>
      </c>
      <c r="I837">
        <v>-0.5670985029130511</v>
      </c>
    </row>
    <row r="838" spans="1:9">
      <c r="A838" s="1" t="s">
        <v>850</v>
      </c>
      <c r="B838">
        <f>HYPERLINK("https://www.suredividend.com/sure-analysis-research-database/","Digimarc Corporation")</f>
        <v>0</v>
      </c>
      <c r="C838">
        <v>-0.143708817069344</v>
      </c>
      <c r="D838">
        <v>-0.069236016371077</v>
      </c>
      <c r="E838">
        <v>0.631201434548714</v>
      </c>
      <c r="F838">
        <v>0.475932936722552</v>
      </c>
      <c r="G838">
        <v>0.727215189873417</v>
      </c>
      <c r="H838">
        <v>-0.460458679319889</v>
      </c>
      <c r="I838">
        <v>0.347654320987654</v>
      </c>
    </row>
    <row r="839" spans="1:9">
      <c r="A839" s="1" t="s">
        <v>851</v>
      </c>
      <c r="B839">
        <f>HYPERLINK("https://www.suredividend.com/sure-analysis-research-database/","Dunkin Brands Group Inc")</f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</row>
    <row r="840" spans="1:9">
      <c r="A840" s="1" t="s">
        <v>852</v>
      </c>
      <c r="B840">
        <f>HYPERLINK("https://www.suredividend.com/sure-analysis-research-database/","Denali Therapeutics Inc")</f>
        <v>0</v>
      </c>
      <c r="C840">
        <v>-0.01010611419909</v>
      </c>
      <c r="D840">
        <v>-0.289187227866473</v>
      </c>
      <c r="E840">
        <v>-0.196472518457752</v>
      </c>
      <c r="F840">
        <v>-0.295577130528586</v>
      </c>
      <c r="G840">
        <v>-0.3625122030589</v>
      </c>
      <c r="H840">
        <v>-0.6172332942555681</v>
      </c>
      <c r="I840">
        <v>0.154390100176782</v>
      </c>
    </row>
    <row r="841" spans="1:9">
      <c r="A841" s="1" t="s">
        <v>853</v>
      </c>
      <c r="B841">
        <f>HYPERLINK("https://www.suredividend.com/sure-analysis-research-database/","NOW Inc")</f>
        <v>0</v>
      </c>
      <c r="C841">
        <v>-0.07204861111111101</v>
      </c>
      <c r="D841">
        <v>0.018095238095237</v>
      </c>
      <c r="E841">
        <v>0.041910331384015</v>
      </c>
      <c r="F841">
        <v>-0.158267716535433</v>
      </c>
      <c r="G841">
        <v>-0.153602533650039</v>
      </c>
      <c r="H841">
        <v>0.414021164021164</v>
      </c>
      <c r="I841">
        <v>-0.284471218206157</v>
      </c>
    </row>
    <row r="842" spans="1:9">
      <c r="A842" s="1" t="s">
        <v>854</v>
      </c>
      <c r="B842">
        <f>HYPERLINK("https://www.suredividend.com/sure-analysis-research-database/","Diamond Offshore Drilling, Inc.")</f>
        <v>0</v>
      </c>
      <c r="C842">
        <v>-0.025107604017216</v>
      </c>
      <c r="D842">
        <v>-0.104152933421226</v>
      </c>
      <c r="E842">
        <v>0.272471910112359</v>
      </c>
      <c r="F842">
        <v>0.306730769230769</v>
      </c>
      <c r="G842">
        <v>0.414151925078043</v>
      </c>
      <c r="H842">
        <v>13.48209718670077</v>
      </c>
      <c r="I842">
        <v>-0.043631245601689</v>
      </c>
    </row>
    <row r="843" spans="1:9">
      <c r="A843" s="1" t="s">
        <v>855</v>
      </c>
      <c r="B843">
        <f>HYPERLINK("https://www.suredividend.com/sure-analysis-DOC/","Physicians Realty Trust")</f>
        <v>0</v>
      </c>
      <c r="C843">
        <v>-0.002579535683577</v>
      </c>
      <c r="D843">
        <v>-0.18179638015433</v>
      </c>
      <c r="E843">
        <v>-0.156443390806687</v>
      </c>
      <c r="F843">
        <v>-0.142639635178382</v>
      </c>
      <c r="G843">
        <v>-0.158346877176689</v>
      </c>
      <c r="H843">
        <v>-0.314254636170703</v>
      </c>
      <c r="I843">
        <v>-0.05929674322044901</v>
      </c>
    </row>
    <row r="844" spans="1:9">
      <c r="A844" s="1" t="s">
        <v>856</v>
      </c>
      <c r="B844">
        <f>HYPERLINK("https://www.suredividend.com/sure-analysis-research-database/","DocuSign Inc")</f>
        <v>0</v>
      </c>
      <c r="C844">
        <v>-0.044332614426072</v>
      </c>
      <c r="D844">
        <v>-0.223217763926762</v>
      </c>
      <c r="E844">
        <v>-0.17688338493292</v>
      </c>
      <c r="F844">
        <v>-0.280404186214363</v>
      </c>
      <c r="G844">
        <v>-0.075996292863762</v>
      </c>
      <c r="H844">
        <v>-0.8585113176754411</v>
      </c>
      <c r="I844">
        <v>-0.06865950490425</v>
      </c>
    </row>
    <row r="845" spans="1:9">
      <c r="A845" s="1" t="s">
        <v>857</v>
      </c>
      <c r="B845">
        <f>HYPERLINK("https://www.suredividend.com/sure-analysis-research-database/","Domo Inc.")</f>
        <v>0</v>
      </c>
      <c r="C845">
        <v>-0.144723618090452</v>
      </c>
      <c r="D845">
        <v>-0.4817295980511571</v>
      </c>
      <c r="E845">
        <v>-0.413911845730027</v>
      </c>
      <c r="F845">
        <v>-0.402387640449438</v>
      </c>
      <c r="G845">
        <v>-0.4782342121397911</v>
      </c>
      <c r="H845">
        <v>-0.901822796492847</v>
      </c>
      <c r="I845">
        <v>-0.485178463399879</v>
      </c>
    </row>
    <row r="846" spans="1:9">
      <c r="A846" s="1" t="s">
        <v>858</v>
      </c>
      <c r="B846">
        <f>HYPERLINK("https://www.suredividend.com/sure-analysis-research-database/","Masonite International Corp")</f>
        <v>0</v>
      </c>
      <c r="C846">
        <v>-0.101043796405896</v>
      </c>
      <c r="D846">
        <v>-0.196885214381849</v>
      </c>
      <c r="E846">
        <v>-0.07115855014454001</v>
      </c>
      <c r="F846">
        <v>0.03634784766158</v>
      </c>
      <c r="G846">
        <v>0.181111268203025</v>
      </c>
      <c r="H846">
        <v>-0.317260542661</v>
      </c>
      <c r="I846">
        <v>0.47858407079646</v>
      </c>
    </row>
    <row r="847" spans="1:9">
      <c r="A847" s="1" t="s">
        <v>859</v>
      </c>
      <c r="B847">
        <f>HYPERLINK("https://www.suredividend.com/sure-analysis-research-database/","Dorman Products Inc")</f>
        <v>0</v>
      </c>
      <c r="C847">
        <v>-0.114</v>
      </c>
      <c r="D847">
        <v>-0.250761077911827</v>
      </c>
      <c r="E847">
        <v>-0.197560681077164</v>
      </c>
      <c r="F847">
        <v>-0.178310869296401</v>
      </c>
      <c r="G847">
        <v>-0.167188870785812</v>
      </c>
      <c r="H847">
        <v>-0.381860465116279</v>
      </c>
      <c r="I847">
        <v>-0.183259587020648</v>
      </c>
    </row>
    <row r="848" spans="1:9">
      <c r="A848" s="1" t="s">
        <v>860</v>
      </c>
      <c r="B848">
        <f>HYPERLINK("https://www.suredividend.com/sure-analysis-DOV/","Dover Corp.")</f>
        <v>0</v>
      </c>
      <c r="C848">
        <v>-0.032103428239395</v>
      </c>
      <c r="D848">
        <v>-0.06466225786572301</v>
      </c>
      <c r="E848">
        <v>-0.072682977407172</v>
      </c>
      <c r="F848">
        <v>-0.005404372608391</v>
      </c>
      <c r="G848">
        <v>0.03355365311500901</v>
      </c>
      <c r="H848">
        <v>-0.200549524715114</v>
      </c>
      <c r="I848">
        <v>0.7110148991572031</v>
      </c>
    </row>
    <row r="849" spans="1:9">
      <c r="A849" s="1" t="s">
        <v>861</v>
      </c>
      <c r="B849">
        <f>HYPERLINK("https://www.suredividend.com/sure-analysis-DOW/","Dow Inc")</f>
        <v>0</v>
      </c>
      <c r="C849">
        <v>-0.045029239766081</v>
      </c>
      <c r="D849">
        <v>-0.09289200619181201</v>
      </c>
      <c r="E849">
        <v>-0.06436389540890801</v>
      </c>
      <c r="F849">
        <v>0.010824216863989</v>
      </c>
      <c r="G849">
        <v>0.10069852453823</v>
      </c>
      <c r="H849">
        <v>-0.07333847830034401</v>
      </c>
      <c r="I849">
        <v>-0.016265060240963</v>
      </c>
    </row>
    <row r="850" spans="1:9">
      <c r="A850" s="1" t="s">
        <v>862</v>
      </c>
      <c r="B850">
        <f>HYPERLINK("https://www.suredividend.com/sure-analysis-DPZ/","Dominos Pizza Inc")</f>
        <v>0</v>
      </c>
      <c r="C850">
        <v>-0.08451148368108401</v>
      </c>
      <c r="D850">
        <v>-0.122655032532126</v>
      </c>
      <c r="E850">
        <v>0.126007614885873</v>
      </c>
      <c r="F850">
        <v>0.016920853094956</v>
      </c>
      <c r="G850">
        <v>0.042195173318271</v>
      </c>
      <c r="H850">
        <v>-0.266508197515164</v>
      </c>
      <c r="I850">
        <v>0.382838951935252</v>
      </c>
    </row>
    <row r="851" spans="1:9">
      <c r="A851" s="1" t="s">
        <v>863</v>
      </c>
      <c r="B851">
        <f>HYPERLINK("https://www.suredividend.com/sure-analysis-research-database/","Duke Realty Corp")</f>
        <v>0</v>
      </c>
      <c r="C851">
        <v>-0.160818219646255</v>
      </c>
      <c r="D851">
        <v>-0.138271644667564</v>
      </c>
      <c r="E851">
        <v>-0.177948555270168</v>
      </c>
      <c r="F851">
        <v>-0.254398584285444</v>
      </c>
      <c r="G851">
        <v>0.007788406251633</v>
      </c>
      <c r="H851">
        <v>0.309430343467382</v>
      </c>
      <c r="I851">
        <v>0.9473567258549981</v>
      </c>
    </row>
    <row r="852" spans="1:9">
      <c r="A852" s="1" t="s">
        <v>864</v>
      </c>
      <c r="B852">
        <f>HYPERLINK("https://www.suredividend.com/sure-analysis-research-database/","Diamondrock Hospitality Co.")</f>
        <v>0</v>
      </c>
      <c r="C852">
        <v>0.021065675340768</v>
      </c>
      <c r="D852">
        <v>0.001348904470828</v>
      </c>
      <c r="E852">
        <v>0.018805870497904</v>
      </c>
      <c r="F852">
        <v>0.017786561264822</v>
      </c>
      <c r="G852">
        <v>-0.04487023449363001</v>
      </c>
      <c r="H852">
        <v>-0.13760622932976</v>
      </c>
      <c r="I852">
        <v>-0.131927983734184</v>
      </c>
    </row>
    <row r="853" spans="1:9">
      <c r="A853" s="1" t="s">
        <v>865</v>
      </c>
      <c r="B853">
        <f>HYPERLINK("https://www.suredividend.com/sure-analysis-DRI/","Darden Restaurants, Inc.")</f>
        <v>0</v>
      </c>
      <c r="C853">
        <v>0.041053130707877</v>
      </c>
      <c r="D853">
        <v>-0.09671396495707701</v>
      </c>
      <c r="E853">
        <v>-0.015680224742292</v>
      </c>
      <c r="F853">
        <v>0.09803112433812</v>
      </c>
      <c r="G853">
        <v>0.08718501390069</v>
      </c>
      <c r="H853">
        <v>0.09573180830064501</v>
      </c>
      <c r="I853">
        <v>0.5794822163077661</v>
      </c>
    </row>
    <row r="854" spans="1:9">
      <c r="A854" s="1" t="s">
        <v>866</v>
      </c>
      <c r="B854">
        <f>HYPERLINK("https://www.suredividend.com/sure-analysis-research-database/","Dicerna Pharmaceuticals Inc")</f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</row>
    <row r="855" spans="1:9">
      <c r="A855" s="1" t="s">
        <v>867</v>
      </c>
      <c r="B855">
        <f>HYPERLINK("https://www.suredividend.com/sure-analysis-research-database/","Dril-Quip, Inc.")</f>
        <v>0</v>
      </c>
      <c r="C855">
        <v>-0.122984626921634</v>
      </c>
      <c r="D855">
        <v>-0.152843172763491</v>
      </c>
      <c r="E855">
        <v>-0.08274509803921501</v>
      </c>
      <c r="F855">
        <v>-0.139124033860876</v>
      </c>
      <c r="G855">
        <v>-0.029460580912863</v>
      </c>
      <c r="H855">
        <v>-0.022565816966151</v>
      </c>
      <c r="I855">
        <v>-0.451839700023435</v>
      </c>
    </row>
    <row r="856" spans="1:9">
      <c r="A856" s="1" t="s">
        <v>868</v>
      </c>
      <c r="B856">
        <f>HYPERLINK("https://www.suredividend.com/sure-analysis-research-database/","Durect Corp")</f>
        <v>0</v>
      </c>
      <c r="C856">
        <v>0.071713147410358</v>
      </c>
      <c r="D856">
        <v>-0.235795454545454</v>
      </c>
      <c r="E856">
        <v>-0.351807228915662</v>
      </c>
      <c r="F856">
        <v>-0.222543352601156</v>
      </c>
      <c r="G856">
        <v>-0.517575322812051</v>
      </c>
      <c r="H856">
        <v>-0.7847999999999991</v>
      </c>
      <c r="I856">
        <v>-0.731</v>
      </c>
    </row>
    <row r="857" spans="1:9">
      <c r="A857" s="1" t="s">
        <v>869</v>
      </c>
      <c r="B857">
        <f>HYPERLINK("https://www.suredividend.com/sure-analysis-research-database/","Drive Shack Inc")</f>
        <v>0</v>
      </c>
      <c r="C857">
        <v>-0.6578195181706811</v>
      </c>
      <c r="D857">
        <v>-0.7296774193548381</v>
      </c>
      <c r="E857">
        <v>-0.873030303030303</v>
      </c>
      <c r="F857">
        <v>0</v>
      </c>
      <c r="G857">
        <v>-0.8827972027972021</v>
      </c>
      <c r="H857">
        <v>-0.929579831932773</v>
      </c>
      <c r="I857">
        <v>-0.9708521739130431</v>
      </c>
    </row>
    <row r="858" spans="1:9">
      <c r="A858" s="1" t="s">
        <v>870</v>
      </c>
      <c r="B858">
        <f>HYPERLINK("https://www.suredividend.com/sure-analysis-research-database/","Daseke Inc")</f>
        <v>0</v>
      </c>
      <c r="C858">
        <v>-0.07913669064748101</v>
      </c>
      <c r="D858">
        <v>-0.402666666666666</v>
      </c>
      <c r="E858">
        <v>-0.4427860696517411</v>
      </c>
      <c r="F858">
        <v>-0.212653778558875</v>
      </c>
      <c r="G858">
        <v>-0.195691202872531</v>
      </c>
      <c r="H858">
        <v>-0.52492046659597</v>
      </c>
      <c r="I858">
        <v>-0.261943986820428</v>
      </c>
    </row>
    <row r="859" spans="1:9">
      <c r="A859" s="1" t="s">
        <v>871</v>
      </c>
      <c r="B859">
        <f>HYPERLINK("https://www.suredividend.com/sure-analysis-research-database/","DSP Group, Inc.")</f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</row>
    <row r="860" spans="1:9">
      <c r="A860" s="1" t="s">
        <v>872</v>
      </c>
      <c r="B860">
        <f>HYPERLINK("https://www.suredividend.com/sure-analysis-research-database/","DSS Inc")</f>
        <v>0</v>
      </c>
      <c r="C860">
        <v>-0.176117775354416</v>
      </c>
      <c r="D860">
        <v>-0.437243947858473</v>
      </c>
      <c r="E860">
        <v>-0.28116079923882</v>
      </c>
      <c r="F860">
        <v>-0.07865853658536501</v>
      </c>
      <c r="G860">
        <v>-0.351502145922746</v>
      </c>
      <c r="H860">
        <v>-0.8781451612903221</v>
      </c>
      <c r="I860">
        <v>-0.9948605442176871</v>
      </c>
    </row>
    <row r="861" spans="1:9">
      <c r="A861" s="1" t="s">
        <v>873</v>
      </c>
      <c r="B861">
        <f>HYPERLINK("https://www.suredividend.com/sure-analysis-DTE/","DTE Energy Co.")</f>
        <v>0</v>
      </c>
      <c r="C861">
        <v>0.034768038538066</v>
      </c>
      <c r="D861">
        <v>-0.118403865782542</v>
      </c>
      <c r="E861">
        <v>-0.099035847085019</v>
      </c>
      <c r="F861">
        <v>-0.136968007287864</v>
      </c>
      <c r="G861">
        <v>-0.07899605816651101</v>
      </c>
      <c r="H861">
        <v>-0.06955589915308001</v>
      </c>
      <c r="I861">
        <v>0.228746270921081</v>
      </c>
    </row>
    <row r="862" spans="1:9">
      <c r="A862" s="1" t="s">
        <v>874</v>
      </c>
      <c r="B862">
        <f>HYPERLINK("https://www.suredividend.com/sure-analysis-DUK/","Duke Energy Corp.")</f>
        <v>0</v>
      </c>
      <c r="C862">
        <v>0.052083333333333</v>
      </c>
      <c r="D862">
        <v>-0.017549458608437</v>
      </c>
      <c r="E862">
        <v>-0.05904594020560901</v>
      </c>
      <c r="F862">
        <v>-0.09917042304616401</v>
      </c>
      <c r="G862">
        <v>0.009241368005398001</v>
      </c>
      <c r="H862">
        <v>-0.049756439964142</v>
      </c>
      <c r="I862">
        <v>0.336119827162072</v>
      </c>
    </row>
    <row r="863" spans="1:9">
      <c r="A863" s="1" t="s">
        <v>875</v>
      </c>
      <c r="B863">
        <f>HYPERLINK("https://www.suredividend.com/sure-analysis-research-database/","DaVita Inc")</f>
        <v>0</v>
      </c>
      <c r="C863">
        <v>-0.181808622502628</v>
      </c>
      <c r="D863">
        <v>-0.236932431107188</v>
      </c>
      <c r="E863">
        <v>-0.11919855105275</v>
      </c>
      <c r="F863">
        <v>0.042051694120798</v>
      </c>
      <c r="G863">
        <v>0.115395642201834</v>
      </c>
      <c r="H863">
        <v>-0.252258312512012</v>
      </c>
      <c r="I863">
        <v>0.150014779781259</v>
      </c>
    </row>
    <row r="864" spans="1:9">
      <c r="A864" s="1" t="s">
        <v>876</v>
      </c>
      <c r="B864">
        <f>HYPERLINK("https://www.suredividend.com/sure-analysis-research-database/","Dynavax Technologies Corp.")</f>
        <v>0</v>
      </c>
      <c r="C864">
        <v>-0.060747663551401</v>
      </c>
      <c r="D864">
        <v>0.039143279172821</v>
      </c>
      <c r="E864">
        <v>0.364694471387002</v>
      </c>
      <c r="F864">
        <v>0.322368421052631</v>
      </c>
      <c r="G864">
        <v>0.248447204968944</v>
      </c>
      <c r="H864">
        <v>-0.314995131450827</v>
      </c>
      <c r="I864">
        <v>0.234210526315789</v>
      </c>
    </row>
    <row r="865" spans="1:9">
      <c r="A865" s="1" t="s">
        <v>877</v>
      </c>
      <c r="B865">
        <f>HYPERLINK("https://www.suredividend.com/sure-analysis-research-database/","Dover Motorsports Inc")</f>
        <v>0</v>
      </c>
      <c r="C865">
        <v>0.005571030640668001</v>
      </c>
      <c r="D865">
        <v>0.5838195937349181</v>
      </c>
      <c r="E865">
        <v>0.6045870744066131</v>
      </c>
      <c r="F865">
        <v>0.6489288813776091</v>
      </c>
      <c r="G865">
        <v>0.8809920800333471</v>
      </c>
      <c r="H865">
        <v>1.059326868225898</v>
      </c>
      <c r="I865">
        <v>0.9317208904109581</v>
      </c>
    </row>
    <row r="866" spans="1:9">
      <c r="A866" s="1" t="s">
        <v>878</v>
      </c>
      <c r="B866">
        <f>HYPERLINK("https://www.suredividend.com/sure-analysis-DVN/","Devon Energy Corp.")</f>
        <v>0</v>
      </c>
      <c r="C866">
        <v>0.035487404162103</v>
      </c>
      <c r="D866">
        <v>-0.04418544460440901</v>
      </c>
      <c r="E866">
        <v>-0.05269402036898201</v>
      </c>
      <c r="F866">
        <v>-0.208089648205511</v>
      </c>
      <c r="G866">
        <v>-0.262033521506719</v>
      </c>
      <c r="H866">
        <v>0.252049446285304</v>
      </c>
      <c r="I866">
        <v>0.8104243984082661</v>
      </c>
    </row>
    <row r="867" spans="1:9">
      <c r="A867" s="1" t="s">
        <v>879</v>
      </c>
      <c r="B867">
        <f>HYPERLINK("https://www.suredividend.com/sure-analysis-research-database/","Dawson Geophysical Company")</f>
        <v>0</v>
      </c>
      <c r="C867">
        <v>-0.295358649789029</v>
      </c>
      <c r="D867">
        <v>-0.134715025906735</v>
      </c>
      <c r="E867">
        <v>-0.144467213114754</v>
      </c>
      <c r="F867">
        <v>-0.147959183673469</v>
      </c>
      <c r="G867">
        <v>-0.143589743589743</v>
      </c>
      <c r="H867">
        <v>-0.283261802575107</v>
      </c>
      <c r="I867">
        <v>-0.6946983546617911</v>
      </c>
    </row>
    <row r="868" spans="1:9">
      <c r="A868" s="1" t="s">
        <v>880</v>
      </c>
      <c r="B868">
        <f>HYPERLINK("https://www.suredividend.com/sure-analysis-DX/","Dynex Capital, Inc.")</f>
        <v>0</v>
      </c>
      <c r="C868">
        <v>-0.05661197624575001</v>
      </c>
      <c r="D868">
        <v>-0.134872224215604</v>
      </c>
      <c r="E868">
        <v>0.06916565662537801</v>
      </c>
      <c r="F868">
        <v>-0.05113382948393901</v>
      </c>
      <c r="G868">
        <v>0.06205951448707901</v>
      </c>
      <c r="H868">
        <v>-0.223874618196384</v>
      </c>
      <c r="I868">
        <v>0.059322033898305</v>
      </c>
    </row>
    <row r="869" spans="1:9">
      <c r="A869" s="1" t="s">
        <v>881</v>
      </c>
      <c r="B869">
        <f>HYPERLINK("https://www.suredividend.com/sure-analysis-research-database/","DXC Technology Co")</f>
        <v>0</v>
      </c>
      <c r="C869">
        <v>0.054846335697399</v>
      </c>
      <c r="D869">
        <v>-0.17584041374215</v>
      </c>
      <c r="E869">
        <v>-0.05265392781316301</v>
      </c>
      <c r="F869">
        <v>-0.158113207547169</v>
      </c>
      <c r="G869">
        <v>-0.207741477272727</v>
      </c>
      <c r="H869">
        <v>-0.323529411764705</v>
      </c>
      <c r="I869">
        <v>-0.6705221433930161</v>
      </c>
    </row>
    <row r="870" spans="1:9">
      <c r="A870" s="1" t="s">
        <v>882</v>
      </c>
      <c r="B870">
        <f>HYPERLINK("https://www.suredividend.com/sure-analysis-research-database/","Dexcom Inc")</f>
        <v>0</v>
      </c>
      <c r="C870">
        <v>-0.009307244843997</v>
      </c>
      <c r="D870">
        <v>-0.243437525240287</v>
      </c>
      <c r="E870">
        <v>-0.206992888587876</v>
      </c>
      <c r="F870">
        <v>-0.172818791946308</v>
      </c>
      <c r="G870">
        <v>-0.192151789564467</v>
      </c>
      <c r="H870">
        <v>-0.414233006065912</v>
      </c>
      <c r="I870">
        <v>1.824363033318257</v>
      </c>
    </row>
    <row r="871" spans="1:9">
      <c r="A871" s="1" t="s">
        <v>883</v>
      </c>
      <c r="B871">
        <f>HYPERLINK("https://www.suredividend.com/sure-analysis-research-database/","Destination XL Group Inc")</f>
        <v>0</v>
      </c>
      <c r="C871">
        <v>-0.028761061946902</v>
      </c>
      <c r="D871">
        <v>-0.113131313131313</v>
      </c>
      <c r="E871">
        <v>-0.011261261261261</v>
      </c>
      <c r="F871">
        <v>-0.349629629629629</v>
      </c>
      <c r="G871">
        <v>-0.327718223583461</v>
      </c>
      <c r="H871">
        <v>-0.4328165374677</v>
      </c>
      <c r="I871">
        <v>0.359133126934984</v>
      </c>
    </row>
    <row r="872" spans="1:9">
      <c r="A872" s="1" t="s">
        <v>884</v>
      </c>
      <c r="B872">
        <f>HYPERLINK("https://www.suredividend.com/sure-analysis-research-database/","DXP Enterprises, Inc.")</f>
        <v>0</v>
      </c>
      <c r="C872">
        <v>-0.052041403105232</v>
      </c>
      <c r="D872">
        <v>-0.133052853010781</v>
      </c>
      <c r="E872">
        <v>0.254566210045662</v>
      </c>
      <c r="F872">
        <v>0.196733212341197</v>
      </c>
      <c r="G872">
        <v>0.161324410003522</v>
      </c>
      <c r="H872">
        <v>-0.028865979381443</v>
      </c>
      <c r="I872">
        <v>-0.052041403105232</v>
      </c>
    </row>
    <row r="873" spans="1:9">
      <c r="A873" s="1" t="s">
        <v>885</v>
      </c>
      <c r="B873">
        <f>HYPERLINK("https://www.suredividend.com/sure-analysis-research-database/","Dixie Group Inc.")</f>
        <v>0</v>
      </c>
      <c r="C873">
        <v>-0.017048072492704</v>
      </c>
      <c r="D873">
        <v>-0.396226415094339</v>
      </c>
      <c r="E873">
        <v>-0.08571428571428501</v>
      </c>
      <c r="F873">
        <v>-0.182630906768837</v>
      </c>
      <c r="G873">
        <v>-0.470461691212973</v>
      </c>
      <c r="H873">
        <v>-0.863829787234042</v>
      </c>
      <c r="I873">
        <v>-0.5114503816793891</v>
      </c>
    </row>
    <row r="874" spans="1:9">
      <c r="A874" s="1" t="s">
        <v>886</v>
      </c>
      <c r="B874">
        <f>HYPERLINK("https://www.suredividend.com/sure-analysis-research-database/","Dycom Industries, Inc.")</f>
        <v>0</v>
      </c>
      <c r="C874">
        <v>-0.030128131132402</v>
      </c>
      <c r="D874">
        <v>-0.165143084260731</v>
      </c>
      <c r="E874">
        <v>-0.08435047951176901</v>
      </c>
      <c r="F874">
        <v>-0.102350427350427</v>
      </c>
      <c r="G874">
        <v>-0.282677367028088</v>
      </c>
      <c r="H874">
        <v>0.04243176178660001</v>
      </c>
      <c r="I874">
        <v>0.138482384823848</v>
      </c>
    </row>
    <row r="875" spans="1:9">
      <c r="A875" s="1" t="s">
        <v>887</v>
      </c>
      <c r="B875">
        <f>HYPERLINK("https://www.suredividend.com/sure-analysis-research-database/","Dyadic International Inc., DE")</f>
        <v>0</v>
      </c>
      <c r="C875">
        <v>-0.156249999999999</v>
      </c>
      <c r="D875">
        <v>-0.052631578947368</v>
      </c>
      <c r="E875">
        <v>-0.084745762711864</v>
      </c>
      <c r="F875">
        <v>0.317073170731707</v>
      </c>
      <c r="G875">
        <v>-0.298701298701298</v>
      </c>
      <c r="H875">
        <v>-0.6142857142857141</v>
      </c>
      <c r="I875">
        <v>0.018867924528301</v>
      </c>
    </row>
    <row r="876" spans="1:9">
      <c r="A876" s="1" t="s">
        <v>888</v>
      </c>
      <c r="B876">
        <f>HYPERLINK("https://www.suredividend.com/sure-analysis-research-database/","DZS Inc")</f>
        <v>0</v>
      </c>
      <c r="C876">
        <v>-0.376884422110552</v>
      </c>
      <c r="D876">
        <v>-0.655555555555555</v>
      </c>
      <c r="E876">
        <v>-0.819505094614264</v>
      </c>
      <c r="F876">
        <v>-0.9022082018927441</v>
      </c>
      <c r="G876">
        <v>-0.9018987341772151</v>
      </c>
      <c r="H876">
        <v>-0.9062027231467471</v>
      </c>
      <c r="I876">
        <v>-0.908011869436201</v>
      </c>
    </row>
    <row r="877" spans="1:9">
      <c r="A877" s="1" t="s">
        <v>889</v>
      </c>
      <c r="B877">
        <f>HYPERLINK("https://www.suredividend.com/sure-analysis-research-database/","Electronic Arts, Inc.")</f>
        <v>0</v>
      </c>
      <c r="C877">
        <v>0.067665418227215</v>
      </c>
      <c r="D877">
        <v>0.018805976550307</v>
      </c>
      <c r="E877">
        <v>0.023081542661495</v>
      </c>
      <c r="F877">
        <v>0.058218517009204</v>
      </c>
      <c r="G877">
        <v>0.006410492778682</v>
      </c>
      <c r="H877">
        <v>-0.07112067248893701</v>
      </c>
      <c r="I877">
        <v>0.415172395533403</v>
      </c>
    </row>
    <row r="878" spans="1:9">
      <c r="A878" s="1" t="s">
        <v>890</v>
      </c>
      <c r="B878">
        <f>HYPERLINK("https://www.suredividend.com/sure-analysis-research-database/","GrafTech International Ltd.")</f>
        <v>0</v>
      </c>
      <c r="C878">
        <v>-0.100795755968169</v>
      </c>
      <c r="D878">
        <v>-0.346820809248554</v>
      </c>
      <c r="E878">
        <v>-0.135204081632652</v>
      </c>
      <c r="F878">
        <v>-0.286541092286646</v>
      </c>
      <c r="G878">
        <v>-0.302713042762819</v>
      </c>
      <c r="H878">
        <v>-0.6778056569343061</v>
      </c>
      <c r="I878">
        <v>-0.7910412801341281</v>
      </c>
    </row>
    <row r="879" spans="1:9">
      <c r="A879" s="1" t="s">
        <v>891</v>
      </c>
      <c r="B879">
        <f>HYPERLINK("https://www.suredividend.com/sure-analysis-EARN/","Ellington Residential Mortgage REIT")</f>
        <v>0</v>
      </c>
      <c r="C879">
        <v>-0.04053893132368201</v>
      </c>
      <c r="D879">
        <v>-0.172826469552974</v>
      </c>
      <c r="E879">
        <v>-0.131318732095</v>
      </c>
      <c r="F879">
        <v>-0.07675686293768101</v>
      </c>
      <c r="G879">
        <v>-0.024390243902439</v>
      </c>
      <c r="H879">
        <v>-0.401794616151545</v>
      </c>
      <c r="I879">
        <v>-0.017815161172352</v>
      </c>
    </row>
    <row r="880" spans="1:9">
      <c r="A880" s="1" t="s">
        <v>892</v>
      </c>
      <c r="B880">
        <f>HYPERLINK("https://www.suredividend.com/sure-analysis-research-database/","Brinker International, Inc.")</f>
        <v>0</v>
      </c>
      <c r="C880">
        <v>0.07942583732057401</v>
      </c>
      <c r="D880">
        <v>-0.131193838254171</v>
      </c>
      <c r="E880">
        <v>-0.159672212565184</v>
      </c>
      <c r="F880">
        <v>0.060482607333124</v>
      </c>
      <c r="G880">
        <v>0.124626121635094</v>
      </c>
      <c r="H880">
        <v>-0.189655172413793</v>
      </c>
      <c r="I880">
        <v>-0.211354261343773</v>
      </c>
    </row>
    <row r="881" spans="1:9">
      <c r="A881" s="1" t="s">
        <v>893</v>
      </c>
      <c r="B881">
        <f>HYPERLINK("https://www.suredividend.com/sure-analysis-research-database/","Eventbrite Inc")</f>
        <v>0</v>
      </c>
      <c r="C881">
        <v>-0.190233977619532</v>
      </c>
      <c r="D881">
        <v>-0.276363636363636</v>
      </c>
      <c r="E881">
        <v>0.14367816091954</v>
      </c>
      <c r="F881">
        <v>0.358361774744027</v>
      </c>
      <c r="G881">
        <v>0.2776886035313</v>
      </c>
      <c r="H881">
        <v>-0.624882186616399</v>
      </c>
      <c r="I881">
        <v>-0.7356360013284621</v>
      </c>
    </row>
    <row r="882" spans="1:9">
      <c r="A882" s="1" t="s">
        <v>894</v>
      </c>
      <c r="B882">
        <f>HYPERLINK("https://www.suredividend.com/sure-analysis-EBAY/","EBay Inc.")</f>
        <v>0</v>
      </c>
      <c r="C882">
        <v>-0.104707233065441</v>
      </c>
      <c r="D882">
        <v>-0.103997426204455</v>
      </c>
      <c r="E882">
        <v>-0.120957905629792</v>
      </c>
      <c r="F882">
        <v>-0.03815554793557401</v>
      </c>
      <c r="G882">
        <v>0.053314062647738</v>
      </c>
      <c r="H882">
        <v>-0.456040268924538</v>
      </c>
      <c r="I882">
        <v>0.4165201342769531</v>
      </c>
    </row>
    <row r="883" spans="1:9">
      <c r="A883" s="1" t="s">
        <v>895</v>
      </c>
      <c r="B883">
        <f>HYPERLINK("https://www.suredividend.com/sure-analysis-EBF/","Ennis Inc.")</f>
        <v>0</v>
      </c>
      <c r="C883">
        <v>0.032391955089276</v>
      </c>
      <c r="D883">
        <v>0.00025017836791</v>
      </c>
      <c r="E883">
        <v>0.147561896055023</v>
      </c>
      <c r="F883">
        <v>0.02126250561718</v>
      </c>
      <c r="G883">
        <v>0.013938722221178</v>
      </c>
      <c r="H883">
        <v>0.245284760113973</v>
      </c>
      <c r="I883">
        <v>0.358348590375166</v>
      </c>
    </row>
    <row r="884" spans="1:9">
      <c r="A884" s="1" t="s">
        <v>896</v>
      </c>
      <c r="B884">
        <f>HYPERLINK("https://www.suredividend.com/sure-analysis-research-database/","Ebix Inc.")</f>
        <v>0</v>
      </c>
      <c r="C884">
        <v>-0.315366972477064</v>
      </c>
      <c r="D884">
        <v>-0.7854061826024441</v>
      </c>
      <c r="E884">
        <v>-0.6087811271297511</v>
      </c>
      <c r="F884">
        <v>-0.7009018036072141</v>
      </c>
      <c r="G884">
        <v>-0.6692484127247941</v>
      </c>
      <c r="H884">
        <v>-0.8302076756369341</v>
      </c>
      <c r="I884">
        <v>-0.8898267863008741</v>
      </c>
    </row>
    <row r="885" spans="1:9">
      <c r="A885" s="1" t="s">
        <v>897</v>
      </c>
      <c r="B885">
        <f>HYPERLINK("https://www.suredividend.com/sure-analysis-research-database/","Eagle Bancorp Montana Inc")</f>
        <v>0</v>
      </c>
      <c r="C885">
        <v>-0.014358108108108</v>
      </c>
      <c r="D885">
        <v>-0.115627699722639</v>
      </c>
      <c r="E885">
        <v>-0.05403433685132</v>
      </c>
      <c r="F885">
        <v>-0.247853772976874</v>
      </c>
      <c r="G885">
        <v>-0.347603687408807</v>
      </c>
      <c r="H885">
        <v>-0.4435994869863301</v>
      </c>
      <c r="I885">
        <v>-0.183276412294944</v>
      </c>
    </row>
    <row r="886" spans="1:9">
      <c r="A886" s="1" t="s">
        <v>898</v>
      </c>
      <c r="B886">
        <f>HYPERLINK("https://www.suredividend.com/sure-analysis-research-database/","Emergent Biosolutions Inc")</f>
        <v>0</v>
      </c>
      <c r="C886">
        <v>-0.329113924050632</v>
      </c>
      <c r="D886">
        <v>-0.7059639389736471</v>
      </c>
      <c r="E886">
        <v>-0.743651753325272</v>
      </c>
      <c r="F886">
        <v>-0.8204911092294661</v>
      </c>
      <c r="G886">
        <v>-0.8944223107569721</v>
      </c>
      <c r="H886">
        <v>-0.958415064731267</v>
      </c>
      <c r="I886">
        <v>-0.9673041332510791</v>
      </c>
    </row>
    <row r="887" spans="1:9">
      <c r="A887" s="1" t="s">
        <v>899</v>
      </c>
      <c r="B887">
        <f>HYPERLINK("https://www.suredividend.com/sure-analysis-research-database/","Meridian Bancorp Inc")</f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</row>
    <row r="888" spans="1:9">
      <c r="A888" s="1" t="s">
        <v>900</v>
      </c>
      <c r="B888">
        <f>HYPERLINK("https://www.suredividend.com/sure-analysis-EBTC/","Enterprise Bancorp, Inc.")</f>
        <v>0</v>
      </c>
      <c r="C888">
        <v>-0.025500910746812</v>
      </c>
      <c r="D888">
        <v>-0.149962503018824</v>
      </c>
      <c r="E888">
        <v>-0.006853638071476001</v>
      </c>
      <c r="F888">
        <v>-0.212809285024836</v>
      </c>
      <c r="G888">
        <v>-0.08472848085457201</v>
      </c>
      <c r="H888">
        <v>-0.231668471408014</v>
      </c>
      <c r="I888">
        <v>-0.028226831837832</v>
      </c>
    </row>
    <row r="889" spans="1:9">
      <c r="A889" s="1" t="s">
        <v>901</v>
      </c>
      <c r="B889">
        <f>HYPERLINK("https://www.suredividend.com/sure-analysis-research-database/","Echo Global Logistics Inc")</f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</row>
    <row r="890" spans="1:9">
      <c r="A890" s="1" t="s">
        <v>902</v>
      </c>
      <c r="B890">
        <f>HYPERLINK("https://www.suredividend.com/sure-analysis-ECL/","Ecolab, Inc.")</f>
        <v>0</v>
      </c>
      <c r="C890">
        <v>0.025284601557818</v>
      </c>
      <c r="D890">
        <v>-0.071812487897274</v>
      </c>
      <c r="E890">
        <v>-0.01232629710093</v>
      </c>
      <c r="F890">
        <v>0.186617681934869</v>
      </c>
      <c r="G890">
        <v>0.263294043648315</v>
      </c>
      <c r="H890">
        <v>-0.226637441106353</v>
      </c>
      <c r="I890">
        <v>0.168321766410749</v>
      </c>
    </row>
    <row r="891" spans="1:9">
      <c r="A891" s="1" t="s">
        <v>903</v>
      </c>
      <c r="B891">
        <f>HYPERLINK("https://www.suredividend.com/sure-analysis-research-database/","US Ecology Inc.")</f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</row>
    <row r="892" spans="1:9">
      <c r="A892" s="1" t="s">
        <v>904</v>
      </c>
      <c r="B892">
        <f>HYPERLINK("https://www.suredividend.com/sure-analysis-research-database/","ChannelAdvisor Corp")</f>
        <v>0</v>
      </c>
      <c r="C892">
        <v>0.010061242344706</v>
      </c>
      <c r="D892">
        <v>0.476342710997442</v>
      </c>
      <c r="E892">
        <v>0.8024980483996871</v>
      </c>
      <c r="F892">
        <v>-0.06442463533225201</v>
      </c>
      <c r="G892">
        <v>-0.140037243947858</v>
      </c>
      <c r="H892">
        <v>0.669558929862617</v>
      </c>
      <c r="I892">
        <v>1.748809523809523</v>
      </c>
    </row>
    <row r="893" spans="1:9">
      <c r="A893" s="1" t="s">
        <v>905</v>
      </c>
      <c r="B893">
        <f>HYPERLINK("https://www.suredividend.com/sure-analysis-research-database/","Encore Capital Group, Inc.")</f>
        <v>0</v>
      </c>
      <c r="C893">
        <v>-0.140391014975041</v>
      </c>
      <c r="D893">
        <v>-0.195757929558279</v>
      </c>
      <c r="E893">
        <v>-0.162851934373101</v>
      </c>
      <c r="F893">
        <v>-0.137880684188569</v>
      </c>
      <c r="G893">
        <v>-0.160812182741116</v>
      </c>
      <c r="H893">
        <v>-0.225594903503841</v>
      </c>
      <c r="I893">
        <v>0.542164179104477</v>
      </c>
    </row>
    <row r="894" spans="1:9">
      <c r="A894" s="1" t="s">
        <v>906</v>
      </c>
      <c r="B894">
        <f>HYPERLINK("https://www.suredividend.com/sure-analysis-ED/","Consolidated Edison, Inc.")</f>
        <v>0</v>
      </c>
      <c r="C894">
        <v>0.104631217838764</v>
      </c>
      <c r="D894">
        <v>-0.025148698342125</v>
      </c>
      <c r="E894">
        <v>-0.06931708973719701</v>
      </c>
      <c r="F894">
        <v>-0.029009106808998</v>
      </c>
      <c r="G894">
        <v>0.058506679064437</v>
      </c>
      <c r="H894">
        <v>0.265893876083928</v>
      </c>
      <c r="I894">
        <v>0.453844156807476</v>
      </c>
    </row>
    <row r="895" spans="1:9">
      <c r="A895" s="1" t="s">
        <v>907</v>
      </c>
      <c r="B895">
        <f>HYPERLINK("https://www.suredividend.com/sure-analysis-research-database/","Editas Medicine Inc")</f>
        <v>0</v>
      </c>
      <c r="C895">
        <v>-0.015406162464985</v>
      </c>
      <c r="D895">
        <v>-0.230853391684901</v>
      </c>
      <c r="E895">
        <v>-0.106734434561626</v>
      </c>
      <c r="F895">
        <v>-0.207440811724915</v>
      </c>
      <c r="G895">
        <v>-0.454615981380915</v>
      </c>
      <c r="H895">
        <v>-0.8160648874934581</v>
      </c>
      <c r="I895">
        <v>-0.7489285714285711</v>
      </c>
    </row>
    <row r="896" spans="1:9">
      <c r="A896" s="1" t="s">
        <v>908</v>
      </c>
      <c r="B896">
        <f>HYPERLINK("https://www.suredividend.com/sure-analysis-research-database/","Educational Development Corp.")</f>
        <v>0</v>
      </c>
      <c r="C896">
        <v>-0.201680672268907</v>
      </c>
      <c r="D896">
        <v>-0.409937888198757</v>
      </c>
      <c r="E896">
        <v>-0.5212417477195981</v>
      </c>
      <c r="F896">
        <v>-0.6993766020062651</v>
      </c>
      <c r="G896">
        <v>-0.6003029283069671</v>
      </c>
      <c r="H896">
        <v>-0.9013253562673971</v>
      </c>
      <c r="I896">
        <v>-0.91408235432437</v>
      </c>
    </row>
    <row r="897" spans="1:9">
      <c r="A897" s="1" t="s">
        <v>909</v>
      </c>
      <c r="B897">
        <f>HYPERLINK("https://www.suredividend.com/sure-analysis-research-database/","Excelerate Energy Inc")</f>
        <v>0</v>
      </c>
      <c r="C897">
        <v>-0.07496977025392901</v>
      </c>
      <c r="D897">
        <v>-0.259546048492474</v>
      </c>
      <c r="E897">
        <v>-0.265718659864565</v>
      </c>
      <c r="F897">
        <v>-0.386999583319978</v>
      </c>
      <c r="G897">
        <v>-0.406111231872806</v>
      </c>
      <c r="H897">
        <v>-0.427000629175779</v>
      </c>
      <c r="I897">
        <v>-0.427000629175779</v>
      </c>
    </row>
    <row r="898" spans="1:9">
      <c r="A898" s="1" t="s">
        <v>910</v>
      </c>
      <c r="B898">
        <f>HYPERLINK("https://www.suredividend.com/sure-analysis-research-database/","Euronet Worldwide Inc")</f>
        <v>0</v>
      </c>
      <c r="C898">
        <v>0.002904773932811</v>
      </c>
      <c r="D898">
        <v>-0.076627906976744</v>
      </c>
      <c r="E898">
        <v>-0.267232628956353</v>
      </c>
      <c r="F898">
        <v>-0.158614113159567</v>
      </c>
      <c r="G898">
        <v>-0.028980190755686</v>
      </c>
      <c r="H898">
        <v>-0.303237694130034</v>
      </c>
      <c r="I898">
        <v>-0.285881294964028</v>
      </c>
    </row>
    <row r="899" spans="1:9">
      <c r="A899" s="1" t="s">
        <v>911</v>
      </c>
      <c r="B899">
        <f>HYPERLINK("https://www.suredividend.com/sure-analysis-research-database/","Emerald Holding Inc")</f>
        <v>0</v>
      </c>
      <c r="C899">
        <v>0.06932773109243601</v>
      </c>
      <c r="D899">
        <v>0.108932461873638</v>
      </c>
      <c r="E899">
        <v>0.398351648351648</v>
      </c>
      <c r="F899">
        <v>0.437853107344632</v>
      </c>
      <c r="G899">
        <v>0.413888888888888</v>
      </c>
      <c r="H899">
        <v>0.080679405520169</v>
      </c>
      <c r="I899">
        <v>-0.56482336445402</v>
      </c>
    </row>
    <row r="900" spans="1:9">
      <c r="A900" s="1" t="s">
        <v>912</v>
      </c>
      <c r="B900">
        <f>HYPERLINK("https://www.suredividend.com/sure-analysis-EFC/","Ellington Financial Inc")</f>
        <v>0</v>
      </c>
      <c r="C900">
        <v>0.038990976750312</v>
      </c>
      <c r="D900">
        <v>-0.023076148969275</v>
      </c>
      <c r="E900">
        <v>0.133964112102506</v>
      </c>
      <c r="F900">
        <v>0.146241110273481</v>
      </c>
      <c r="G900">
        <v>0.141719817252453</v>
      </c>
      <c r="H900">
        <v>-0.099972899342452</v>
      </c>
      <c r="I900">
        <v>0.353031992452182</v>
      </c>
    </row>
    <row r="901" spans="1:9">
      <c r="A901" s="1" t="s">
        <v>913</v>
      </c>
      <c r="B901">
        <f>HYPERLINK("https://www.suredividend.com/sure-analysis-research-database/","Energy Focus Inc")</f>
        <v>0</v>
      </c>
      <c r="C901">
        <v>-0.265</v>
      </c>
      <c r="D901">
        <v>-0.16</v>
      </c>
      <c r="E901">
        <v>-0.48780487804878</v>
      </c>
      <c r="F901">
        <v>-0.333333333333333</v>
      </c>
      <c r="G901">
        <v>-0.4730238393977411</v>
      </c>
      <c r="H901">
        <v>-0.9313725490196081</v>
      </c>
      <c r="I901">
        <v>-0.9676923076923071</v>
      </c>
    </row>
    <row r="902" spans="1:9">
      <c r="A902" s="1" t="s">
        <v>914</v>
      </c>
      <c r="B902">
        <f>HYPERLINK("https://www.suredividend.com/sure-analysis-research-database/","Enterprise Financial Services Corp.")</f>
        <v>0</v>
      </c>
      <c r="C902">
        <v>-0.023079011675264</v>
      </c>
      <c r="D902">
        <v>-0.107459583894582</v>
      </c>
      <c r="E902">
        <v>-0.069206730271735</v>
      </c>
      <c r="F902">
        <v>-0.242661839460307</v>
      </c>
      <c r="G902">
        <v>-0.298619071011407</v>
      </c>
      <c r="H902">
        <v>-0.20596037305297</v>
      </c>
      <c r="I902">
        <v>-0.08538600371132901</v>
      </c>
    </row>
    <row r="903" spans="1:9">
      <c r="A903" s="1" t="s">
        <v>915</v>
      </c>
      <c r="B903">
        <f>HYPERLINK("https://www.suredividend.com/sure-analysis-research-database/","Equifax, Inc.")</f>
        <v>0</v>
      </c>
      <c r="C903">
        <v>-0.005700553288995</v>
      </c>
      <c r="D903">
        <v>-0.116281218380516</v>
      </c>
      <c r="E903">
        <v>-0.104110687222788</v>
      </c>
      <c r="F903">
        <v>-0.079506220874011</v>
      </c>
      <c r="G903">
        <v>0.107517811732554</v>
      </c>
      <c r="H903">
        <v>-0.342209858385262</v>
      </c>
      <c r="I903">
        <v>0.793872540369946</v>
      </c>
    </row>
    <row r="904" spans="1:9">
      <c r="A904" s="1" t="s">
        <v>916</v>
      </c>
      <c r="B904">
        <f>HYPERLINK("https://www.suredividend.com/sure-analysis-research-database/","eGain Corp")</f>
        <v>0</v>
      </c>
      <c r="C904">
        <v>-0.024271844660194</v>
      </c>
      <c r="D904">
        <v>-0.167127071823204</v>
      </c>
      <c r="E904">
        <v>-0.162499999999999</v>
      </c>
      <c r="F904">
        <v>-0.332225913621262</v>
      </c>
      <c r="G904">
        <v>-0.254635352286773</v>
      </c>
      <c r="H904">
        <v>-0.395791583166332</v>
      </c>
      <c r="I904">
        <v>-0.237673830594184</v>
      </c>
    </row>
    <row r="905" spans="1:9">
      <c r="A905" s="1" t="s">
        <v>917</v>
      </c>
      <c r="B905">
        <f>HYPERLINK("https://www.suredividend.com/sure-analysis-research-database/","Eagle Bancorp Inc (MD)")</f>
        <v>0</v>
      </c>
      <c r="C905">
        <v>0.07303153702107401</v>
      </c>
      <c r="D905">
        <v>-0.161943084869706</v>
      </c>
      <c r="E905">
        <v>0.06581899775617001</v>
      </c>
      <c r="F905">
        <v>-0.452997151342505</v>
      </c>
      <c r="G905">
        <v>-0.475149567834374</v>
      </c>
      <c r="H905">
        <v>-0.5670788012519931</v>
      </c>
      <c r="I905">
        <v>-0.465086127060566</v>
      </c>
    </row>
    <row r="906" spans="1:9">
      <c r="A906" s="1" t="s">
        <v>918</v>
      </c>
      <c r="B906">
        <f>HYPERLINK("https://www.suredividend.com/sure-analysis-research-database/","8X8 Inc.")</f>
        <v>0</v>
      </c>
      <c r="C906">
        <v>0.2</v>
      </c>
      <c r="D906">
        <v>-0.327586206896551</v>
      </c>
      <c r="E906">
        <v>0.130434782608695</v>
      </c>
      <c r="F906">
        <v>-0.277777777777777</v>
      </c>
      <c r="G906">
        <v>-0.225806451612903</v>
      </c>
      <c r="H906">
        <v>-0.8652849740932641</v>
      </c>
      <c r="I906">
        <v>-0.8251121076233181</v>
      </c>
    </row>
    <row r="907" spans="1:9">
      <c r="A907" s="1" t="s">
        <v>919</v>
      </c>
      <c r="B907">
        <f>HYPERLINK("https://www.suredividend.com/sure-analysis-research-database/","Eagle Bulk Shipping Inc")</f>
        <v>0</v>
      </c>
      <c r="C907">
        <v>-0.01491830452285</v>
      </c>
      <c r="D907">
        <v>-0.04810719777403501</v>
      </c>
      <c r="E907">
        <v>-0.024040051894793</v>
      </c>
      <c r="F907">
        <v>-0.143934280493225</v>
      </c>
      <c r="G907">
        <v>-0.096971380939149</v>
      </c>
      <c r="H907">
        <v>0.285029407403746</v>
      </c>
      <c r="I907">
        <v>0.45267120393618</v>
      </c>
    </row>
    <row r="908" spans="1:9">
      <c r="A908" s="1" t="s">
        <v>920</v>
      </c>
      <c r="B908">
        <f>HYPERLINK("https://www.suredividend.com/sure-analysis-research-database/","NIC Inc")</f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</row>
    <row r="909" spans="1:9">
      <c r="A909" s="1" t="s">
        <v>921</v>
      </c>
      <c r="B909">
        <f>HYPERLINK("https://www.suredividend.com/sure-analysis-EGP/","Eastgroup Properties, Inc.")</f>
        <v>0</v>
      </c>
      <c r="C909">
        <v>0.027688188401387</v>
      </c>
      <c r="D909">
        <v>-0.019936128712888</v>
      </c>
      <c r="E909">
        <v>0.04015254913747601</v>
      </c>
      <c r="F909">
        <v>0.166843890410087</v>
      </c>
      <c r="G909">
        <v>0.152062258295796</v>
      </c>
      <c r="H909">
        <v>-0.104862724062591</v>
      </c>
      <c r="I909">
        <v>1.004810214940157</v>
      </c>
    </row>
    <row r="910" spans="1:9">
      <c r="A910" s="1" t="s">
        <v>922</v>
      </c>
      <c r="B910">
        <f>HYPERLINK("https://www.suredividend.com/sure-analysis-research-database/","Eagle Pharmaceuticals Inc")</f>
        <v>0</v>
      </c>
      <c r="C910">
        <v>-0.07166337935568701</v>
      </c>
      <c r="D910">
        <v>-0.330805687203791</v>
      </c>
      <c r="E910">
        <v>-0.4991131606952821</v>
      </c>
      <c r="F910">
        <v>-0.516934656175162</v>
      </c>
      <c r="G910">
        <v>-0.5595757953836551</v>
      </c>
      <c r="H910">
        <v>-0.73808198849935</v>
      </c>
      <c r="I910">
        <v>-0.7235167417270411</v>
      </c>
    </row>
    <row r="911" spans="1:9">
      <c r="A911" s="1" t="s">
        <v>923</v>
      </c>
      <c r="B911">
        <f>HYPERLINK("https://www.suredividend.com/sure-analysis-research-database/","VAALCO Energy, Inc.")</f>
        <v>0</v>
      </c>
      <c r="C911">
        <v>0.09855769230769201</v>
      </c>
      <c r="D911">
        <v>0.100488838586943</v>
      </c>
      <c r="E911">
        <v>0.147866274834852</v>
      </c>
      <c r="F911">
        <v>0.047780630961115</v>
      </c>
      <c r="G911">
        <v>-0.040520680243543</v>
      </c>
      <c r="H911">
        <v>0.5428764348413231</v>
      </c>
      <c r="I911">
        <v>1.61546385852458</v>
      </c>
    </row>
    <row r="912" spans="1:9">
      <c r="A912" s="1" t="s">
        <v>924</v>
      </c>
      <c r="B912">
        <f>HYPERLINK("https://www.suredividend.com/sure-analysis-research-database/","Encompass Health Corp")</f>
        <v>0</v>
      </c>
      <c r="C912">
        <v>-0.05086271567891901</v>
      </c>
      <c r="D912">
        <v>-0.08539009717188001</v>
      </c>
      <c r="E912">
        <v>0.003838579709638</v>
      </c>
      <c r="F912">
        <v>0.06542081258968301</v>
      </c>
      <c r="G912">
        <v>0.183239374974281</v>
      </c>
      <c r="H912">
        <v>0.3291619304154521</v>
      </c>
      <c r="I912">
        <v>0.242702120804947</v>
      </c>
    </row>
    <row r="913" spans="1:9">
      <c r="A913" s="1" t="s">
        <v>925</v>
      </c>
      <c r="B913">
        <f>HYPERLINK("https://www.suredividend.com/sure-analysis-research-database/","eHealth Inc")</f>
        <v>0</v>
      </c>
      <c r="C913">
        <v>0.126126126126126</v>
      </c>
      <c r="D913">
        <v>-0.002280501710376</v>
      </c>
      <c r="E913">
        <v>0.4250814332247551</v>
      </c>
      <c r="F913">
        <v>0.8078512396694211</v>
      </c>
      <c r="G913">
        <v>2.205128205128205</v>
      </c>
      <c r="H913">
        <v>-0.8085339168490151</v>
      </c>
      <c r="I913">
        <v>-0.7452692867540031</v>
      </c>
    </row>
    <row r="914" spans="1:9">
      <c r="A914" s="1" t="s">
        <v>926</v>
      </c>
      <c r="B914">
        <f>HYPERLINK("https://www.suredividend.com/sure-analysis-research-database/","Eidos Therapeutics Inc")</f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</row>
    <row r="915" spans="1:9">
      <c r="A915" s="1" t="s">
        <v>927</v>
      </c>
      <c r="B915">
        <f>HYPERLINK("https://www.suredividend.com/sure-analysis-research-database/","Employers Holdings Inc")</f>
        <v>0</v>
      </c>
      <c r="C915">
        <v>-0.017272034544069</v>
      </c>
      <c r="D915">
        <v>0.00786704178389</v>
      </c>
      <c r="E915">
        <v>-0.012340006228716</v>
      </c>
      <c r="F915">
        <v>-0.084546366578962</v>
      </c>
      <c r="G915">
        <v>-0.060958797716593</v>
      </c>
      <c r="H915">
        <v>0.106687032682879</v>
      </c>
      <c r="I915">
        <v>0.009228875058039</v>
      </c>
    </row>
    <row r="916" spans="1:9">
      <c r="A916" s="1" t="s">
        <v>928</v>
      </c>
      <c r="B916">
        <f>HYPERLINK("https://www.suredividend.com/sure-analysis-research-database/","Endurance International Group Holdings Inc")</f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</row>
    <row r="917" spans="1:9">
      <c r="A917" s="1" t="s">
        <v>929</v>
      </c>
      <c r="B917">
        <f>HYPERLINK("https://www.suredividend.com/sure-analysis-research-database/","Eiger BioPharmaceuticals Inc")</f>
        <v>0</v>
      </c>
      <c r="C917">
        <v>0.010033444816053</v>
      </c>
      <c r="D917">
        <v>-0.567273248316377</v>
      </c>
      <c r="E917">
        <v>-0.725454545454545</v>
      </c>
      <c r="F917">
        <v>-0.7440677966101691</v>
      </c>
      <c r="G917">
        <v>-0.9373443983402491</v>
      </c>
      <c r="H917">
        <v>-0.958967391304347</v>
      </c>
      <c r="I917">
        <v>-0.9752661752661751</v>
      </c>
    </row>
    <row r="918" spans="1:9">
      <c r="A918" s="1" t="s">
        <v>930</v>
      </c>
      <c r="B918">
        <f>HYPERLINK("https://www.suredividend.com/sure-analysis-EIX/","Edison International")</f>
        <v>0</v>
      </c>
      <c r="C918">
        <v>0.04243119266055</v>
      </c>
      <c r="D918">
        <v>-0.100407170728948</v>
      </c>
      <c r="E918">
        <v>-0.112341838371719</v>
      </c>
      <c r="F918">
        <v>0.03335715213719601</v>
      </c>
      <c r="G918">
        <v>0.131662724313941</v>
      </c>
      <c r="H918">
        <v>0.092493677340929</v>
      </c>
      <c r="I918">
        <v>0.160599798267581</v>
      </c>
    </row>
    <row r="919" spans="1:9">
      <c r="A919" s="1" t="s">
        <v>931</v>
      </c>
      <c r="B919">
        <f>HYPERLINK("https://www.suredividend.com/sure-analysis-research-database/","Ekso Bionics Holdings Inc")</f>
        <v>0</v>
      </c>
      <c r="C919">
        <v>0.775995416786021</v>
      </c>
      <c r="D919">
        <v>0.050847457627118</v>
      </c>
      <c r="E919">
        <v>-0.144827586206896</v>
      </c>
      <c r="F919">
        <v>0.042016806722689</v>
      </c>
      <c r="G919">
        <v>-0.239217129885269</v>
      </c>
      <c r="H919">
        <v>-0.6900000000000001</v>
      </c>
      <c r="I919">
        <v>-0.9602564102564101</v>
      </c>
    </row>
    <row r="920" spans="1:9">
      <c r="A920" s="1" t="s">
        <v>932</v>
      </c>
      <c r="B920">
        <f>HYPERLINK("https://www.suredividend.com/sure-analysis-research-database/","Estee Lauder Cos., Inc.")</f>
        <v>0</v>
      </c>
      <c r="C920">
        <v>-0.202370990237099</v>
      </c>
      <c r="D920">
        <v>-0.334168484828728</v>
      </c>
      <c r="E920">
        <v>-0.5300254874270101</v>
      </c>
      <c r="F920">
        <v>-0.534233321497099</v>
      </c>
      <c r="G920">
        <v>-0.389800850373705</v>
      </c>
      <c r="H920">
        <v>-0.654712935978501</v>
      </c>
      <c r="I920">
        <v>-0.162286332845802</v>
      </c>
    </row>
    <row r="921" spans="1:9">
      <c r="A921" s="1" t="s">
        <v>933</v>
      </c>
      <c r="B921">
        <f>HYPERLINK("https://www.suredividend.com/sure-analysis-research-database/","Elanco Animal Health Inc")</f>
        <v>0</v>
      </c>
      <c r="C921">
        <v>-0.14507299270073</v>
      </c>
      <c r="D921">
        <v>-0.201193520886615</v>
      </c>
      <c r="E921">
        <v>0.033076074972436</v>
      </c>
      <c r="F921">
        <v>-0.233224222585924</v>
      </c>
      <c r="G921">
        <v>-0.287452471482889</v>
      </c>
      <c r="H921">
        <v>-0.7046958714150641</v>
      </c>
      <c r="I921">
        <v>-0.7169184290030211</v>
      </c>
    </row>
    <row r="922" spans="1:9">
      <c r="A922" s="1" t="s">
        <v>934</v>
      </c>
      <c r="B922">
        <f>HYPERLINK("https://www.suredividend.com/sure-analysis-research-database/","e.l.f. Beauty Inc")</f>
        <v>0</v>
      </c>
      <c r="C922">
        <v>-0.094261158857776</v>
      </c>
      <c r="D922">
        <v>-0.264133943989788</v>
      </c>
      <c r="E922">
        <v>0.06834532374100701</v>
      </c>
      <c r="F922">
        <v>0.7723327305605781</v>
      </c>
      <c r="G922">
        <v>1.35261641862698</v>
      </c>
      <c r="H922">
        <v>1.978122151321787</v>
      </c>
      <c r="I922">
        <v>8.016559337626497</v>
      </c>
    </row>
    <row r="923" spans="1:9">
      <c r="A923" s="1" t="s">
        <v>935</v>
      </c>
      <c r="B923">
        <f>HYPERLINK("https://www.suredividend.com/sure-analysis-research-database/","Electromed Inc.")</f>
        <v>0</v>
      </c>
      <c r="C923">
        <v>-0.02820746132848</v>
      </c>
      <c r="D923">
        <v>0.052216748768472</v>
      </c>
      <c r="E923">
        <v>0.023969319271332</v>
      </c>
      <c r="F923">
        <v>0.018112488083889</v>
      </c>
      <c r="G923">
        <v>0.013282732447817</v>
      </c>
      <c r="H923">
        <v>-0.04129263913824</v>
      </c>
      <c r="I923">
        <v>0.6635514018691581</v>
      </c>
    </row>
    <row r="924" spans="1:9">
      <c r="A924" s="1" t="s">
        <v>936</v>
      </c>
      <c r="B924">
        <f>HYPERLINK("https://www.suredividend.com/sure-analysis-research-database/","Eloxx Pharmaceuticals Inc")</f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</row>
    <row r="925" spans="1:9">
      <c r="A925" s="1" t="s">
        <v>937</v>
      </c>
      <c r="B925">
        <f>HYPERLINK("https://www.suredividend.com/sure-analysis-ELS/","Equity Lifestyle Properties Inc.")</f>
        <v>0</v>
      </c>
      <c r="C925">
        <v>0.07055805003207101</v>
      </c>
      <c r="D925">
        <v>-0.046902504522073</v>
      </c>
      <c r="E925">
        <v>0.006806045058943001</v>
      </c>
      <c r="F925">
        <v>0.05500701652359601</v>
      </c>
      <c r="G925">
        <v>0.102920525621921</v>
      </c>
      <c r="H925">
        <v>-0.185880464911521</v>
      </c>
      <c r="I925">
        <v>0.590262145519943</v>
      </c>
    </row>
    <row r="926" spans="1:9">
      <c r="A926" s="1" t="s">
        <v>938</v>
      </c>
      <c r="B926">
        <f>HYPERLINK("https://www.suredividend.com/sure-analysis-research-database/","Electro-Sensors, Inc.")</f>
        <v>0</v>
      </c>
      <c r="C926">
        <v>-0.05300505050505001</v>
      </c>
      <c r="D926">
        <v>-0.147704545454545</v>
      </c>
      <c r="E926">
        <v>-0.179409190371991</v>
      </c>
      <c r="F926">
        <v>-0.170331858407079</v>
      </c>
      <c r="G926">
        <v>-0.229958932238192</v>
      </c>
      <c r="H926">
        <v>-0.28021113243762</v>
      </c>
      <c r="I926">
        <v>0.03565313449323401</v>
      </c>
    </row>
    <row r="927" spans="1:9">
      <c r="A927" s="1" t="s">
        <v>939</v>
      </c>
      <c r="B927">
        <f>HYPERLINK("https://www.suredividend.com/sure-analysis-research-database/","Elevate Credit Inc")</f>
        <v>0</v>
      </c>
      <c r="C927">
        <v>0.027624309392265</v>
      </c>
      <c r="D927">
        <v>0.01639344262295</v>
      </c>
      <c r="E927">
        <v>0.169811320754716</v>
      </c>
      <c r="F927">
        <v>0.062857142857142</v>
      </c>
      <c r="G927">
        <v>-0.436363636363636</v>
      </c>
      <c r="H927">
        <v>-0.5507246376811591</v>
      </c>
      <c r="I927">
        <v>-0.747625508819538</v>
      </c>
    </row>
    <row r="928" spans="1:9">
      <c r="A928" s="1" t="s">
        <v>940</v>
      </c>
      <c r="B928">
        <f>HYPERLINK("https://www.suredividend.com/sure-analysis-research-database/","Topgolf Callaway Brands Corp")</f>
        <v>0</v>
      </c>
      <c r="C928">
        <v>-0.065293602103418</v>
      </c>
      <c r="D928">
        <v>-0.04478280340349301</v>
      </c>
      <c r="E928">
        <v>-0.06937172774869101</v>
      </c>
      <c r="F928">
        <v>-0.222667638483965</v>
      </c>
      <c r="G928">
        <v>-0.233836206896551</v>
      </c>
      <c r="H928">
        <v>0.043542074363992</v>
      </c>
      <c r="I928">
        <v>0.548738428026865</v>
      </c>
    </row>
    <row r="929" spans="1:9">
      <c r="A929" s="1" t="s">
        <v>941</v>
      </c>
      <c r="B929">
        <f>HYPERLINK("https://www.suredividend.com/sure-analysis-research-database/","EMagin Corp")</f>
        <v>0</v>
      </c>
      <c r="C929">
        <v>0.050761421319796</v>
      </c>
      <c r="D929">
        <v>0.040201005025125</v>
      </c>
      <c r="E929">
        <v>-0.05045871559633</v>
      </c>
      <c r="F929">
        <v>1.435294117647058</v>
      </c>
      <c r="G929">
        <v>1.872606161532056</v>
      </c>
      <c r="H929">
        <v>-0.06334841628959201</v>
      </c>
      <c r="I929">
        <v>0.408163265306122</v>
      </c>
    </row>
    <row r="930" spans="1:9">
      <c r="A930" s="1" t="s">
        <v>942</v>
      </c>
      <c r="B930">
        <f>HYPERLINK("https://www.suredividend.com/sure-analysis-research-database/","Emclaire Financial Corp.")</f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</row>
    <row r="931" spans="1:9">
      <c r="A931" s="1" t="s">
        <v>943</v>
      </c>
      <c r="B931">
        <f>HYPERLINK("https://www.suredividend.com/sure-analysis-research-database/","Emcor Group, Inc.")</f>
        <v>0</v>
      </c>
      <c r="C931">
        <v>0.002951450263251</v>
      </c>
      <c r="D931">
        <v>-0.039824215467538</v>
      </c>
      <c r="E931">
        <v>0.246051825998556</v>
      </c>
      <c r="F931">
        <v>0.405795627859684</v>
      </c>
      <c r="G931">
        <v>0.483628153666648</v>
      </c>
      <c r="H931">
        <v>0.7046085006037101</v>
      </c>
      <c r="I931">
        <v>1.908732368290764</v>
      </c>
    </row>
    <row r="932" spans="1:9">
      <c r="A932" s="1" t="s">
        <v>944</v>
      </c>
      <c r="B932">
        <f>HYPERLINK("https://www.suredividend.com/sure-analysis-research-database/","Emcore Corp.")</f>
        <v>0</v>
      </c>
      <c r="C932">
        <v>-0.044047371701641</v>
      </c>
      <c r="D932">
        <v>-0.325663198006741</v>
      </c>
      <c r="E932">
        <v>-0.5679812206572771</v>
      </c>
      <c r="F932">
        <v>-0.5219740259740261</v>
      </c>
      <c r="G932">
        <v>-0.691208053691275</v>
      </c>
      <c r="H932">
        <v>-0.9410128205128201</v>
      </c>
      <c r="I932">
        <v>-0.9135150375939851</v>
      </c>
    </row>
    <row r="933" spans="1:9">
      <c r="A933" s="1" t="s">
        <v>945</v>
      </c>
      <c r="B933">
        <f>HYPERLINK("https://www.suredividend.com/sure-analysis-research-database/","Eastern Co.")</f>
        <v>0</v>
      </c>
      <c r="C933">
        <v>-0.030033370411568</v>
      </c>
      <c r="D933">
        <v>-0.0443887978696</v>
      </c>
      <c r="E933">
        <v>0.04750406928903</v>
      </c>
      <c r="F933">
        <v>-0.073360714532403</v>
      </c>
      <c r="G933">
        <v>-0.136757594206772</v>
      </c>
      <c r="H933">
        <v>-0.244874542659825</v>
      </c>
      <c r="I933">
        <v>-0.32227364755898</v>
      </c>
    </row>
    <row r="934" spans="1:9">
      <c r="A934" s="1" t="s">
        <v>946</v>
      </c>
      <c r="B934">
        <f>HYPERLINK("https://www.suredividend.com/sure-analysis-research-database/","Emmis Corp")</f>
        <v>0</v>
      </c>
      <c r="C934">
        <v>-0.011213047910295</v>
      </c>
      <c r="D934">
        <v>-0.149122807017544</v>
      </c>
      <c r="E934">
        <v>0.212499999999999</v>
      </c>
      <c r="F934">
        <v>0.212499999999999</v>
      </c>
      <c r="G934">
        <v>0.212499999999999</v>
      </c>
      <c r="H934">
        <v>1.155555555555555</v>
      </c>
      <c r="I934">
        <v>2.619402985074626</v>
      </c>
    </row>
    <row r="935" spans="1:9">
      <c r="A935" s="1" t="s">
        <v>947</v>
      </c>
      <c r="B935">
        <f>HYPERLINK("https://www.suredividend.com/sure-analysis-EMN/","Eastman Chemical Co")</f>
        <v>0</v>
      </c>
      <c r="C935">
        <v>-0.004107048224695001</v>
      </c>
      <c r="D935">
        <v>-0.103006842302469</v>
      </c>
      <c r="E935">
        <v>-0.04645926489709101</v>
      </c>
      <c r="F935">
        <v>-0.049092482302519</v>
      </c>
      <c r="G935">
        <v>0.028462286751758</v>
      </c>
      <c r="H935">
        <v>-0.262732743807229</v>
      </c>
      <c r="I935">
        <v>0.079100027418931</v>
      </c>
    </row>
    <row r="936" spans="1:9">
      <c r="A936" s="1" t="s">
        <v>948</v>
      </c>
      <c r="B936">
        <f>HYPERLINK("https://www.suredividend.com/sure-analysis-EMR/","Emerson Electric Co.")</f>
        <v>0</v>
      </c>
      <c r="C936">
        <v>-0.04753944206457</v>
      </c>
      <c r="D936">
        <v>-0.03661721174870401</v>
      </c>
      <c r="E936">
        <v>0.121840823142704</v>
      </c>
      <c r="F936">
        <v>-0.034010952679676</v>
      </c>
      <c r="G936">
        <v>0.10495898221593</v>
      </c>
      <c r="H936">
        <v>-0.041264739660677</v>
      </c>
      <c r="I936">
        <v>0.499628218541695</v>
      </c>
    </row>
    <row r="937" spans="1:9">
      <c r="A937" s="1" t="s">
        <v>949</v>
      </c>
      <c r="B937">
        <f>HYPERLINK("https://www.suredividend.com/sure-analysis-research-database/","Endo International plc")</f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</row>
    <row r="938" spans="1:9">
      <c r="A938" s="1" t="s">
        <v>950</v>
      </c>
      <c r="B938">
        <f>HYPERLINK("https://www.suredividend.com/sure-analysis-research-database/","Englobal Corporation")</f>
        <v>0</v>
      </c>
      <c r="C938">
        <v>-0.09181818181818101</v>
      </c>
      <c r="D938">
        <v>-0.189999999999999</v>
      </c>
      <c r="E938">
        <v>-0.232915280266188</v>
      </c>
      <c r="F938">
        <v>-0.6140373470701861</v>
      </c>
      <c r="G938">
        <v>-0.703267326732673</v>
      </c>
      <c r="H938">
        <v>-0.876666666666666</v>
      </c>
      <c r="I938">
        <v>-0.6389156626506021</v>
      </c>
    </row>
    <row r="939" spans="1:9">
      <c r="A939" s="1" t="s">
        <v>951</v>
      </c>
      <c r="B939">
        <f>HYPERLINK("https://www.suredividend.com/sure-analysis-research-database/","Enochian Biosciences Inc")</f>
        <v>0</v>
      </c>
      <c r="C939">
        <v>0.5317286652078771</v>
      </c>
      <c r="D939">
        <v>-0.4400000000000001</v>
      </c>
      <c r="E939">
        <v>-0.363636363636363</v>
      </c>
      <c r="F939">
        <v>-0.320388349514563</v>
      </c>
      <c r="G939">
        <v>-0.7552447552447551</v>
      </c>
      <c r="H939">
        <v>-0.8786828422876951</v>
      </c>
      <c r="I939">
        <v>-0.9166666666666661</v>
      </c>
    </row>
    <row r="940" spans="1:9">
      <c r="A940" s="1" t="s">
        <v>952</v>
      </c>
      <c r="B940">
        <f>HYPERLINK("https://www.suredividend.com/sure-analysis-research-database/","Enphase Energy Inc")</f>
        <v>0</v>
      </c>
      <c r="C940">
        <v>-0.324546388223211</v>
      </c>
      <c r="D940">
        <v>-0.439050394484327</v>
      </c>
      <c r="E940">
        <v>-0.483778126635269</v>
      </c>
      <c r="F940">
        <v>-0.702143719806763</v>
      </c>
      <c r="G940">
        <v>-0.727392055267702</v>
      </c>
      <c r="H940">
        <v>-0.6678590968393581</v>
      </c>
      <c r="I940">
        <v>14.32427184466019</v>
      </c>
    </row>
    <row r="941" spans="1:9">
      <c r="A941" s="1" t="s">
        <v>953</v>
      </c>
      <c r="B941">
        <f>HYPERLINK("https://www.suredividend.com/sure-analysis-research-database/","Energizer Holdings Inc")</f>
        <v>0</v>
      </c>
      <c r="C941">
        <v>0.044508485430675</v>
      </c>
      <c r="D941">
        <v>-0.09775101579074001</v>
      </c>
      <c r="E941">
        <v>-5.5177825871E-05</v>
      </c>
      <c r="F941">
        <v>-0.002400721745645</v>
      </c>
      <c r="G941">
        <v>0.183054252938595</v>
      </c>
      <c r="H941">
        <v>-0.066669337140666</v>
      </c>
      <c r="I941">
        <v>-0.3542550474806641</v>
      </c>
    </row>
    <row r="942" spans="1:9">
      <c r="A942" s="1" t="s">
        <v>954</v>
      </c>
      <c r="B942">
        <f>HYPERLINK("https://www.suredividend.com/sure-analysis-research-database/","Enersys")</f>
        <v>0</v>
      </c>
      <c r="C942">
        <v>-0.06021138037792201</v>
      </c>
      <c r="D942">
        <v>-0.173642160677457</v>
      </c>
      <c r="E942">
        <v>0.06590883773193701</v>
      </c>
      <c r="F942">
        <v>0.19958519398722</v>
      </c>
      <c r="G942">
        <v>0.363237949521635</v>
      </c>
      <c r="H942">
        <v>0.06773565567556701</v>
      </c>
      <c r="I942">
        <v>0.121924362186701</v>
      </c>
    </row>
    <row r="943" spans="1:9">
      <c r="A943" s="1" t="s">
        <v>955</v>
      </c>
      <c r="B943">
        <f>HYPERLINK("https://www.suredividend.com/sure-analysis-ENSG/","Ensign Group Inc")</f>
        <v>0</v>
      </c>
      <c r="C943">
        <v>0.073772272924815</v>
      </c>
      <c r="D943">
        <v>0.020135364314151</v>
      </c>
      <c r="E943">
        <v>0.042339024379954</v>
      </c>
      <c r="F943">
        <v>0.047844830328231</v>
      </c>
      <c r="G943">
        <v>0.09405096641353201</v>
      </c>
      <c r="H943">
        <v>0.312546150944799</v>
      </c>
      <c r="I943">
        <v>1.341238537217472</v>
      </c>
    </row>
    <row r="944" spans="1:9">
      <c r="A944" s="1" t="s">
        <v>956</v>
      </c>
      <c r="B944">
        <f>HYPERLINK("https://www.suredividend.com/sure-analysis-research-database/","Enservco Corp")</f>
        <v>0</v>
      </c>
      <c r="C944">
        <v>0.03513513513513501</v>
      </c>
      <c r="D944">
        <v>-0.05896805896805801</v>
      </c>
      <c r="E944">
        <v>-0.06539775500244001</v>
      </c>
      <c r="F944">
        <v>-0.765030674846625</v>
      </c>
      <c r="G944">
        <v>-0.849212598425196</v>
      </c>
      <c r="H944">
        <v>-0.6754237288135591</v>
      </c>
      <c r="I944">
        <v>-0.9635238095238091</v>
      </c>
    </row>
    <row r="945" spans="1:9">
      <c r="A945" s="1" t="s">
        <v>957</v>
      </c>
      <c r="B945">
        <f>HYPERLINK("https://www.suredividend.com/sure-analysis-research-database/","Enanta Pharmaceuticals Inc")</f>
        <v>0</v>
      </c>
      <c r="C945">
        <v>-0.157292659675881</v>
      </c>
      <c r="D945">
        <v>-0.5320275277924821</v>
      </c>
      <c r="E945">
        <v>-0.7474285714285711</v>
      </c>
      <c r="F945">
        <v>-0.8099742046431641</v>
      </c>
      <c r="G945">
        <v>-0.7974799541809851</v>
      </c>
      <c r="H945">
        <v>-0.8974239962868411</v>
      </c>
      <c r="I945">
        <v>-0.8893340010015021</v>
      </c>
    </row>
    <row r="946" spans="1:9">
      <c r="A946" s="1" t="s">
        <v>958</v>
      </c>
      <c r="B946">
        <f>HYPERLINK("https://www.suredividend.com/sure-analysis-research-database/","Entegris Inc")</f>
        <v>0</v>
      </c>
      <c r="C946">
        <v>-0.081187006477036</v>
      </c>
      <c r="D946">
        <v>-0.171338021768933</v>
      </c>
      <c r="E946">
        <v>0.145126897856444</v>
      </c>
      <c r="F946">
        <v>0.315846034806745</v>
      </c>
      <c r="G946">
        <v>0.358940372150839</v>
      </c>
      <c r="H946">
        <v>-0.399329317649037</v>
      </c>
      <c r="I946">
        <v>2.107145964444186</v>
      </c>
    </row>
    <row r="947" spans="1:9">
      <c r="A947" s="1" t="s">
        <v>959</v>
      </c>
      <c r="B947">
        <f>HYPERLINK("https://www.suredividend.com/sure-analysis-research-database/","Envestnet Inc.")</f>
        <v>0</v>
      </c>
      <c r="C947">
        <v>-0.116843345111896</v>
      </c>
      <c r="D947">
        <v>-0.3796127751116991</v>
      </c>
      <c r="E947">
        <v>-0.39050560884409</v>
      </c>
      <c r="F947">
        <v>-0.392382495948136</v>
      </c>
      <c r="G947">
        <v>-0.222521775197013</v>
      </c>
      <c r="H947">
        <v>-0.551608659251285</v>
      </c>
      <c r="I947">
        <v>-0.280698388334612</v>
      </c>
    </row>
    <row r="948" spans="1:9">
      <c r="A948" s="1" t="s">
        <v>960</v>
      </c>
      <c r="B948">
        <f>HYPERLINK("https://www.suredividend.com/sure-analysis-research-database/","Enova International Inc.")</f>
        <v>0</v>
      </c>
      <c r="C948">
        <v>-0.166533705624252</v>
      </c>
      <c r="D948">
        <v>-0.236154267958325</v>
      </c>
      <c r="E948">
        <v>-0.038647342995169</v>
      </c>
      <c r="F948">
        <v>0.08913213448006201</v>
      </c>
      <c r="G948">
        <v>0.113509192645883</v>
      </c>
      <c r="H948">
        <v>0.194682675814751</v>
      </c>
      <c r="I948">
        <v>0.6994713298088651</v>
      </c>
    </row>
    <row r="949" spans="1:9">
      <c r="A949" s="1" t="s">
        <v>961</v>
      </c>
      <c r="B949">
        <f>HYPERLINK("https://www.suredividend.com/sure-analysis-research-database/","Enzo Biochem, Inc.")</f>
        <v>0</v>
      </c>
      <c r="C949">
        <v>-0.050359712230215</v>
      </c>
      <c r="D949">
        <v>-0.09589041095890401</v>
      </c>
      <c r="E949">
        <v>-0.48235294117647</v>
      </c>
      <c r="F949">
        <v>-0.07692307692307601</v>
      </c>
      <c r="G949">
        <v>-0.4</v>
      </c>
      <c r="H949">
        <v>-0.6106194690265481</v>
      </c>
      <c r="I949">
        <v>-0.614035087719298</v>
      </c>
    </row>
    <row r="950" spans="1:9">
      <c r="A950" s="1" t="s">
        <v>962</v>
      </c>
      <c r="B950">
        <f>HYPERLINK("https://www.suredividend.com/sure-analysis-EOG/","EOG Resources, Inc.")</f>
        <v>0</v>
      </c>
      <c r="C950">
        <v>0.046804743453503</v>
      </c>
      <c r="D950">
        <v>-0.004552826404536</v>
      </c>
      <c r="E950">
        <v>0.167683530080217</v>
      </c>
      <c r="F950">
        <v>0.02891931081201</v>
      </c>
      <c r="G950">
        <v>-0.005438584962911001</v>
      </c>
      <c r="H950">
        <v>0.580732875189067</v>
      </c>
      <c r="I950">
        <v>0.5275088130075121</v>
      </c>
    </row>
    <row r="951" spans="1:9">
      <c r="A951" s="1" t="s">
        <v>963</v>
      </c>
      <c r="B951">
        <f>HYPERLINK("https://www.suredividend.com/sure-analysis-research-database/","Evolus Inc")</f>
        <v>0</v>
      </c>
      <c r="C951">
        <v>-0.102652825836216</v>
      </c>
      <c r="D951">
        <v>-0.209349593495934</v>
      </c>
      <c r="E951">
        <v>-0.060386473429951</v>
      </c>
      <c r="F951">
        <v>0.03595206391478</v>
      </c>
      <c r="G951">
        <v>-0.062650602409638</v>
      </c>
      <c r="H951">
        <v>-0.027499999999999</v>
      </c>
      <c r="I951">
        <v>-0.5235762400489891</v>
      </c>
    </row>
    <row r="952" spans="1:9">
      <c r="A952" s="1" t="s">
        <v>964</v>
      </c>
      <c r="B952">
        <f>HYPERLINK("https://www.suredividend.com/sure-analysis-research-database/","EPAM Systems Inc")</f>
        <v>0</v>
      </c>
      <c r="C952">
        <v>-0.077549237611181</v>
      </c>
      <c r="D952">
        <v>-0.019375263824398</v>
      </c>
      <c r="E952">
        <v>-0.141722392581372</v>
      </c>
      <c r="F952">
        <v>-0.291175932141331</v>
      </c>
      <c r="G952">
        <v>-0.289398017863697</v>
      </c>
      <c r="H952">
        <v>-0.655495084009313</v>
      </c>
      <c r="I952">
        <v>0.8393507521773551</v>
      </c>
    </row>
    <row r="953" spans="1:9">
      <c r="A953" s="1" t="s">
        <v>965</v>
      </c>
      <c r="B953">
        <f>HYPERLINK("https://www.suredividend.com/sure-analysis-research-database/","Bottomline Technologies (Delaware) Inc")</f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</row>
    <row r="954" spans="1:9">
      <c r="A954" s="1" t="s">
        <v>966</v>
      </c>
      <c r="B954">
        <f>HYPERLINK("https://www.suredividend.com/sure-analysis-research-database/","Edgewell Personal Care Co")</f>
        <v>0</v>
      </c>
      <c r="C954">
        <v>-0.015934065934065</v>
      </c>
      <c r="D954">
        <v>-0.09983941858974801</v>
      </c>
      <c r="E954">
        <v>-0.183948713158656</v>
      </c>
      <c r="F954">
        <v>-0.06016073298017201</v>
      </c>
      <c r="G954">
        <v>-0.04886578173832901</v>
      </c>
      <c r="H954">
        <v>0.017957775497966</v>
      </c>
      <c r="I954">
        <v>-0.21699441272395</v>
      </c>
    </row>
    <row r="955" spans="1:9">
      <c r="A955" s="1" t="s">
        <v>967</v>
      </c>
      <c r="B955">
        <f>HYPERLINK("https://www.suredividend.com/sure-analysis-research-database/","Evolution Petroleum Corporation")</f>
        <v>0</v>
      </c>
      <c r="C955">
        <v>0.022116903633491</v>
      </c>
      <c r="D955">
        <v>-0.286643586407638</v>
      </c>
      <c r="E955">
        <v>0.09233340649322101</v>
      </c>
      <c r="F955">
        <v>-0.068689543988945</v>
      </c>
      <c r="G955">
        <v>-0.09544647475778301</v>
      </c>
      <c r="H955">
        <v>0.285464515616307</v>
      </c>
      <c r="I955">
        <v>-0.09752831557216901</v>
      </c>
    </row>
    <row r="956" spans="1:9">
      <c r="A956" s="1" t="s">
        <v>968</v>
      </c>
      <c r="B956">
        <f>HYPERLINK("https://www.suredividend.com/sure-analysis-EPR/","EPR Properties")</f>
        <v>0</v>
      </c>
      <c r="C956">
        <v>0.110088704037689</v>
      </c>
      <c r="D956">
        <v>0.04021043337502701</v>
      </c>
      <c r="E956">
        <v>0.140805220873406</v>
      </c>
      <c r="F956">
        <v>0.281092836754111</v>
      </c>
      <c r="G956">
        <v>0.291918087138789</v>
      </c>
      <c r="H956">
        <v>-0.007232892103507</v>
      </c>
      <c r="I956">
        <v>-0.12400957315798</v>
      </c>
    </row>
    <row r="957" spans="1:9">
      <c r="A957" s="1" t="s">
        <v>969</v>
      </c>
      <c r="B957">
        <f>HYPERLINK("https://www.suredividend.com/sure-analysis-EPRT/","Essential Properties Realty Trust Inc")</f>
        <v>0</v>
      </c>
      <c r="C957">
        <v>0.091252955082742</v>
      </c>
      <c r="D957">
        <v>-0.02445622310703</v>
      </c>
      <c r="E957">
        <v>-0.031261542594271</v>
      </c>
      <c r="F957">
        <v>0.019961729338925</v>
      </c>
      <c r="G957">
        <v>0.147682010532021</v>
      </c>
      <c r="H957">
        <v>-0.171363946433059</v>
      </c>
      <c r="I957">
        <v>1.163276783203674</v>
      </c>
    </row>
    <row r="958" spans="1:9">
      <c r="A958" s="1" t="s">
        <v>970</v>
      </c>
      <c r="B958">
        <f>HYPERLINK("https://www.suredividend.com/sure-analysis-research-database/","Epizyme Inc")</f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</row>
    <row r="959" spans="1:9">
      <c r="A959" s="1" t="s">
        <v>971</v>
      </c>
      <c r="B959">
        <f>HYPERLINK("https://www.suredividend.com/sure-analysis-research-database/","Equity Bancshares Inc")</f>
        <v>0</v>
      </c>
      <c r="C959">
        <v>0.05527638190954701</v>
      </c>
      <c r="D959">
        <v>-0.070601121917217</v>
      </c>
      <c r="E959">
        <v>0.169731797209354</v>
      </c>
      <c r="F959">
        <v>-0.214838309659046</v>
      </c>
      <c r="G959">
        <v>-0.262713798369778</v>
      </c>
      <c r="H959">
        <v>-0.210595561792825</v>
      </c>
      <c r="I959">
        <v>-0.282958309147403</v>
      </c>
    </row>
    <row r="960" spans="1:9">
      <c r="A960" s="1" t="s">
        <v>972</v>
      </c>
      <c r="B960">
        <f>HYPERLINK("https://www.suredividend.com/sure-analysis-research-database/","Equity Commonwealth")</f>
        <v>0</v>
      </c>
      <c r="C960">
        <v>0.04989035087719301</v>
      </c>
      <c r="D960">
        <v>-0.021461420541645</v>
      </c>
      <c r="E960">
        <v>-0.06402737047898301</v>
      </c>
      <c r="F960">
        <v>-0.08245891428297601</v>
      </c>
      <c r="G960">
        <v>-0.109906760990211</v>
      </c>
      <c r="H960">
        <v>-0.07856496718440201</v>
      </c>
      <c r="I960">
        <v>0.006475077259444</v>
      </c>
    </row>
    <row r="961" spans="1:9">
      <c r="A961" s="1" t="s">
        <v>973</v>
      </c>
      <c r="B961">
        <f>HYPERLINK("https://www.suredividend.com/sure-analysis-EQH/","Equitable Holdings Inc")</f>
        <v>0</v>
      </c>
      <c r="C961">
        <v>-0.0317055393586</v>
      </c>
      <c r="D961">
        <v>-0.05916262995382501</v>
      </c>
      <c r="E961">
        <v>0.08057766372358001</v>
      </c>
      <c r="F961">
        <v>-0.05270551156398001</v>
      </c>
      <c r="G961">
        <v>-0.106971804239615</v>
      </c>
      <c r="H961">
        <v>-0.178350764130697</v>
      </c>
      <c r="I961">
        <v>0.476948048338503</v>
      </c>
    </row>
    <row r="962" spans="1:9">
      <c r="A962" s="1" t="s">
        <v>974</v>
      </c>
      <c r="B962">
        <f>HYPERLINK("https://www.suredividend.com/sure-analysis-EQIX/","Equinix Inc")</f>
        <v>0</v>
      </c>
      <c r="C962">
        <v>0.07087332323062201</v>
      </c>
      <c r="D962">
        <v>-0.04395401348528501</v>
      </c>
      <c r="E962">
        <v>0.105701012326583</v>
      </c>
      <c r="F962">
        <v>0.192727766009751</v>
      </c>
      <c r="G962">
        <v>0.429370081910796</v>
      </c>
      <c r="H962">
        <v>-0.045780743998198</v>
      </c>
      <c r="I962">
        <v>1.144856128068025</v>
      </c>
    </row>
    <row r="963" spans="1:9">
      <c r="A963" s="1" t="s">
        <v>975</v>
      </c>
      <c r="B963">
        <f>HYPERLINK("https://www.suredividend.com/sure-analysis-EQR/","Equity Residential Properties Trust")</f>
        <v>0</v>
      </c>
      <c r="C963">
        <v>-0.06359080698116401</v>
      </c>
      <c r="D963">
        <v>-0.167521829700682</v>
      </c>
      <c r="E963">
        <v>-0.112878405898646</v>
      </c>
      <c r="F963">
        <v>-0.050261313965838</v>
      </c>
      <c r="G963">
        <v>-0.08446290123383701</v>
      </c>
      <c r="H963">
        <v>-0.307730828781228</v>
      </c>
      <c r="I963">
        <v>0.004543524967142</v>
      </c>
    </row>
    <row r="964" spans="1:9">
      <c r="A964" s="1" t="s">
        <v>976</v>
      </c>
      <c r="B964">
        <f>HYPERLINK("https://www.suredividend.com/sure-analysis-research-database/","EQT Corp")</f>
        <v>0</v>
      </c>
      <c r="C964">
        <v>0.134561268866717</v>
      </c>
      <c r="D964">
        <v>0.08928983706090601</v>
      </c>
      <c r="E964">
        <v>0.362050538677935</v>
      </c>
      <c r="F964">
        <v>0.328047097011819</v>
      </c>
      <c r="G964">
        <v>0.113932571287917</v>
      </c>
      <c r="H964">
        <v>1.240430809333528</v>
      </c>
      <c r="I964">
        <v>1.626871683093252</v>
      </c>
    </row>
    <row r="965" spans="1:9">
      <c r="A965" s="1" t="s">
        <v>977</v>
      </c>
      <c r="B965">
        <f>HYPERLINK("https://www.suredividend.com/sure-analysis-ERIE/","Erie Indemnity Co.")</f>
        <v>0</v>
      </c>
      <c r="C965">
        <v>-0.037838444091819</v>
      </c>
      <c r="D965">
        <v>0.086919117106491</v>
      </c>
      <c r="E965">
        <v>0.246013608198989</v>
      </c>
      <c r="F965">
        <v>0.151069900733421</v>
      </c>
      <c r="G965">
        <v>0.107477735892359</v>
      </c>
      <c r="H965">
        <v>0.3781255113120821</v>
      </c>
      <c r="I965">
        <v>1.421160920311184</v>
      </c>
    </row>
    <row r="966" spans="1:9">
      <c r="A966" s="1" t="s">
        <v>978</v>
      </c>
      <c r="B966">
        <f>HYPERLINK("https://www.suredividend.com/sure-analysis-research-database/","Energy Recovery Inc")</f>
        <v>0</v>
      </c>
      <c r="C966">
        <v>-0.149783965434469</v>
      </c>
      <c r="D966">
        <v>-0.417817225509533</v>
      </c>
      <c r="E966">
        <v>-0.202970297029702</v>
      </c>
      <c r="F966">
        <v>-0.135675939482674</v>
      </c>
      <c r="G966">
        <v>-0.297779540047581</v>
      </c>
      <c r="H966">
        <v>-0.142787996127783</v>
      </c>
      <c r="I966">
        <v>0.9291938997821351</v>
      </c>
    </row>
    <row r="967" spans="1:9">
      <c r="A967" s="1" t="s">
        <v>979</v>
      </c>
      <c r="B967">
        <f>HYPERLINK("https://www.suredividend.com/sure-analysis-ES/","Eversource Energy")</f>
        <v>0</v>
      </c>
      <c r="C967">
        <v>-0.026018302530055</v>
      </c>
      <c r="D967">
        <v>-0.214061181022212</v>
      </c>
      <c r="E967">
        <v>-0.275772260529855</v>
      </c>
      <c r="F967">
        <v>-0.333727761261449</v>
      </c>
      <c r="G967">
        <v>-0.261829026656022</v>
      </c>
      <c r="H967">
        <v>-0.314804786267819</v>
      </c>
      <c r="I967">
        <v>0.012622333657939</v>
      </c>
    </row>
    <row r="968" spans="1:9">
      <c r="A968" s="1" t="s">
        <v>980</v>
      </c>
      <c r="B968">
        <f>HYPERLINK("https://www.suredividend.com/sure-analysis-research-database/","Elmira Savings Bank Elmira NY")</f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</row>
    <row r="969" spans="1:9">
      <c r="A969" s="1" t="s">
        <v>981</v>
      </c>
      <c r="B969">
        <f>HYPERLINK("https://www.suredividend.com/sure-analysis-research-database/","Escalade, Inc.")</f>
        <v>0</v>
      </c>
      <c r="C969">
        <v>0.107421875</v>
      </c>
      <c r="D969">
        <v>0.155146889048854</v>
      </c>
      <c r="E969">
        <v>0.172028415315607</v>
      </c>
      <c r="F969">
        <v>0.763626372487014</v>
      </c>
      <c r="G969">
        <v>0.7435960515391</v>
      </c>
      <c r="H969">
        <v>0.016949152542372</v>
      </c>
      <c r="I969">
        <v>0.7334148578416381</v>
      </c>
    </row>
    <row r="970" spans="1:9">
      <c r="A970" s="1" t="s">
        <v>982</v>
      </c>
      <c r="B970">
        <f>HYPERLINK("https://www.suredividend.com/sure-analysis-research-database/","Esco Technologies, Inc.")</f>
        <v>0</v>
      </c>
      <c r="C970">
        <v>-0.054067031595121</v>
      </c>
      <c r="D970">
        <v>-0.033194316164107</v>
      </c>
      <c r="E970">
        <v>0.036148431155563</v>
      </c>
      <c r="F970">
        <v>0.128937240258474</v>
      </c>
      <c r="G970">
        <v>0.174417024158413</v>
      </c>
      <c r="H970">
        <v>0.113944664657419</v>
      </c>
      <c r="I970">
        <v>0.570927788356953</v>
      </c>
    </row>
    <row r="971" spans="1:9">
      <c r="A971" s="1" t="s">
        <v>983</v>
      </c>
      <c r="B971">
        <f>HYPERLINK("https://www.suredividend.com/sure-analysis-research-database/","Enstar Group Limited")</f>
        <v>0</v>
      </c>
      <c r="C971">
        <v>0.001941667355201</v>
      </c>
      <c r="D971">
        <v>-0.046508885044818</v>
      </c>
      <c r="E971">
        <v>0.014769874476987</v>
      </c>
      <c r="F971">
        <v>0.049731648199446</v>
      </c>
      <c r="G971">
        <v>0.228248759242378</v>
      </c>
      <c r="H971">
        <v>0.039473684210526</v>
      </c>
      <c r="I971">
        <v>0.329732989747244</v>
      </c>
    </row>
    <row r="972" spans="1:9">
      <c r="A972" s="1" t="s">
        <v>984</v>
      </c>
      <c r="B972">
        <f>HYPERLINK("https://www.suredividend.com/sure-analysis-research-database/","Element Solutions Inc")</f>
        <v>0</v>
      </c>
      <c r="C972">
        <v>-0.039296794208893</v>
      </c>
      <c r="D972">
        <v>-0.094550735372949</v>
      </c>
      <c r="E972">
        <v>0.04192368946412101</v>
      </c>
      <c r="F972">
        <v>0.033928203758423</v>
      </c>
      <c r="G972">
        <v>0.129606887075789</v>
      </c>
      <c r="H972">
        <v>-0.215831922984396</v>
      </c>
      <c r="I972">
        <v>0.6999085086916741</v>
      </c>
    </row>
    <row r="973" spans="1:9">
      <c r="A973" s="1" t="s">
        <v>985</v>
      </c>
      <c r="B973">
        <f>HYPERLINK("https://www.suredividend.com/sure-analysis-research-database/","Essent Group Ltd")</f>
        <v>0</v>
      </c>
      <c r="C973">
        <v>0.025165280443591</v>
      </c>
      <c r="D973">
        <v>-0.046413686254828</v>
      </c>
      <c r="E973">
        <v>0.169421346865892</v>
      </c>
      <c r="F973">
        <v>0.256659747674643</v>
      </c>
      <c r="G973">
        <v>0.269010741844619</v>
      </c>
      <c r="H973">
        <v>0.022202658534977</v>
      </c>
      <c r="I973">
        <v>0.305253325585626</v>
      </c>
    </row>
    <row r="974" spans="1:9">
      <c r="A974" s="1" t="s">
        <v>986</v>
      </c>
      <c r="B974">
        <f>HYPERLINK("https://www.suredividend.com/sure-analysis-research-database/","Espey Manufacturing &amp; Electronics Corp.")</f>
        <v>0</v>
      </c>
      <c r="C974">
        <v>0.08140262993112</v>
      </c>
      <c r="D974">
        <v>0.056521127363713</v>
      </c>
      <c r="E974">
        <v>-0.183686974442359</v>
      </c>
      <c r="F974">
        <v>0.259489932102771</v>
      </c>
      <c r="G974">
        <v>0.3704826447855</v>
      </c>
      <c r="H974">
        <v>0.196306481667486</v>
      </c>
      <c r="I974">
        <v>-0.277620455847844</v>
      </c>
    </row>
    <row r="975" spans="1:9">
      <c r="A975" s="1" t="s">
        <v>987</v>
      </c>
      <c r="B975">
        <f>HYPERLINK("https://www.suredividend.com/sure-analysis-research-database/","Esperion Therapeutics Inc.")</f>
        <v>0</v>
      </c>
      <c r="C975">
        <v>-0.08865979381443301</v>
      </c>
      <c r="D975">
        <v>-0.506145251396648</v>
      </c>
      <c r="E975">
        <v>-0.33030303030303</v>
      </c>
      <c r="F975">
        <v>-0.858105939004815</v>
      </c>
      <c r="G975">
        <v>-0.8900497512437811</v>
      </c>
      <c r="H975">
        <v>-0.9142580019398641</v>
      </c>
      <c r="I975">
        <v>-0.9841803865425911</v>
      </c>
    </row>
    <row r="976" spans="1:9">
      <c r="A976" s="1" t="s">
        <v>988</v>
      </c>
      <c r="B976">
        <f>HYPERLINK("https://www.suredividend.com/sure-analysis-research-database/","Esquire Financial Holdings Inc")</f>
        <v>0</v>
      </c>
      <c r="C976">
        <v>0.021295279912184</v>
      </c>
      <c r="D976">
        <v>-0.062123246521267</v>
      </c>
      <c r="E976">
        <v>0.262493995554675</v>
      </c>
      <c r="F976">
        <v>0.086588388079293</v>
      </c>
      <c r="G976">
        <v>0.049302795584447</v>
      </c>
      <c r="H976">
        <v>0.465815493783203</v>
      </c>
      <c r="I976">
        <v>0.9694673293650461</v>
      </c>
    </row>
    <row r="977" spans="1:9">
      <c r="A977" s="1" t="s">
        <v>989</v>
      </c>
      <c r="B977">
        <f>HYPERLINK("https://www.suredividend.com/sure-analysis-ESRT/","Empire State Realty Trust Inc")</f>
        <v>0</v>
      </c>
      <c r="C977">
        <v>0.110546378653113</v>
      </c>
      <c r="D977">
        <v>-0.011815252416756</v>
      </c>
      <c r="E977">
        <v>0.5637020736049231</v>
      </c>
      <c r="F977">
        <v>0.315037164093767</v>
      </c>
      <c r="G977">
        <v>0.265437908118204</v>
      </c>
      <c r="H977">
        <v>-0.054399099839875</v>
      </c>
      <c r="I977">
        <v>-0.3837953692997541</v>
      </c>
    </row>
    <row r="978" spans="1:9">
      <c r="A978" s="1" t="s">
        <v>990</v>
      </c>
      <c r="B978">
        <f>HYPERLINK("https://www.suredividend.com/sure-analysis-ESS/","Essex Property Trust, Inc.")</f>
        <v>0</v>
      </c>
      <c r="C978">
        <v>0.01393344505626</v>
      </c>
      <c r="D978">
        <v>-0.124736606725838</v>
      </c>
      <c r="E978">
        <v>-0.004114096093395</v>
      </c>
      <c r="F978">
        <v>0.032228377116272</v>
      </c>
      <c r="G978">
        <v>0.02172270476672</v>
      </c>
      <c r="H978">
        <v>-0.322773902233957</v>
      </c>
      <c r="I978">
        <v>0.006565778759921001</v>
      </c>
    </row>
    <row r="979" spans="1:9">
      <c r="A979" s="1" t="s">
        <v>991</v>
      </c>
      <c r="B979">
        <f>HYPERLINK("https://www.suredividend.com/sure-analysis-research-database/","ESSA Bancorp Inc")</f>
        <v>0</v>
      </c>
      <c r="C979">
        <v>0.112542372881355</v>
      </c>
      <c r="D979">
        <v>-0.01719460265555</v>
      </c>
      <c r="E979">
        <v>0.150424486304971</v>
      </c>
      <c r="F979">
        <v>-0.175439037258498</v>
      </c>
      <c r="G979">
        <v>-0.145450474142195</v>
      </c>
      <c r="H979">
        <v>0.07287158230579101</v>
      </c>
      <c r="I979">
        <v>0.204306441314829</v>
      </c>
    </row>
    <row r="980" spans="1:9">
      <c r="A980" s="1" t="s">
        <v>992</v>
      </c>
      <c r="B980">
        <f>HYPERLINK("https://www.suredividend.com/sure-analysis-research-database/","Elastic N.V")</f>
        <v>0</v>
      </c>
      <c r="C980">
        <v>-0.124521309450277</v>
      </c>
      <c r="D980">
        <v>0.149181125344576</v>
      </c>
      <c r="E980">
        <v>0.289248681098781</v>
      </c>
      <c r="F980">
        <v>0.376116504854369</v>
      </c>
      <c r="G980">
        <v>0.229741454103765</v>
      </c>
      <c r="H980">
        <v>-0.585676702718503</v>
      </c>
      <c r="I980">
        <v>0.09841909485430801</v>
      </c>
    </row>
    <row r="981" spans="1:9">
      <c r="A981" s="1" t="s">
        <v>993</v>
      </c>
      <c r="B981">
        <f>HYPERLINK("https://www.suredividend.com/sure-analysis-research-database/","Earthstone Energy Inc")</f>
        <v>0</v>
      </c>
      <c r="C981">
        <v>0.04594861660079001</v>
      </c>
      <c r="D981">
        <v>0.324780976220275</v>
      </c>
      <c r="E981">
        <v>0.561209439528023</v>
      </c>
      <c r="F981">
        <v>0.487702037947997</v>
      </c>
      <c r="G981">
        <v>0.310024752475247</v>
      </c>
      <c r="H981">
        <v>1.085714285714286</v>
      </c>
      <c r="I981">
        <v>1.572296476306196</v>
      </c>
    </row>
    <row r="982" spans="1:9">
      <c r="A982" s="1" t="s">
        <v>994</v>
      </c>
      <c r="B982">
        <f>HYPERLINK("https://www.suredividend.com/sure-analysis-research-database/","Community Bankers Trust Corp")</f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</row>
    <row r="983" spans="1:9">
      <c r="A983" s="1" t="s">
        <v>995</v>
      </c>
      <c r="B983">
        <f>HYPERLINK("https://www.suredividend.com/sure-analysis-ETN/","Eaton Corporation plc")</f>
        <v>0</v>
      </c>
      <c r="C983">
        <v>0.028158295281582</v>
      </c>
      <c r="D983">
        <v>-0.008454012100750001</v>
      </c>
      <c r="E983">
        <v>0.259067604987342</v>
      </c>
      <c r="F983">
        <v>0.396685585501762</v>
      </c>
      <c r="G983">
        <v>0.462970257359858</v>
      </c>
      <c r="H983">
        <v>0.311060985321527</v>
      </c>
      <c r="I983">
        <v>2.364263724907317</v>
      </c>
    </row>
    <row r="984" spans="1:9">
      <c r="A984" s="1" t="s">
        <v>996</v>
      </c>
      <c r="B984">
        <f>HYPERLINK("https://www.suredividend.com/sure-analysis-ETR/","Entergy Corp.")</f>
        <v>0</v>
      </c>
      <c r="C984">
        <v>0.110048385281872</v>
      </c>
      <c r="D984">
        <v>-0.016257430422525</v>
      </c>
      <c r="E984">
        <v>-0.05323206323430801</v>
      </c>
      <c r="F984">
        <v>-0.09514672106487401</v>
      </c>
      <c r="G984">
        <v>-0.045388787551831</v>
      </c>
      <c r="H984">
        <v>0.036938775939236</v>
      </c>
      <c r="I984">
        <v>0.4414506560682661</v>
      </c>
    </row>
    <row r="985" spans="1:9">
      <c r="A985" s="1" t="s">
        <v>997</v>
      </c>
      <c r="B985">
        <f>HYPERLINK("https://www.suredividend.com/sure-analysis-research-database/","Equitrans Midstream Corporation")</f>
        <v>0</v>
      </c>
      <c r="C985">
        <v>0.007238837358599001</v>
      </c>
      <c r="D985">
        <v>-0.037780338997388</v>
      </c>
      <c r="E985">
        <v>0.9190215099114291</v>
      </c>
      <c r="F985">
        <v>0.477104874446085</v>
      </c>
      <c r="G985">
        <v>0.233998698199175</v>
      </c>
      <c r="H985">
        <v>0.015477665070916</v>
      </c>
      <c r="I985">
        <v>-0.5284974093264251</v>
      </c>
    </row>
    <row r="986" spans="1:9">
      <c r="A986" s="1" t="s">
        <v>998</v>
      </c>
      <c r="B986">
        <f>HYPERLINK("https://www.suredividend.com/sure-analysis-research-database/","Etsy Inc")</f>
        <v>0</v>
      </c>
      <c r="C986">
        <v>-0.046713070378963</v>
      </c>
      <c r="D986">
        <v>-0.358488602060997</v>
      </c>
      <c r="E986">
        <v>-0.378667204355277</v>
      </c>
      <c r="F986">
        <v>-0.4854733678410411</v>
      </c>
      <c r="G986">
        <v>-0.29597898103724</v>
      </c>
      <c r="H986">
        <v>-0.743880646635914</v>
      </c>
      <c r="I986">
        <v>0.43860877684407</v>
      </c>
    </row>
    <row r="987" spans="1:9">
      <c r="A987" s="1" t="s">
        <v>999</v>
      </c>
      <c r="B987">
        <f>HYPERLINK("https://www.suredividend.com/sure-analysis-research-database/","Eaton Vance Corp.")</f>
        <v>0</v>
      </c>
      <c r="C987">
        <v>0.08832290735775901</v>
      </c>
      <c r="D987">
        <v>0.168837608833705</v>
      </c>
      <c r="E987">
        <v>0.9206556566949581</v>
      </c>
      <c r="F987">
        <v>0.081648392478346</v>
      </c>
      <c r="G987">
        <v>0.949495084241559</v>
      </c>
      <c r="H987">
        <v>0.9852040220282391</v>
      </c>
      <c r="I987">
        <v>2.114981924834595</v>
      </c>
    </row>
    <row r="988" spans="1:9">
      <c r="A988" s="1" t="s">
        <v>1000</v>
      </c>
      <c r="B988">
        <f>HYPERLINK("https://www.suredividend.com/sure-analysis-research-database/","Everbridge Inc")</f>
        <v>0</v>
      </c>
      <c r="C988">
        <v>-0.07634265423879201</v>
      </c>
      <c r="D988">
        <v>-0.285370879120879</v>
      </c>
      <c r="E988">
        <v>-0.151996740016299</v>
      </c>
      <c r="F988">
        <v>-0.296484110885733</v>
      </c>
      <c r="G988">
        <v>-0.319267255479228</v>
      </c>
      <c r="H988">
        <v>-0.868399418200215</v>
      </c>
      <c r="I988">
        <v>-0.598572530864197</v>
      </c>
    </row>
    <row r="989" spans="1:9">
      <c r="A989" s="1" t="s">
        <v>1001</v>
      </c>
      <c r="B989">
        <f>HYPERLINK("https://www.suredividend.com/sure-analysis-research-database/","Evans Bancorp Inc")</f>
        <v>0</v>
      </c>
      <c r="C989">
        <v>-0.057863501483679</v>
      </c>
      <c r="D989">
        <v>-0.09716495578240901</v>
      </c>
      <c r="E989">
        <v>-0.037368301371939</v>
      </c>
      <c r="F989">
        <v>-0.276206868055931</v>
      </c>
      <c r="G989">
        <v>-0.263802258445985</v>
      </c>
      <c r="H989">
        <v>-0.299472673918319</v>
      </c>
      <c r="I989">
        <v>-0.266135626226117</v>
      </c>
    </row>
    <row r="990" spans="1:9">
      <c r="A990" s="1" t="s">
        <v>1002</v>
      </c>
      <c r="B990">
        <f>HYPERLINK("https://www.suredividend.com/sure-analysis-research-database/","Entravision Communications Corp.")</f>
        <v>0</v>
      </c>
      <c r="C990">
        <v>0.070224719101123</v>
      </c>
      <c r="D990">
        <v>-0.174645812573112</v>
      </c>
      <c r="E990">
        <v>-0.379074315514993</v>
      </c>
      <c r="F990">
        <v>-0.179780844330584</v>
      </c>
      <c r="G990">
        <v>-0.165608164337961</v>
      </c>
      <c r="H990">
        <v>-0.5254524393737461</v>
      </c>
      <c r="I990">
        <v>-0.07714666343708301</v>
      </c>
    </row>
    <row r="991" spans="1:9">
      <c r="A991" s="1" t="s">
        <v>1003</v>
      </c>
      <c r="B991">
        <f>HYPERLINK("https://www.suredividend.com/sure-analysis-research-database/","EverQuote Inc")</f>
        <v>0</v>
      </c>
      <c r="C991">
        <v>0.05832147937411</v>
      </c>
      <c r="D991">
        <v>0.122171945701357</v>
      </c>
      <c r="E991">
        <v>0.141104294478527</v>
      </c>
      <c r="F991">
        <v>-0.495251017639077</v>
      </c>
      <c r="G991">
        <v>0.213703099510603</v>
      </c>
      <c r="H991">
        <v>-0.409523809523809</v>
      </c>
      <c r="I991">
        <v>-0.387654320987654</v>
      </c>
    </row>
    <row r="992" spans="1:9">
      <c r="A992" s="1" t="s">
        <v>1004</v>
      </c>
      <c r="B992">
        <f>HYPERLINK("https://www.suredividend.com/sure-analysis-research-database/","Evofem Biosciences Inc")</f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</row>
    <row r="993" spans="1:9">
      <c r="A993" s="1" t="s">
        <v>1005</v>
      </c>
      <c r="B993">
        <f>HYPERLINK("https://www.suredividend.com/sure-analysis-research-database/","Evolent Health Inc")</f>
        <v>0</v>
      </c>
      <c r="C993">
        <v>-0.107766629505759</v>
      </c>
      <c r="D993">
        <v>-0.189672629092136</v>
      </c>
      <c r="E993">
        <v>-0.314783105022831</v>
      </c>
      <c r="F993">
        <v>-0.144943019943019</v>
      </c>
      <c r="G993">
        <v>-0.156952247191011</v>
      </c>
      <c r="H993">
        <v>-0.182220708446866</v>
      </c>
      <c r="I993">
        <v>0.05214723926380301</v>
      </c>
    </row>
    <row r="994" spans="1:9">
      <c r="A994" s="1" t="s">
        <v>1006</v>
      </c>
      <c r="B994">
        <f>HYPERLINK("https://www.suredividend.com/sure-analysis-research-database/","EVI Industries Inc")</f>
        <v>0</v>
      </c>
      <c r="C994">
        <v>0.13986173899277</v>
      </c>
      <c r="D994">
        <v>0.031559676841644</v>
      </c>
      <c r="E994">
        <v>0.426519391747981</v>
      </c>
      <c r="F994">
        <v>0.109779071758862</v>
      </c>
      <c r="G994">
        <v>0.357089378367199</v>
      </c>
      <c r="H994">
        <v>-0.158766580444568</v>
      </c>
      <c r="I994">
        <v>-0.33546981156262</v>
      </c>
    </row>
    <row r="995" spans="1:9">
      <c r="A995" s="1" t="s">
        <v>1007</v>
      </c>
      <c r="B995">
        <f>HYPERLINK("https://www.suredividend.com/sure-analysis-research-database/","Evoke Pharma Inc")</f>
        <v>0</v>
      </c>
      <c r="C995">
        <v>-0.136690647482014</v>
      </c>
      <c r="D995">
        <v>-0.240506329113924</v>
      </c>
      <c r="E995">
        <v>-0.378270555929744</v>
      </c>
      <c r="F995">
        <v>-0.5522388059701491</v>
      </c>
      <c r="G995">
        <v>-0.289940828402366</v>
      </c>
      <c r="H995">
        <v>-0.92063492063492</v>
      </c>
      <c r="I995">
        <v>-0.963768115942028</v>
      </c>
    </row>
    <row r="996" spans="1:9">
      <c r="A996" s="1" t="s">
        <v>1008</v>
      </c>
      <c r="B996">
        <f>HYPERLINK("https://www.suredividend.com/sure-analysis-research-database/","Symbolic Logic Inc")</f>
        <v>0</v>
      </c>
      <c r="C996">
        <v>-0.162626262626262</v>
      </c>
      <c r="D996">
        <v>0.105333333333333</v>
      </c>
      <c r="E996">
        <v>-0.21047619047619</v>
      </c>
      <c r="F996">
        <v>-0.381343283582089</v>
      </c>
      <c r="G996">
        <v>-0.385925925925926</v>
      </c>
      <c r="H996">
        <v>-0.21047619047619</v>
      </c>
      <c r="I996">
        <v>-0.21047619047619</v>
      </c>
    </row>
    <row r="997" spans="1:9">
      <c r="A997" s="1" t="s">
        <v>1009</v>
      </c>
      <c r="B997">
        <f>HYPERLINK("https://www.suredividend.com/sure-analysis-research-database/","EVO Payments Inc")</f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</row>
    <row r="998" spans="1:9">
      <c r="A998" s="1" t="s">
        <v>1010</v>
      </c>
      <c r="B998">
        <f>HYPERLINK("https://www.suredividend.com/sure-analysis-EVR/","Evercore Inc")</f>
        <v>0</v>
      </c>
      <c r="C998">
        <v>0.019964243146602</v>
      </c>
      <c r="D998">
        <v>0.016222298256642</v>
      </c>
      <c r="E998">
        <v>0.275817792496044</v>
      </c>
      <c r="F998">
        <v>0.278673735544645</v>
      </c>
      <c r="G998">
        <v>0.307323090789826</v>
      </c>
      <c r="H998">
        <v>-0.055800325077217</v>
      </c>
      <c r="I998">
        <v>0.8876846910315671</v>
      </c>
    </row>
    <row r="999" spans="1:9">
      <c r="A999" s="1" t="s">
        <v>1011</v>
      </c>
      <c r="B999">
        <f>HYPERLINK("https://www.suredividend.com/sure-analysis-EVRG/","Evergy Inc")</f>
        <v>0</v>
      </c>
      <c r="C999">
        <v>0.06112266112266101</v>
      </c>
      <c r="D999">
        <v>-0.13588335779745</v>
      </c>
      <c r="E999">
        <v>-0.151559076688819</v>
      </c>
      <c r="F999">
        <v>-0.162865610735789</v>
      </c>
      <c r="G999">
        <v>-0.124086589120414</v>
      </c>
      <c r="H999">
        <v>-0.137779579701331</v>
      </c>
      <c r="I999">
        <v>0.092119790819688</v>
      </c>
    </row>
    <row r="1000" spans="1:9">
      <c r="A1000" s="1" t="s">
        <v>1012</v>
      </c>
      <c r="B1000">
        <f>HYPERLINK("https://www.suredividend.com/sure-analysis-research-database/","Everi Holdings Inc")</f>
        <v>0</v>
      </c>
      <c r="C1000">
        <v>-0.154198473282442</v>
      </c>
      <c r="D1000">
        <v>-0.246770904146838</v>
      </c>
      <c r="E1000">
        <v>-0.267195767195767</v>
      </c>
      <c r="F1000">
        <v>-0.22787456445993</v>
      </c>
      <c r="G1000">
        <v>-0.396842678279804</v>
      </c>
      <c r="H1000">
        <v>-0.5436573311367381</v>
      </c>
      <c r="I1000">
        <v>0.485254691689008</v>
      </c>
    </row>
    <row r="1001" spans="1:9">
      <c r="A1001" s="1" t="s">
        <v>1013</v>
      </c>
      <c r="B1001">
        <f>HYPERLINK("https://www.suredividend.com/sure-analysis-research-database/","Evertec Inc")</f>
        <v>0</v>
      </c>
      <c r="C1001">
        <v>-0.126297924656893</v>
      </c>
      <c r="D1001">
        <v>-0.178067036942982</v>
      </c>
      <c r="E1001">
        <v>-0.024732241415316</v>
      </c>
      <c r="F1001">
        <v>0.015176405921499</v>
      </c>
      <c r="G1001">
        <v>-0.031771748112562</v>
      </c>
      <c r="H1001">
        <v>-0.235691723539712</v>
      </c>
      <c r="I1001">
        <v>0.179382276435083</v>
      </c>
    </row>
    <row r="1002" spans="1:9">
      <c r="A1002" s="1" t="s">
        <v>1014</v>
      </c>
      <c r="B1002">
        <f>HYPERLINK("https://www.suredividend.com/sure-analysis-research-database/","Edwards Lifesciences Corp")</f>
        <v>0</v>
      </c>
      <c r="C1002">
        <v>-0.052760913558832</v>
      </c>
      <c r="D1002">
        <v>-0.184747449614331</v>
      </c>
      <c r="E1002">
        <v>-0.25372964354857</v>
      </c>
      <c r="F1002">
        <v>-0.121699504087923</v>
      </c>
      <c r="G1002">
        <v>-0.067984639453847</v>
      </c>
      <c r="H1002">
        <v>-0.4396271592269541</v>
      </c>
      <c r="I1002">
        <v>0.286667975652856</v>
      </c>
    </row>
    <row r="1003" spans="1:9">
      <c r="A1003" s="1" t="s">
        <v>1015</v>
      </c>
      <c r="B1003">
        <f>HYPERLINK("https://www.suredividend.com/sure-analysis-research-database/","East West Bancorp, Inc.")</f>
        <v>0</v>
      </c>
      <c r="C1003">
        <v>0.132950969849046</v>
      </c>
      <c r="D1003">
        <v>-0.03327544427866901</v>
      </c>
      <c r="E1003">
        <v>0.275786518239777</v>
      </c>
      <c r="F1003">
        <v>-0.093523689640612</v>
      </c>
      <c r="G1003">
        <v>-0.121517493985429</v>
      </c>
      <c r="H1003">
        <v>-0.255504866896466</v>
      </c>
      <c r="I1003">
        <v>0.219026150457268</v>
      </c>
    </row>
    <row r="1004" spans="1:9">
      <c r="A1004" s="1" t="s">
        <v>1016</v>
      </c>
      <c r="B1004">
        <f>HYPERLINK("https://www.suredividend.com/sure-analysis-research-database/","Exact Sciences Corp.")</f>
        <v>0</v>
      </c>
      <c r="C1004">
        <v>-0.05976215565256601</v>
      </c>
      <c r="D1004">
        <v>-0.266298602137906</v>
      </c>
      <c r="E1004">
        <v>-0.009985734664764</v>
      </c>
      <c r="F1004">
        <v>0.261563320541304</v>
      </c>
      <c r="G1004">
        <v>0.8921538927597691</v>
      </c>
      <c r="H1004">
        <v>-0.346857680644149</v>
      </c>
      <c r="I1004">
        <v>-0.15822102425876</v>
      </c>
    </row>
    <row r="1005" spans="1:9">
      <c r="A1005" s="1" t="s">
        <v>1017</v>
      </c>
      <c r="B1005">
        <f>HYPERLINK("https://www.suredividend.com/sure-analysis-EXC/","Exelon Corp.")</f>
        <v>0</v>
      </c>
      <c r="C1005">
        <v>0.111718109806064</v>
      </c>
      <c r="D1005">
        <v>-0.001609199913652</v>
      </c>
      <c r="E1005">
        <v>-0.018385376595123</v>
      </c>
      <c r="F1005">
        <v>-0.02498155370507</v>
      </c>
      <c r="G1005">
        <v>0.11768970517158</v>
      </c>
      <c r="H1005">
        <v>0.1432776956915</v>
      </c>
      <c r="I1005">
        <v>0.568364507949719</v>
      </c>
    </row>
    <row r="1006" spans="1:9">
      <c r="A1006" s="1" t="s">
        <v>1018</v>
      </c>
      <c r="B1006">
        <f>HYPERLINK("https://www.suredividend.com/sure-analysis-research-database/","Exelixis Inc")</f>
        <v>0</v>
      </c>
      <c r="C1006">
        <v>-0.094059405940594</v>
      </c>
      <c r="D1006">
        <v>-0.010324483775811</v>
      </c>
      <c r="E1006">
        <v>0.06903876792352601</v>
      </c>
      <c r="F1006">
        <v>0.254987531172069</v>
      </c>
      <c r="G1006">
        <v>0.183421516754849</v>
      </c>
      <c r="H1006">
        <v>-0.07998171846435001</v>
      </c>
      <c r="I1006">
        <v>0.156232050545663</v>
      </c>
    </row>
    <row r="1007" spans="1:9">
      <c r="A1007" s="1" t="s">
        <v>1019</v>
      </c>
      <c r="B1007">
        <f>HYPERLINK("https://www.suredividend.com/sure-analysis-research-database/","ExlService Holdings Inc")</f>
        <v>0</v>
      </c>
      <c r="C1007">
        <v>-0.056011416339636</v>
      </c>
      <c r="D1007">
        <v>-0.047344734473447</v>
      </c>
      <c r="E1007">
        <v>-0.25042492917847</v>
      </c>
      <c r="F1007">
        <v>-0.219146550197721</v>
      </c>
      <c r="G1007">
        <v>-0.248636983189459</v>
      </c>
      <c r="H1007">
        <v>0.022095179233621</v>
      </c>
      <c r="I1007">
        <v>1.250382718149345</v>
      </c>
    </row>
    <row r="1008" spans="1:9">
      <c r="A1008" s="1" t="s">
        <v>1020</v>
      </c>
      <c r="B1008">
        <f>HYPERLINK("https://www.suredividend.com/sure-analysis-research-database/","Eagle Materials Inc.")</f>
        <v>0</v>
      </c>
      <c r="C1008">
        <v>-0.021519064072255</v>
      </c>
      <c r="D1008">
        <v>-0.138197518380439</v>
      </c>
      <c r="E1008">
        <v>0.08078647938926301</v>
      </c>
      <c r="F1008">
        <v>0.220918843160108</v>
      </c>
      <c r="G1008">
        <v>0.377969224045059</v>
      </c>
      <c r="H1008">
        <v>0.05133582565879401</v>
      </c>
      <c r="I1008">
        <v>1.136126097871152</v>
      </c>
    </row>
    <row r="1009" spans="1:9">
      <c r="A1009" s="1" t="s">
        <v>1021</v>
      </c>
      <c r="B1009">
        <f>HYPERLINK("https://www.suredividend.com/sure-analysis-EXPD/","Expeditors International Of Washington, Inc.")</f>
        <v>0</v>
      </c>
      <c r="C1009">
        <v>-0.016734942909439</v>
      </c>
      <c r="D1009">
        <v>-0.09338583942779001</v>
      </c>
      <c r="E1009">
        <v>0.008262911637343001</v>
      </c>
      <c r="F1009">
        <v>0.09868811905295201</v>
      </c>
      <c r="G1009">
        <v>0.230879684538662</v>
      </c>
      <c r="H1009">
        <v>-0.05355339062966601</v>
      </c>
      <c r="I1009">
        <v>0.7192348254399811</v>
      </c>
    </row>
    <row r="1010" spans="1:9">
      <c r="A1010" s="1" t="s">
        <v>1022</v>
      </c>
      <c r="B1010">
        <f>HYPERLINK("https://www.suredividend.com/sure-analysis-research-database/","Expedia Group Inc")</f>
        <v>0</v>
      </c>
      <c r="C1010">
        <v>-0.070651641352278</v>
      </c>
      <c r="D1010">
        <v>-0.196271186440678</v>
      </c>
      <c r="E1010">
        <v>0.017160017160017</v>
      </c>
      <c r="F1010">
        <v>0.082648401826484</v>
      </c>
      <c r="G1010">
        <v>0.04981182200575501</v>
      </c>
      <c r="H1010">
        <v>-0.406656656656656</v>
      </c>
      <c r="I1010">
        <v>-0.236899804880011</v>
      </c>
    </row>
    <row r="1011" spans="1:9">
      <c r="A1011" s="1" t="s">
        <v>1023</v>
      </c>
      <c r="B1011">
        <f>HYPERLINK("https://www.suredividend.com/sure-analysis-research-database/","eXp World Holdings Inc")</f>
        <v>0</v>
      </c>
      <c r="C1011">
        <v>-0.114012738853503</v>
      </c>
      <c r="D1011">
        <v>-0.4248287097721231</v>
      </c>
      <c r="E1011">
        <v>0.224967856702538</v>
      </c>
      <c r="F1011">
        <v>0.267714741398952</v>
      </c>
      <c r="G1011">
        <v>0.202029018069321</v>
      </c>
      <c r="H1011">
        <v>-0.7204924637454011</v>
      </c>
      <c r="I1011">
        <v>1.451403697372363</v>
      </c>
    </row>
    <row r="1012" spans="1:9">
      <c r="A1012" s="1" t="s">
        <v>1024</v>
      </c>
      <c r="B1012">
        <f>HYPERLINK("https://www.suredividend.com/sure-analysis-EXPO/","Exponent Inc.")</f>
        <v>0</v>
      </c>
      <c r="C1012">
        <v>-0.132308053533693</v>
      </c>
      <c r="D1012">
        <v>-0.168918379486418</v>
      </c>
      <c r="E1012">
        <v>-0.178341385758213</v>
      </c>
      <c r="F1012">
        <v>-0.245844799737152</v>
      </c>
      <c r="G1012">
        <v>-0.209099158484072</v>
      </c>
      <c r="H1012">
        <v>-0.339461184072354</v>
      </c>
      <c r="I1012">
        <v>0.5354763383740281</v>
      </c>
    </row>
    <row r="1013" spans="1:9">
      <c r="A1013" s="1" t="s">
        <v>1025</v>
      </c>
      <c r="B1013">
        <f>HYPERLINK("https://www.suredividend.com/sure-analysis-research-database/","Express Inc.")</f>
        <v>0</v>
      </c>
      <c r="C1013">
        <v>0.010238907849829</v>
      </c>
      <c r="D1013">
        <v>-0.436405178979436</v>
      </c>
      <c r="E1013">
        <v>-0.428571428571428</v>
      </c>
      <c r="F1013">
        <v>-0.5647058823529411</v>
      </c>
      <c r="G1013">
        <v>-0.5963636363636361</v>
      </c>
      <c r="H1013">
        <v>-0.8962616822429901</v>
      </c>
      <c r="I1013">
        <v>-0.952258064516129</v>
      </c>
    </row>
    <row r="1014" spans="1:9">
      <c r="A1014" s="1" t="s">
        <v>1026</v>
      </c>
      <c r="B1014">
        <f>HYPERLINK("https://www.suredividend.com/sure-analysis-EXR/","Extra Space Storage Inc.")</f>
        <v>0</v>
      </c>
      <c r="C1014">
        <v>-0.116542298985495</v>
      </c>
      <c r="D1014">
        <v>-0.226246380717328</v>
      </c>
      <c r="E1014">
        <v>-0.287126328223627</v>
      </c>
      <c r="F1014">
        <v>-0.25999952244441</v>
      </c>
      <c r="G1014">
        <v>-0.306114842372761</v>
      </c>
      <c r="H1014">
        <v>-0.438794097032111</v>
      </c>
      <c r="I1014">
        <v>0.4344954148424051</v>
      </c>
    </row>
    <row r="1015" spans="1:9">
      <c r="A1015" s="1" t="s">
        <v>1027</v>
      </c>
      <c r="B1015">
        <f>HYPERLINK("https://www.suredividend.com/sure-analysis-research-database/","Exterran Corp")</f>
        <v>0</v>
      </c>
      <c r="C1015">
        <v>-0.087649402390438</v>
      </c>
      <c r="D1015">
        <v>0.221333333333333</v>
      </c>
      <c r="E1015">
        <v>-0.355836849507735</v>
      </c>
      <c r="F1015">
        <v>0.536912751677852</v>
      </c>
      <c r="G1015">
        <v>-0.019271948608136</v>
      </c>
      <c r="H1015">
        <v>-0.107212475633528</v>
      </c>
      <c r="I1015">
        <v>-0.8553379658875551</v>
      </c>
    </row>
    <row r="1016" spans="1:9">
      <c r="A1016" s="1" t="s">
        <v>1028</v>
      </c>
      <c r="B1016">
        <f>HYPERLINK("https://www.suredividend.com/sure-analysis-research-database/","Extreme Networks Inc.")</f>
        <v>0</v>
      </c>
      <c r="C1016">
        <v>-0.301470588235294</v>
      </c>
      <c r="D1016">
        <v>-0.43414956982131</v>
      </c>
      <c r="E1016">
        <v>0.01907032181168</v>
      </c>
      <c r="F1016">
        <v>-0.06608410704533001</v>
      </c>
      <c r="G1016">
        <v>-0.004076878276062</v>
      </c>
      <c r="H1016">
        <v>0.5039577836411611</v>
      </c>
      <c r="I1016">
        <v>1.614678899082569</v>
      </c>
    </row>
    <row r="1017" spans="1:9">
      <c r="A1017" s="1" t="s">
        <v>1029</v>
      </c>
      <c r="B1017">
        <f>HYPERLINK("https://www.suredividend.com/sure-analysis-research-database/","National Vision Holdings Inc")</f>
        <v>0</v>
      </c>
      <c r="C1017">
        <v>0.056186868686868</v>
      </c>
      <c r="D1017">
        <v>-0.21822429906542</v>
      </c>
      <c r="E1017">
        <v>-0.224385720908669</v>
      </c>
      <c r="F1017">
        <v>-0.568369453044375</v>
      </c>
      <c r="G1017">
        <v>-0.5307152875175311</v>
      </c>
      <c r="H1017">
        <v>-0.7298999031320631</v>
      </c>
      <c r="I1017">
        <v>-0.612910689495603</v>
      </c>
    </row>
    <row r="1018" spans="1:9">
      <c r="A1018" s="1" t="s">
        <v>1030</v>
      </c>
      <c r="B1018">
        <f>HYPERLINK("https://www.suredividend.com/sure-analysis-research-database/","Eyegate Pharmaceuticals Inc")</f>
        <v>0</v>
      </c>
      <c r="C1018">
        <v>0.04838709677419301</v>
      </c>
      <c r="D1018">
        <v>-0.129464285714285</v>
      </c>
      <c r="E1018">
        <v>-0.5038167938931291</v>
      </c>
      <c r="F1018">
        <v>-0.60446247464503</v>
      </c>
      <c r="G1018">
        <v>-0.409090909090909</v>
      </c>
      <c r="H1018">
        <v>-0.481382978723404</v>
      </c>
      <c r="I1018">
        <v>-0.9037037037037031</v>
      </c>
    </row>
    <row r="1019" spans="1:9">
      <c r="A1019" s="1" t="s">
        <v>1031</v>
      </c>
      <c r="B1019">
        <f>HYPERLINK("https://www.suredividend.com/sure-analysis-research-database/","Vivani Medical Inc")</f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</row>
    <row r="1020" spans="1:9">
      <c r="A1020" s="1" t="s">
        <v>1032</v>
      </c>
      <c r="B1020">
        <f>HYPERLINK("https://www.suredividend.com/sure-analysis-research-database/","EyePoint Pharmaceuticals Inc")</f>
        <v>0</v>
      </c>
      <c r="C1020">
        <v>-0.065384615384615</v>
      </c>
      <c r="D1020">
        <v>-0.430023455824863</v>
      </c>
      <c r="E1020">
        <v>0.12326656394453</v>
      </c>
      <c r="F1020">
        <v>1.082857142857142</v>
      </c>
      <c r="G1020">
        <v>0.421052631578947</v>
      </c>
      <c r="H1020">
        <v>-0.4048979591836731</v>
      </c>
      <c r="I1020">
        <v>-0.704858299595141</v>
      </c>
    </row>
    <row r="1021" spans="1:9">
      <c r="A1021" s="1" t="s">
        <v>1033</v>
      </c>
      <c r="B1021">
        <f>HYPERLINK("https://www.suredividend.com/sure-analysis-research-database/","EZCorp, Inc.")</f>
        <v>0</v>
      </c>
      <c r="C1021">
        <v>0.008423586040914</v>
      </c>
      <c r="D1021">
        <v>-0.052036199095022</v>
      </c>
      <c r="E1021">
        <v>-0.040091638029782</v>
      </c>
      <c r="F1021">
        <v>0.028220858895705</v>
      </c>
      <c r="G1021">
        <v>-0.103743315508021</v>
      </c>
      <c r="H1021">
        <v>0.121820615796519</v>
      </c>
      <c r="I1021">
        <v>-0.17029702970297</v>
      </c>
    </row>
    <row r="1022" spans="1:9">
      <c r="A1022" s="1" t="s">
        <v>1034</v>
      </c>
      <c r="B1022">
        <f>HYPERLINK("https://www.suredividend.com/sure-analysis-F/","Ford Motor Co.")</f>
        <v>0</v>
      </c>
      <c r="C1022">
        <v>-0.163435360118802</v>
      </c>
      <c r="D1022">
        <v>-0.210268072711412</v>
      </c>
      <c r="E1022">
        <v>-0.117777565100881</v>
      </c>
      <c r="F1022">
        <v>-0.08351409978308001</v>
      </c>
      <c r="G1022">
        <v>-0.175334867720134</v>
      </c>
      <c r="H1022">
        <v>-0.385804450797727</v>
      </c>
      <c r="I1022">
        <v>0.278962703227678</v>
      </c>
    </row>
    <row r="1023" spans="1:9">
      <c r="A1023" s="1" t="s">
        <v>1035</v>
      </c>
      <c r="B1023">
        <f>HYPERLINK("https://www.suredividend.com/sure-analysis-FAF/","First American Financial Corp")</f>
        <v>0</v>
      </c>
      <c r="C1023">
        <v>-0.009194556822361</v>
      </c>
      <c r="D1023">
        <v>-0.128303443589681</v>
      </c>
      <c r="E1023">
        <v>-0.040697363876237</v>
      </c>
      <c r="F1023">
        <v>0.058184432040913</v>
      </c>
      <c r="G1023">
        <v>0.12915259068009</v>
      </c>
      <c r="H1023">
        <v>-0.207018504373319</v>
      </c>
      <c r="I1023">
        <v>0.415495843885625</v>
      </c>
    </row>
    <row r="1024" spans="1:9">
      <c r="A1024" s="1" t="s">
        <v>1036</v>
      </c>
      <c r="B1024">
        <f>HYPERLINK("https://www.suredividend.com/sure-analysis-FANG/","Diamondback Energy Inc")</f>
        <v>0</v>
      </c>
      <c r="C1024">
        <v>0.08681757656458</v>
      </c>
      <c r="D1024">
        <v>0.118361016034134</v>
      </c>
      <c r="E1024">
        <v>0.223215924886569</v>
      </c>
      <c r="F1024">
        <v>0.214462248555575</v>
      </c>
      <c r="G1024">
        <v>0.082668548491931</v>
      </c>
      <c r="H1024">
        <v>0.511620046652424</v>
      </c>
      <c r="I1024">
        <v>0.6074776662622691</v>
      </c>
    </row>
    <row r="1025" spans="1:9">
      <c r="A1025" s="1" t="s">
        <v>1037</v>
      </c>
      <c r="B1025">
        <f>HYPERLINK("https://www.suredividend.com/sure-analysis-research-database/","Farmer Bros. Co.")</f>
        <v>0</v>
      </c>
      <c r="C1025">
        <v>0.03149606299212501</v>
      </c>
      <c r="D1025">
        <v>-0.111864406779661</v>
      </c>
      <c r="E1025">
        <v>-0.047272727272727</v>
      </c>
      <c r="F1025">
        <v>-0.431670281995661</v>
      </c>
      <c r="G1025">
        <v>-0.5801282051282051</v>
      </c>
      <c r="H1025">
        <v>-0.6487935656836461</v>
      </c>
      <c r="I1025">
        <v>-0.888935989826197</v>
      </c>
    </row>
    <row r="1026" spans="1:9">
      <c r="A1026" s="1" t="s">
        <v>1038</v>
      </c>
      <c r="B1026">
        <f>HYPERLINK("https://www.suredividend.com/sure-analysis-research-database/","Faro Technologies Inc.")</f>
        <v>0</v>
      </c>
      <c r="C1026">
        <v>-0.006798096532970001</v>
      </c>
      <c r="D1026">
        <v>-0.084586466165413</v>
      </c>
      <c r="E1026">
        <v>-0.370529943989659</v>
      </c>
      <c r="F1026">
        <v>-0.503230193811628</v>
      </c>
      <c r="G1026">
        <v>-0.4628676470588231</v>
      </c>
      <c r="H1026">
        <v>-0.8125481139337951</v>
      </c>
      <c r="I1026">
        <v>-0.667954545454545</v>
      </c>
    </row>
    <row r="1027" spans="1:9">
      <c r="A1027" s="1" t="s">
        <v>1039</v>
      </c>
      <c r="B1027">
        <f>HYPERLINK("https://www.suredividend.com/sure-analysis-FAST/","Fastenal Co.")</f>
        <v>0</v>
      </c>
      <c r="C1027">
        <v>0.104525862068965</v>
      </c>
      <c r="D1027">
        <v>0.04707645967111301</v>
      </c>
      <c r="E1027">
        <v>0.12832905136291</v>
      </c>
      <c r="F1027">
        <v>0.322230075985156</v>
      </c>
      <c r="G1027">
        <v>0.30322802571622</v>
      </c>
      <c r="H1027">
        <v>0.116089324435942</v>
      </c>
      <c r="I1027">
        <v>1.634091819177913</v>
      </c>
    </row>
    <row r="1028" spans="1:9">
      <c r="A1028" s="1" t="s">
        <v>1040</v>
      </c>
      <c r="B1028">
        <f>HYPERLINK("https://www.suredividend.com/sure-analysis-research-database/","Fate Therapeutics Inc")</f>
        <v>0</v>
      </c>
      <c r="C1028">
        <v>0.151041666666666</v>
      </c>
      <c r="D1028">
        <v>-0.412234042553191</v>
      </c>
      <c r="E1028">
        <v>-0.626689189189189</v>
      </c>
      <c r="F1028">
        <v>-0.7809712586719521</v>
      </c>
      <c r="G1028">
        <v>-0.8897205588822351</v>
      </c>
      <c r="H1028">
        <v>-0.961804355340477</v>
      </c>
      <c r="I1028">
        <v>-0.8501694915254231</v>
      </c>
    </row>
    <row r="1029" spans="1:9">
      <c r="A1029" s="1" t="s">
        <v>1041</v>
      </c>
      <c r="B1029">
        <f>HYPERLINK("https://www.suredividend.com/sure-analysis-research-database/","Meta Platforms Inc")</f>
        <v>0</v>
      </c>
      <c r="C1029">
        <v>-0.034990430387201</v>
      </c>
      <c r="D1029">
        <v>0.033370119291607</v>
      </c>
      <c r="E1029">
        <v>-0.4051306873184891</v>
      </c>
      <c r="F1029">
        <v>-0.415370893414598</v>
      </c>
      <c r="G1029">
        <v>-0.410692879405418</v>
      </c>
      <c r="H1029">
        <v>-0.150216076058772</v>
      </c>
      <c r="I1029">
        <v>0.271023204705578</v>
      </c>
    </row>
    <row r="1030" spans="1:9">
      <c r="A1030" s="1" t="s">
        <v>1042</v>
      </c>
      <c r="B1030">
        <f>HYPERLINK("https://www.suredividend.com/sure-analysis-research-database/","Flagstar Bancorp, Inc.")</f>
        <v>0</v>
      </c>
      <c r="C1030">
        <v>-0.028407561546265</v>
      </c>
      <c r="D1030">
        <v>-0.01774804216828</v>
      </c>
      <c r="E1030">
        <v>-0.013426752061055</v>
      </c>
      <c r="F1030">
        <v>-0.212102640736434</v>
      </c>
      <c r="G1030">
        <v>-0.170214364973055</v>
      </c>
      <c r="H1030">
        <v>0.05026088659476501</v>
      </c>
      <c r="I1030">
        <v>0.015640429739813</v>
      </c>
    </row>
    <row r="1031" spans="1:9">
      <c r="A1031" s="1" t="s">
        <v>1043</v>
      </c>
      <c r="B1031">
        <f>HYPERLINK("https://www.suredividend.com/sure-analysis-research-database/","Fortress Biotech Inc")</f>
        <v>0</v>
      </c>
      <c r="C1031">
        <v>-0.586926434578941</v>
      </c>
      <c r="D1031">
        <v>-0.7785388127853881</v>
      </c>
      <c r="E1031">
        <v>-0.8306046714691111</v>
      </c>
      <c r="F1031">
        <v>-0.8025445292620861</v>
      </c>
      <c r="G1031">
        <v>-0.984603174603174</v>
      </c>
      <c r="H1031">
        <v>-0.9963873370577281</v>
      </c>
      <c r="I1031">
        <v>-0.9884523809523811</v>
      </c>
    </row>
    <row r="1032" spans="1:9">
      <c r="A1032" s="1" t="s">
        <v>1044</v>
      </c>
      <c r="B1032">
        <f>HYPERLINK("https://www.suredividend.com/sure-analysis-research-database/","First Business Financial Services Inc")</f>
        <v>0</v>
      </c>
      <c r="C1032">
        <v>0.083277140930546</v>
      </c>
      <c r="D1032">
        <v>-0.038729075977202</v>
      </c>
      <c r="E1032">
        <v>0.272691983189216</v>
      </c>
      <c r="F1032">
        <v>-0.08714848255837</v>
      </c>
      <c r="G1032">
        <v>-0.124005201985915</v>
      </c>
      <c r="H1032">
        <v>0.132734003172924</v>
      </c>
      <c r="I1032">
        <v>0.813154256369741</v>
      </c>
    </row>
    <row r="1033" spans="1:9">
      <c r="A1033" s="1" t="s">
        <v>1045</v>
      </c>
      <c r="B1033">
        <f>HYPERLINK("https://www.suredividend.com/sure-analysis-research-database/","FB Financial Corp")</f>
        <v>0</v>
      </c>
      <c r="C1033">
        <v>0.102141102141102</v>
      </c>
      <c r="D1033">
        <v>-0.106299167776677</v>
      </c>
      <c r="E1033">
        <v>0.172626272056763</v>
      </c>
      <c r="F1033">
        <v>-0.118942731277533</v>
      </c>
      <c r="G1033">
        <v>-0.220977053556587</v>
      </c>
      <c r="H1033">
        <v>-0.292464521827694</v>
      </c>
      <c r="I1033">
        <v>-0.104543160164148</v>
      </c>
    </row>
    <row r="1034" spans="1:9">
      <c r="A1034" s="1" t="s">
        <v>1046</v>
      </c>
      <c r="B1034">
        <f>HYPERLINK("https://www.suredividend.com/sure-analysis-research-database/","Foundation Building Materials Inc")</f>
        <v>0</v>
      </c>
      <c r="C1034">
        <v>0.001040582726326</v>
      </c>
      <c r="D1034">
        <v>0.30264048747461</v>
      </c>
      <c r="E1034">
        <v>0.3742857142857141</v>
      </c>
      <c r="F1034">
        <v>0.001561686621551</v>
      </c>
      <c r="G1034">
        <v>0.043383947939262</v>
      </c>
      <c r="H1034">
        <v>1.035978835978836</v>
      </c>
      <c r="I1034">
        <v>0.241290322580645</v>
      </c>
    </row>
    <row r="1035" spans="1:9">
      <c r="A1035" s="1" t="s">
        <v>1047</v>
      </c>
      <c r="B1035">
        <f>HYPERLINK("https://www.suredividend.com/sure-analysis-research-database/","First Bancshares Inc Miss")</f>
        <v>0</v>
      </c>
      <c r="C1035">
        <v>-0.055409958816922</v>
      </c>
      <c r="D1035">
        <v>-0.172922471725946</v>
      </c>
      <c r="E1035">
        <v>0.09486675432543901</v>
      </c>
      <c r="F1035">
        <v>-0.180205354821939</v>
      </c>
      <c r="G1035">
        <v>-0.187086172732105</v>
      </c>
      <c r="H1035">
        <v>-0.342609239427812</v>
      </c>
      <c r="I1035">
        <v>-0.255418358674095</v>
      </c>
    </row>
    <row r="1036" spans="1:9">
      <c r="A1036" s="1" t="s">
        <v>1048</v>
      </c>
      <c r="B1036">
        <f>HYPERLINK("https://www.suredividend.com/sure-analysis-research-database/","First Bancorp")</f>
        <v>0</v>
      </c>
      <c r="C1036">
        <v>0.117905529110216</v>
      </c>
      <c r="D1036">
        <v>-0.048666637583432</v>
      </c>
      <c r="E1036">
        <v>0.08884831019872401</v>
      </c>
      <c r="F1036">
        <v>-0.260959131257821</v>
      </c>
      <c r="G1036">
        <v>-0.274746054219443</v>
      </c>
      <c r="H1036">
        <v>-0.331910936046829</v>
      </c>
      <c r="I1036">
        <v>-0.081080430293945</v>
      </c>
    </row>
    <row r="1037" spans="1:9">
      <c r="A1037" s="1" t="s">
        <v>1049</v>
      </c>
      <c r="B1037">
        <f>HYPERLINK("https://www.suredividend.com/sure-analysis-research-database/","First Bancorp PR")</f>
        <v>0</v>
      </c>
      <c r="C1037">
        <v>0.024908424908424</v>
      </c>
      <c r="D1037">
        <v>-0.07186880112516801</v>
      </c>
      <c r="E1037">
        <v>0.293513938329249</v>
      </c>
      <c r="F1037">
        <v>0.135763981912207</v>
      </c>
      <c r="G1037">
        <v>-0.03886449981794</v>
      </c>
      <c r="H1037">
        <v>0.09679037897674701</v>
      </c>
      <c r="I1037">
        <v>0.71494416318325</v>
      </c>
    </row>
    <row r="1038" spans="1:9">
      <c r="A1038" s="1" t="s">
        <v>1050</v>
      </c>
      <c r="B1038">
        <f>HYPERLINK("https://www.suredividend.com/sure-analysis-research-database/","Fauquier Bankshares, Inc.")</f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</row>
    <row r="1039" spans="1:9">
      <c r="A1039" s="1" t="s">
        <v>1051</v>
      </c>
      <c r="B1039">
        <f>HYPERLINK("https://www.suredividend.com/sure-analysis-research-database/","Franklin Covey Co.")</f>
        <v>0</v>
      </c>
      <c r="C1039">
        <v>-0.18532280538783</v>
      </c>
      <c r="D1039">
        <v>-0.255833686890114</v>
      </c>
      <c r="E1039">
        <v>-0.009319401299068001</v>
      </c>
      <c r="F1039">
        <v>-0.249946546931794</v>
      </c>
      <c r="G1039">
        <v>-0.296993987975951</v>
      </c>
      <c r="H1039">
        <v>-0.190025398291387</v>
      </c>
      <c r="I1039">
        <v>0.523230568823273</v>
      </c>
    </row>
    <row r="1040" spans="1:9">
      <c r="A1040" s="1" t="s">
        <v>1052</v>
      </c>
      <c r="B1040">
        <f>HYPERLINK("https://www.suredividend.com/sure-analysis-research-database/","First Capital Inc.")</f>
        <v>0</v>
      </c>
      <c r="C1040">
        <v>-0.08296130952380901</v>
      </c>
      <c r="D1040">
        <v>-0.331880546204593</v>
      </c>
      <c r="E1040">
        <v>0.07905323475208001</v>
      </c>
      <c r="F1040">
        <v>0.03766754226443</v>
      </c>
      <c r="G1040">
        <v>0.065964384248808</v>
      </c>
      <c r="H1040">
        <v>-0.334733137576647</v>
      </c>
      <c r="I1040">
        <v>-0.3558081797987711</v>
      </c>
    </row>
    <row r="1041" spans="1:9">
      <c r="A1041" s="1" t="s">
        <v>1053</v>
      </c>
      <c r="B1041">
        <f>HYPERLINK("https://www.suredividend.com/sure-analysis-research-database/","First Community Bankshares Inc.")</f>
        <v>0</v>
      </c>
      <c r="C1041">
        <v>0.123283082077051</v>
      </c>
      <c r="D1041">
        <v>-0.0006825043438860001</v>
      </c>
      <c r="E1041">
        <v>0.4917869409691941</v>
      </c>
      <c r="F1041">
        <v>0.02782137427044</v>
      </c>
      <c r="G1041">
        <v>-0.05007705906350501</v>
      </c>
      <c r="H1041">
        <v>0.102924245912963</v>
      </c>
      <c r="I1041">
        <v>0.16717024742756</v>
      </c>
    </row>
    <row r="1042" spans="1:9">
      <c r="A1042" s="1" t="s">
        <v>1054</v>
      </c>
      <c r="B1042">
        <f>HYPERLINK("https://www.suredividend.com/sure-analysis-research-database/","First Choice Bancorp")</f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</row>
    <row r="1043" spans="1:9">
      <c r="A1043" s="1" t="s">
        <v>1055</v>
      </c>
      <c r="B1043">
        <f>HYPERLINK("https://www.suredividend.com/sure-analysis-research-database/","First Community Corp.")</f>
        <v>0</v>
      </c>
      <c r="C1043">
        <v>0.027231783338801</v>
      </c>
      <c r="D1043">
        <v>-0.09819324430479101</v>
      </c>
      <c r="E1043">
        <v>-0.087793275521393</v>
      </c>
      <c r="F1043">
        <v>-0.171741075293642</v>
      </c>
      <c r="G1043">
        <v>-0.05348210850327</v>
      </c>
      <c r="H1043">
        <v>-0.09136479962008201</v>
      </c>
      <c r="I1043">
        <v>-0.08584169453734601</v>
      </c>
    </row>
    <row r="1044" spans="1:9">
      <c r="A1044" s="1" t="s">
        <v>1056</v>
      </c>
      <c r="B1044">
        <f>HYPERLINK("https://www.suredividend.com/sure-analysis-research-database/","1st Constitution Bancorp")</f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</row>
    <row r="1045" spans="1:9">
      <c r="A1045" s="1" t="s">
        <v>1057</v>
      </c>
      <c r="B1045">
        <f>HYPERLINK("https://www.suredividend.com/sure-analysis-research-database/","Fuelcell Energy Inc")</f>
        <v>0</v>
      </c>
      <c r="C1045">
        <v>-0.016666666666666</v>
      </c>
      <c r="D1045">
        <v>-0.412935323383084</v>
      </c>
      <c r="E1045">
        <v>-0.4407582938388621</v>
      </c>
      <c r="F1045">
        <v>-0.575539568345323</v>
      </c>
      <c r="G1045">
        <v>-0.6013513513513511</v>
      </c>
      <c r="H1045">
        <v>-0.8748674443266171</v>
      </c>
      <c r="I1045">
        <v>-0.8865951639564831</v>
      </c>
    </row>
    <row r="1046" spans="1:9">
      <c r="A1046" s="1" t="s">
        <v>1058</v>
      </c>
      <c r="B1046">
        <f>HYPERLINK("https://www.suredividend.com/sure-analysis-research-database/","First Commonwealth Financial Corp.")</f>
        <v>0</v>
      </c>
      <c r="C1046">
        <v>0.046928703988815</v>
      </c>
      <c r="D1046">
        <v>-0.09764512635120101</v>
      </c>
      <c r="E1046">
        <v>0.09617211122051501</v>
      </c>
      <c r="F1046">
        <v>-0.064948193075562</v>
      </c>
      <c r="G1046">
        <v>-0.07225086100724901</v>
      </c>
      <c r="H1046">
        <v>-0.119331307842011</v>
      </c>
      <c r="I1046">
        <v>0.120173813933608</v>
      </c>
    </row>
    <row r="1047" spans="1:9">
      <c r="A1047" s="1" t="s">
        <v>1059</v>
      </c>
      <c r="B1047">
        <f>HYPERLINK("https://www.suredividend.com/sure-analysis-research-database/","FirstCash Holdings Inc")</f>
        <v>0</v>
      </c>
      <c r="C1047">
        <v>0.09217096065508201</v>
      </c>
      <c r="D1047">
        <v>0.134624781234341</v>
      </c>
      <c r="E1047">
        <v>0.085343937028815</v>
      </c>
      <c r="F1047">
        <v>0.27649691059036</v>
      </c>
      <c r="G1047">
        <v>0.172541704189716</v>
      </c>
      <c r="H1047">
        <v>0.7257593688362921</v>
      </c>
      <c r="I1047">
        <v>0.7257593688362921</v>
      </c>
    </row>
    <row r="1048" spans="1:9">
      <c r="A1048" s="1" t="s">
        <v>1060</v>
      </c>
      <c r="B1048">
        <f>HYPERLINK("https://www.suredividend.com/sure-analysis-research-database/","FTI Consulting Inc.")</f>
        <v>0</v>
      </c>
      <c r="C1048">
        <v>0.201259984250196</v>
      </c>
      <c r="D1048">
        <v>0.157005092642756</v>
      </c>
      <c r="E1048">
        <v>0.190744354613883</v>
      </c>
      <c r="F1048">
        <v>0.344836272040302</v>
      </c>
      <c r="G1048">
        <v>0.35947545992743</v>
      </c>
      <c r="H1048">
        <v>0.455660827482789</v>
      </c>
      <c r="I1048">
        <v>2.173254086181278</v>
      </c>
    </row>
    <row r="1049" spans="1:9">
      <c r="A1049" s="1" t="s">
        <v>1061</v>
      </c>
      <c r="B1049">
        <f>HYPERLINK("https://www.suredividend.com/sure-analysis-research-database/","First Citizens Bancshares, Inc (NC)")</f>
        <v>0</v>
      </c>
      <c r="C1049">
        <v>0.040972373042559</v>
      </c>
      <c r="D1049">
        <v>-0.020981286655974</v>
      </c>
      <c r="E1049">
        <v>0.402087961148243</v>
      </c>
      <c r="F1049">
        <v>0.838911364472232</v>
      </c>
      <c r="G1049">
        <v>0.742662856545372</v>
      </c>
      <c r="H1049">
        <v>0.6758088671266821</v>
      </c>
      <c r="I1049">
        <v>2.297577940864226</v>
      </c>
    </row>
    <row r="1050" spans="1:9">
      <c r="A1050" s="1" t="s">
        <v>1062</v>
      </c>
      <c r="B1050">
        <f>HYPERLINK("https://www.suredividend.com/sure-analysis-FCPT/","Four Corners Property Trust Inc")</f>
        <v>0</v>
      </c>
      <c r="C1050">
        <v>0.012698412698412</v>
      </c>
      <c r="D1050">
        <v>-0.108547247395105</v>
      </c>
      <c r="E1050">
        <v>-0.081058613892352</v>
      </c>
      <c r="F1050">
        <v>-0.102199671114792</v>
      </c>
      <c r="G1050">
        <v>-0.07785192771482301</v>
      </c>
      <c r="H1050">
        <v>-0.141401518792656</v>
      </c>
      <c r="I1050">
        <v>0.09612307208984901</v>
      </c>
    </row>
    <row r="1051" spans="1:9">
      <c r="A1051" s="1" t="s">
        <v>1063</v>
      </c>
      <c r="B1051">
        <f>HYPERLINK("https://www.suredividend.com/sure-analysis-FCX/","Freeport-McMoRan Inc")</f>
        <v>0</v>
      </c>
      <c r="C1051">
        <v>-0.042553191489361</v>
      </c>
      <c r="D1051">
        <v>-0.175926993863586</v>
      </c>
      <c r="E1051">
        <v>-0.03973800563924201</v>
      </c>
      <c r="F1051">
        <v>-0.07189192485002001</v>
      </c>
      <c r="G1051">
        <v>0.137316051067147</v>
      </c>
      <c r="H1051">
        <v>-0.07716639209225701</v>
      </c>
      <c r="I1051">
        <v>1.989880011956104</v>
      </c>
    </row>
    <row r="1052" spans="1:9">
      <c r="A1052" s="1" t="s">
        <v>1064</v>
      </c>
      <c r="B1052">
        <f>HYPERLINK("https://www.suredividend.com/sure-analysis-research-database/","Fidelity D&amp;D Bancorp, Inc.")</f>
        <v>0</v>
      </c>
      <c r="C1052">
        <v>0.070918719778954</v>
      </c>
      <c r="D1052">
        <v>-0.049104715017644</v>
      </c>
      <c r="E1052">
        <v>0.109134441116431</v>
      </c>
      <c r="F1052">
        <v>0.009789596409830001</v>
      </c>
      <c r="G1052">
        <v>0.0273435515472</v>
      </c>
      <c r="H1052">
        <v>-0.055807060638665</v>
      </c>
      <c r="I1052">
        <v>-0.174901098121307</v>
      </c>
    </row>
    <row r="1053" spans="1:9">
      <c r="A1053" s="1" t="s">
        <v>1065</v>
      </c>
      <c r="B1053">
        <f>HYPERLINK("https://www.suredividend.com/sure-analysis-research-database/","Fresh Del Monte Produce Inc")</f>
        <v>0</v>
      </c>
      <c r="C1053">
        <v>-0.115818111154294</v>
      </c>
      <c r="D1053">
        <v>-0.172618961027625</v>
      </c>
      <c r="E1053">
        <v>-0.192041878866656</v>
      </c>
      <c r="F1053">
        <v>-0.114103472714386</v>
      </c>
      <c r="G1053">
        <v>-0.138593654748336</v>
      </c>
      <c r="H1053">
        <v>-0.294503640671322</v>
      </c>
      <c r="I1053">
        <v>-0.250848763653487</v>
      </c>
    </row>
    <row r="1054" spans="1:9">
      <c r="A1054" s="1" t="s">
        <v>1066</v>
      </c>
      <c r="B1054">
        <f>HYPERLINK("https://www.suredividend.com/sure-analysis-FDS/","Factset Research Systems Inc.")</f>
        <v>0</v>
      </c>
      <c r="C1054">
        <v>0.014194968697686</v>
      </c>
      <c r="D1054">
        <v>0.021120378654506</v>
      </c>
      <c r="E1054">
        <v>0.116332182655833</v>
      </c>
      <c r="F1054">
        <v>0.109967496067829</v>
      </c>
      <c r="G1054">
        <v>0.074526866573142</v>
      </c>
      <c r="H1054">
        <v>0.031938383296532</v>
      </c>
      <c r="I1054">
        <v>1.085281241380285</v>
      </c>
    </row>
    <row r="1055" spans="1:9">
      <c r="A1055" s="1" t="s">
        <v>1067</v>
      </c>
      <c r="B1055">
        <f>HYPERLINK("https://www.suredividend.com/sure-analysis-FDX/","Fedex Corp")</f>
        <v>0</v>
      </c>
      <c r="C1055">
        <v>-0.06736826223077201</v>
      </c>
      <c r="D1055">
        <v>-0.063958601415968</v>
      </c>
      <c r="E1055">
        <v>0.09400766977914901</v>
      </c>
      <c r="F1055">
        <v>0.450703084936978</v>
      </c>
      <c r="G1055">
        <v>0.6366065022095011</v>
      </c>
      <c r="H1055">
        <v>0.09125832567208901</v>
      </c>
      <c r="I1055">
        <v>0.210083161711157</v>
      </c>
    </row>
    <row r="1056" spans="1:9">
      <c r="A1056" s="1" t="s">
        <v>1068</v>
      </c>
      <c r="B1056">
        <f>HYPERLINK("https://www.suredividend.com/sure-analysis-FE/","Firstenergy Corp.")</f>
        <v>0</v>
      </c>
      <c r="C1056">
        <v>0.121779141104294</v>
      </c>
      <c r="D1056">
        <v>-0.043040916084867</v>
      </c>
      <c r="E1056">
        <v>-0.036599726549225</v>
      </c>
      <c r="F1056">
        <v>-0.101005929378447</v>
      </c>
      <c r="G1056">
        <v>0.002964738535293</v>
      </c>
      <c r="H1056">
        <v>0.006927617956738001</v>
      </c>
      <c r="I1056">
        <v>0.204553389679774</v>
      </c>
    </row>
    <row r="1057" spans="1:9">
      <c r="A1057" s="1" t="s">
        <v>1069</v>
      </c>
      <c r="B1057">
        <f>HYPERLINK("https://www.suredividend.com/sure-analysis-research-database/","Frequency Electronics, Inc.")</f>
        <v>0</v>
      </c>
      <c r="C1057">
        <v>0.088565217391304</v>
      </c>
      <c r="D1057">
        <v>0.085419075144508</v>
      </c>
      <c r="E1057">
        <v>0.139772382397572</v>
      </c>
      <c r="F1057">
        <v>0.241216908483987</v>
      </c>
      <c r="G1057">
        <v>0.6667628262027331</v>
      </c>
      <c r="H1057">
        <v>-0.135323371629866</v>
      </c>
      <c r="I1057">
        <v>-0.208808224661343</v>
      </c>
    </row>
    <row r="1058" spans="1:9">
      <c r="A1058" s="1" t="s">
        <v>1070</v>
      </c>
      <c r="B1058">
        <f>HYPERLINK("https://www.suredividend.com/sure-analysis-FELE/","Franklin Electric Co., Inc.")</f>
        <v>0</v>
      </c>
      <c r="C1058">
        <v>-0.036903830769607</v>
      </c>
      <c r="D1058">
        <v>-0.107991443157157</v>
      </c>
      <c r="E1058">
        <v>-0.093559279377529</v>
      </c>
      <c r="F1058">
        <v>0.102410406835862</v>
      </c>
      <c r="G1058">
        <v>0.113439722387171</v>
      </c>
      <c r="H1058">
        <v>-0.005431924898834001</v>
      </c>
      <c r="I1058">
        <v>1.084277736518744</v>
      </c>
    </row>
    <row r="1059" spans="1:9">
      <c r="A1059" s="1" t="s">
        <v>1071</v>
      </c>
      <c r="B1059">
        <f>HYPERLINK("https://www.suredividend.com/sure-analysis-research-database/","Forum Energy Technologies Inc")</f>
        <v>0</v>
      </c>
      <c r="C1059">
        <v>-0.07796610169491501</v>
      </c>
      <c r="D1059">
        <v>-0.20029400955531</v>
      </c>
      <c r="E1059">
        <v>0.04867469879518</v>
      </c>
      <c r="F1059">
        <v>-0.262372881355932</v>
      </c>
      <c r="G1059">
        <v>-0.153307392996108</v>
      </c>
      <c r="H1059">
        <v>-0.04853519895059</v>
      </c>
      <c r="I1059">
        <v>-0.8760820045558081</v>
      </c>
    </row>
    <row r="1060" spans="1:9">
      <c r="A1060" s="1" t="s">
        <v>1072</v>
      </c>
      <c r="B1060">
        <f>HYPERLINK("https://www.suredividend.com/sure-analysis-research-database/","Futurefuel Corp")</f>
        <v>0</v>
      </c>
      <c r="C1060">
        <v>-0.04166666666666601</v>
      </c>
      <c r="D1060">
        <v>-0.309495217193258</v>
      </c>
      <c r="E1060">
        <v>-0.10203422232394</v>
      </c>
      <c r="F1060">
        <v>-0.161375495065065</v>
      </c>
      <c r="G1060">
        <v>0.06790054275604701</v>
      </c>
      <c r="H1060">
        <v>-0.053027614112302</v>
      </c>
      <c r="I1060">
        <v>-0.311263475279831</v>
      </c>
    </row>
    <row r="1061" spans="1:9">
      <c r="A1061" s="1" t="s">
        <v>1073</v>
      </c>
      <c r="B1061">
        <f>HYPERLINK("https://www.suredividend.com/sure-analysis-research-database/","First Financial Bancorp")</f>
        <v>0</v>
      </c>
      <c r="C1061">
        <v>0.009244992295839001</v>
      </c>
      <c r="D1061">
        <v>-0.121960374272768</v>
      </c>
      <c r="E1061">
        <v>0.05471077307884201</v>
      </c>
      <c r="F1061">
        <v>-0.143264489294076</v>
      </c>
      <c r="G1061">
        <v>-0.173171193536849</v>
      </c>
      <c r="H1061">
        <v>-0.09700425993410201</v>
      </c>
      <c r="I1061">
        <v>-0.066317585064882</v>
      </c>
    </row>
    <row r="1062" spans="1:9">
      <c r="A1062" s="1" t="s">
        <v>1074</v>
      </c>
      <c r="B1062">
        <f>HYPERLINK("https://www.suredividend.com/sure-analysis-research-database/","FBL Financial Group, Inc.")</f>
        <v>0</v>
      </c>
      <c r="C1062">
        <v>0.08080808080808001</v>
      </c>
      <c r="D1062">
        <v>0.07497316532801701</v>
      </c>
      <c r="E1062">
        <v>0.173385560758631</v>
      </c>
      <c r="F1062">
        <v>0.172010115529182</v>
      </c>
      <c r="G1062">
        <v>0.772408662396689</v>
      </c>
      <c r="H1062">
        <v>0.041718262948887</v>
      </c>
      <c r="I1062">
        <v>0.230237333537734</v>
      </c>
    </row>
    <row r="1063" spans="1:9">
      <c r="A1063" s="1" t="s">
        <v>1075</v>
      </c>
      <c r="B1063">
        <f>HYPERLINK("https://www.suredividend.com/sure-analysis-research-database/","Flushing Financial Corp.")</f>
        <v>0</v>
      </c>
      <c r="C1063">
        <v>0.015661707126076</v>
      </c>
      <c r="D1063">
        <v>-0.142870359968014</v>
      </c>
      <c r="E1063">
        <v>0.3380376136094</v>
      </c>
      <c r="F1063">
        <v>-0.273621308601734</v>
      </c>
      <c r="G1063">
        <v>-0.280735125302928</v>
      </c>
      <c r="H1063">
        <v>-0.3815357178620301</v>
      </c>
      <c r="I1063">
        <v>-0.260509376193761</v>
      </c>
    </row>
    <row r="1064" spans="1:9">
      <c r="A1064" s="1" t="s">
        <v>1076</v>
      </c>
      <c r="B1064">
        <f>HYPERLINK("https://www.suredividend.com/sure-analysis-FFIN/","First Financial Bankshares, Inc.")</f>
        <v>0</v>
      </c>
      <c r="C1064">
        <v>0.033074724377296</v>
      </c>
      <c r="D1064">
        <v>-0.21754916605586</v>
      </c>
      <c r="E1064">
        <v>-0.087001865691839</v>
      </c>
      <c r="F1064">
        <v>-0.243061144503517</v>
      </c>
      <c r="G1064">
        <v>-0.294057245539725</v>
      </c>
      <c r="H1064">
        <v>-0.491382655143367</v>
      </c>
      <c r="I1064">
        <v>-0.09846668068259901</v>
      </c>
    </row>
    <row r="1065" spans="1:9">
      <c r="A1065" s="1" t="s">
        <v>1077</v>
      </c>
      <c r="B1065">
        <f>HYPERLINK("https://www.suredividend.com/sure-analysis-research-database/","F5 Inc")</f>
        <v>0</v>
      </c>
      <c r="C1065">
        <v>-0.05612496912817901</v>
      </c>
      <c r="D1065">
        <v>-0.038008935875652</v>
      </c>
      <c r="E1065">
        <v>0.159951437893618</v>
      </c>
      <c r="F1065">
        <v>0.06522193575360601</v>
      </c>
      <c r="G1065">
        <v>0.09647109453450001</v>
      </c>
      <c r="H1065">
        <v>-0.313314167639924</v>
      </c>
      <c r="I1065">
        <v>-0.152088302179821</v>
      </c>
    </row>
    <row r="1066" spans="1:9">
      <c r="A1066" s="1" t="s">
        <v>1078</v>
      </c>
      <c r="B1066">
        <f>HYPERLINK("https://www.suredividend.com/sure-analysis-research-database/","First Financial Northwest Inc")</f>
        <v>0</v>
      </c>
      <c r="C1066">
        <v>-0.130166007905138</v>
      </c>
      <c r="D1066">
        <v>-0.023317740833118</v>
      </c>
      <c r="E1066">
        <v>0.06416889911894601</v>
      </c>
      <c r="F1066">
        <v>-0.223685788667903</v>
      </c>
      <c r="G1066">
        <v>-0.234865447465405</v>
      </c>
      <c r="H1066">
        <v>-0.27884388517499</v>
      </c>
      <c r="I1066">
        <v>-0.138204887218045</v>
      </c>
    </row>
    <row r="1067" spans="1:9">
      <c r="A1067" s="1" t="s">
        <v>1079</v>
      </c>
      <c r="B1067">
        <f>HYPERLINK("https://www.suredividend.com/sure-analysis-research-database/","First Foundation Inc")</f>
        <v>0</v>
      </c>
      <c r="C1067">
        <v>-0.090121317157712</v>
      </c>
      <c r="D1067">
        <v>-0.251112632660047</v>
      </c>
      <c r="E1067">
        <v>0.102038245974936</v>
      </c>
      <c r="F1067">
        <v>-0.6283738346865241</v>
      </c>
      <c r="G1067">
        <v>-0.649036018931999</v>
      </c>
      <c r="H1067">
        <v>-0.797545870321381</v>
      </c>
      <c r="I1067">
        <v>-0.652793852136475</v>
      </c>
    </row>
    <row r="1068" spans="1:9">
      <c r="A1068" s="1" t="s">
        <v>1080</v>
      </c>
      <c r="B1068">
        <f>HYPERLINK("https://www.suredividend.com/sure-analysis-research-database/","F&amp;G Annuities &amp; Life Inc")</f>
        <v>0</v>
      </c>
      <c r="C1068">
        <v>0.181650018497965</v>
      </c>
      <c r="D1068">
        <v>0.223412608733955</v>
      </c>
      <c r="E1068">
        <v>0.788884719429618</v>
      </c>
      <c r="F1068">
        <v>0.63904982321457</v>
      </c>
      <c r="G1068">
        <v>0.9068656716417911</v>
      </c>
      <c r="H1068">
        <v>0.9068656716417911</v>
      </c>
      <c r="I1068">
        <v>0.9068656716417911</v>
      </c>
    </row>
    <row r="1069" spans="1:9">
      <c r="A1069" s="1" t="s">
        <v>1081</v>
      </c>
      <c r="B1069">
        <f>HYPERLINK("https://www.suredividend.com/sure-analysis-research-database/","First Guaranty Bancshares Inc")</f>
        <v>0</v>
      </c>
      <c r="C1069">
        <v>-0.03642987249544601</v>
      </c>
      <c r="D1069">
        <v>-0.126125382010407</v>
      </c>
      <c r="E1069">
        <v>-0.106313246498741</v>
      </c>
      <c r="F1069">
        <v>-0.5197065579575271</v>
      </c>
      <c r="G1069">
        <v>-0.507694025787899</v>
      </c>
      <c r="H1069">
        <v>-0.40332850206128</v>
      </c>
      <c r="I1069">
        <v>-0.295577719482802</v>
      </c>
    </row>
    <row r="1070" spans="1:9">
      <c r="A1070" s="1" t="s">
        <v>1082</v>
      </c>
      <c r="B1070">
        <f>HYPERLINK("https://www.suredividend.com/sure-analysis-research-database/","FibroGen Inc")</f>
        <v>0</v>
      </c>
      <c r="C1070">
        <v>-0.3</v>
      </c>
      <c r="D1070">
        <v>-0.7015789473684211</v>
      </c>
      <c r="E1070">
        <v>-0.9648044692737431</v>
      </c>
      <c r="F1070">
        <v>-0.9646067415730331</v>
      </c>
      <c r="G1070">
        <v>-0.9656363636363631</v>
      </c>
      <c r="H1070">
        <v>-0.9528678304239401</v>
      </c>
      <c r="I1070">
        <v>-0.987352219495873</v>
      </c>
    </row>
    <row r="1071" spans="1:9">
      <c r="A1071" s="1" t="s">
        <v>1083</v>
      </c>
      <c r="B1071">
        <f>HYPERLINK("https://www.suredividend.com/sure-analysis-research-database/","First Hawaiian INC")</f>
        <v>0</v>
      </c>
      <c r="C1071">
        <v>0.07090187180941501</v>
      </c>
      <c r="D1071">
        <v>-0.06609550756324101</v>
      </c>
      <c r="E1071">
        <v>0.151647869024454</v>
      </c>
      <c r="F1071">
        <v>-0.246770448506706</v>
      </c>
      <c r="G1071">
        <v>-0.217474199030132</v>
      </c>
      <c r="H1071">
        <v>-0.270459401915816</v>
      </c>
      <c r="I1071">
        <v>-0.063575672806991</v>
      </c>
    </row>
    <row r="1072" spans="1:9">
      <c r="A1072" s="1" t="s">
        <v>1084</v>
      </c>
      <c r="B1072">
        <f>HYPERLINK("https://www.suredividend.com/sure-analysis-research-database/","First Horizon Corporation")</f>
        <v>0</v>
      </c>
      <c r="C1072">
        <v>0.07424812030075101</v>
      </c>
      <c r="D1072">
        <v>-0.121964709587715</v>
      </c>
      <c r="E1072">
        <v>-0.275164720878173</v>
      </c>
      <c r="F1072">
        <v>-0.5163910843332711</v>
      </c>
      <c r="G1072">
        <v>-0.5104044410557781</v>
      </c>
      <c r="H1072">
        <v>-0.280113367973547</v>
      </c>
      <c r="I1072">
        <v>-0.153038465243455</v>
      </c>
    </row>
    <row r="1073" spans="1:9">
      <c r="A1073" s="1" t="s">
        <v>1085</v>
      </c>
      <c r="B1073">
        <f>HYPERLINK("https://www.suredividend.com/sure-analysis-research-database/","Fiserv, Inc.")</f>
        <v>0</v>
      </c>
      <c r="C1073">
        <v>0.043952148870181</v>
      </c>
      <c r="D1073">
        <v>-0.05419075144508601</v>
      </c>
      <c r="E1073">
        <v>-0.012158309575716</v>
      </c>
      <c r="F1073">
        <v>0.165627782724844</v>
      </c>
      <c r="G1073">
        <v>0.17153937947494</v>
      </c>
      <c r="H1073">
        <v>0.185449788689877</v>
      </c>
      <c r="I1073">
        <v>0.571009467929057</v>
      </c>
    </row>
    <row r="1074" spans="1:9">
      <c r="A1074" s="1" t="s">
        <v>1086</v>
      </c>
      <c r="B1074">
        <f>HYPERLINK("https://www.suredividend.com/sure-analysis-research-database/","First Interstate BancSystem Inc.")</f>
        <v>0</v>
      </c>
      <c r="C1074">
        <v>0.006114961271911</v>
      </c>
      <c r="D1074">
        <v>-0.110768421469826</v>
      </c>
      <c r="E1074">
        <v>0.075939157994777</v>
      </c>
      <c r="F1074">
        <v>-0.303978995281834</v>
      </c>
      <c r="G1074">
        <v>-0.39988717489836</v>
      </c>
      <c r="H1074">
        <v>-0.3186875072465361</v>
      </c>
      <c r="I1074">
        <v>-0.22829421126853</v>
      </c>
    </row>
    <row r="1075" spans="1:9">
      <c r="A1075" s="1" t="s">
        <v>1087</v>
      </c>
      <c r="B1075">
        <f>HYPERLINK("https://www.suredividend.com/sure-analysis-research-database/","Fair, Isaac Corp.")</f>
        <v>0</v>
      </c>
      <c r="C1075">
        <v>0.042960201021317</v>
      </c>
      <c r="D1075">
        <v>0.09547671462800501</v>
      </c>
      <c r="E1075">
        <v>0.217625826337348</v>
      </c>
      <c r="F1075">
        <v>0.5047111497210061</v>
      </c>
      <c r="G1075">
        <v>1.012715083798883</v>
      </c>
      <c r="H1075">
        <v>1.306268243969888</v>
      </c>
      <c r="I1075">
        <v>3.738727837112643</v>
      </c>
    </row>
    <row r="1076" spans="1:9">
      <c r="A1076" s="1" t="s">
        <v>1088</v>
      </c>
      <c r="B1076">
        <f>HYPERLINK("https://www.suredividend.com/sure-analysis-FIS/","Fidelity National Information Services, Inc.")</f>
        <v>0</v>
      </c>
      <c r="C1076">
        <v>-0.053097345132743</v>
      </c>
      <c r="D1076">
        <v>-0.128762048223427</v>
      </c>
      <c r="E1076">
        <v>-0.014836909089165</v>
      </c>
      <c r="F1076">
        <v>-0.222138754937359</v>
      </c>
      <c r="G1076">
        <v>-0.331337065486264</v>
      </c>
      <c r="H1076">
        <v>-0.5040125155720371</v>
      </c>
      <c r="I1076">
        <v>-0.460262113363872</v>
      </c>
    </row>
    <row r="1077" spans="1:9">
      <c r="A1077" s="1" t="s">
        <v>1089</v>
      </c>
      <c r="B1077">
        <f>HYPERLINK("https://www.suredividend.com/sure-analysis-FISI/","Financial Institutions Inc.")</f>
        <v>0</v>
      </c>
      <c r="C1077">
        <v>0.003019323671497</v>
      </c>
      <c r="D1077">
        <v>-0.115213952026591</v>
      </c>
      <c r="E1077">
        <v>0.101042709320747</v>
      </c>
      <c r="F1077">
        <v>-0.258657549776169</v>
      </c>
      <c r="G1077">
        <v>-0.217225746251072</v>
      </c>
      <c r="H1077">
        <v>-0.40997186620819</v>
      </c>
      <c r="I1077">
        <v>-0.255954380730965</v>
      </c>
    </row>
    <row r="1078" spans="1:9">
      <c r="A1078" s="1" t="s">
        <v>1090</v>
      </c>
      <c r="B1078">
        <f>HYPERLINK("https://www.suredividend.com/sure-analysis-research-database/","Fiserv, Inc.")</f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</row>
    <row r="1079" spans="1:9">
      <c r="A1079" s="1" t="s">
        <v>1091</v>
      </c>
      <c r="B1079">
        <f>HYPERLINK("https://www.suredividend.com/sure-analysis-research-database/","Fitbit Inc")</f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</row>
    <row r="1080" spans="1:9">
      <c r="A1080" s="1" t="s">
        <v>1092</v>
      </c>
      <c r="B1080">
        <f>HYPERLINK("https://www.suredividend.com/sure-analysis-FITB/","Fifth Third Bancorp")</f>
        <v>0</v>
      </c>
      <c r="C1080">
        <v>0.022448979591836</v>
      </c>
      <c r="D1080">
        <v>-0.09163433295862501</v>
      </c>
      <c r="E1080">
        <v>0.07825413223140401</v>
      </c>
      <c r="F1080">
        <v>-0.184559694787692</v>
      </c>
      <c r="G1080">
        <v>-0.221341158258912</v>
      </c>
      <c r="H1080">
        <v>-0.365630064829821</v>
      </c>
      <c r="I1080">
        <v>0.147897811891396</v>
      </c>
    </row>
    <row r="1081" spans="1:9">
      <c r="A1081" s="1" t="s">
        <v>1093</v>
      </c>
      <c r="B1081">
        <f>HYPERLINK("https://www.suredividend.com/sure-analysis-research-database/","Five Below Inc")</f>
        <v>0</v>
      </c>
      <c r="C1081">
        <v>0.119274203781245</v>
      </c>
      <c r="D1081">
        <v>-0.119177193070048</v>
      </c>
      <c r="E1081">
        <v>-0.115467535723238</v>
      </c>
      <c r="F1081">
        <v>-0.002544241533329</v>
      </c>
      <c r="G1081">
        <v>0.233878864176807</v>
      </c>
      <c r="H1081">
        <v>-0.123988281443964</v>
      </c>
      <c r="I1081">
        <v>0.458378110275274</v>
      </c>
    </row>
    <row r="1082" spans="1:9">
      <c r="A1082" s="1" t="s">
        <v>1094</v>
      </c>
      <c r="B1082">
        <f>HYPERLINK("https://www.suredividend.com/sure-analysis-research-database/","Five9 Inc")</f>
        <v>0</v>
      </c>
      <c r="C1082">
        <v>-0.115998747651847</v>
      </c>
      <c r="D1082">
        <v>-0.313267663869634</v>
      </c>
      <c r="E1082">
        <v>-0.06907352456313801</v>
      </c>
      <c r="F1082">
        <v>-0.167845564397288</v>
      </c>
      <c r="G1082">
        <v>0.032169621641381</v>
      </c>
      <c r="H1082">
        <v>-0.640753228576881</v>
      </c>
      <c r="I1082">
        <v>0.435069885641677</v>
      </c>
    </row>
    <row r="1083" spans="1:9">
      <c r="A1083" s="1" t="s">
        <v>1095</v>
      </c>
      <c r="B1083">
        <f>HYPERLINK("https://www.suredividend.com/sure-analysis-research-database/","Comfort Systems USA, Inc.")</f>
        <v>0</v>
      </c>
      <c r="C1083">
        <v>0.129265210326773</v>
      </c>
      <c r="D1083">
        <v>0.07511049030538501</v>
      </c>
      <c r="E1083">
        <v>0.251736855762425</v>
      </c>
      <c r="F1083">
        <v>0.6367532885526701</v>
      </c>
      <c r="G1083">
        <v>0.615892146411109</v>
      </c>
      <c r="H1083">
        <v>1.015100636907107</v>
      </c>
      <c r="I1083">
        <v>2.58007520733529</v>
      </c>
    </row>
    <row r="1084" spans="1:9">
      <c r="A1084" s="1" t="s">
        <v>1096</v>
      </c>
      <c r="B1084">
        <f>HYPERLINK("https://www.suredividend.com/sure-analysis-research-database/","Homology Medicines Inc")</f>
        <v>0</v>
      </c>
      <c r="C1084">
        <v>-0.122807017543859</v>
      </c>
      <c r="D1084">
        <v>-0.236641221374045</v>
      </c>
      <c r="E1084">
        <v>0.08695652173913</v>
      </c>
      <c r="F1084">
        <v>-0.206349206349206</v>
      </c>
      <c r="G1084">
        <v>-0.3197278911564621</v>
      </c>
      <c r="H1084">
        <v>-0.8349834983498351</v>
      </c>
      <c r="I1084">
        <v>-0.950248756218905</v>
      </c>
    </row>
    <row r="1085" spans="1:9">
      <c r="A1085" s="1" t="s">
        <v>1097</v>
      </c>
      <c r="B1085">
        <f>HYPERLINK("https://www.suredividend.com/sure-analysis-research-database/","National Beverage Corp.")</f>
        <v>0</v>
      </c>
      <c r="C1085">
        <v>0.011186154495567</v>
      </c>
      <c r="D1085">
        <v>-0.09858889934148601</v>
      </c>
      <c r="E1085">
        <v>-0.07776708373436</v>
      </c>
      <c r="F1085">
        <v>0.029658284977433</v>
      </c>
      <c r="G1085">
        <v>0.020882164926486</v>
      </c>
      <c r="H1085">
        <v>-0.143275580582343</v>
      </c>
      <c r="I1085">
        <v>0.177549144427348</v>
      </c>
    </row>
    <row r="1086" spans="1:9">
      <c r="A1086" s="1" t="s">
        <v>1098</v>
      </c>
      <c r="B1086">
        <f>HYPERLINK("https://www.suredividend.com/sure-analysis-research-database/","Foot Locker Inc")</f>
        <v>0</v>
      </c>
      <c r="C1086">
        <v>0.230336047009854</v>
      </c>
      <c r="D1086">
        <v>-0.122284679878048</v>
      </c>
      <c r="E1086">
        <v>-0.439980952766914</v>
      </c>
      <c r="F1086">
        <v>-0.38191190777041</v>
      </c>
      <c r="G1086">
        <v>-0.258018833099541</v>
      </c>
      <c r="H1086">
        <v>-0.49985862127467</v>
      </c>
      <c r="I1086">
        <v>-0.456400144566582</v>
      </c>
    </row>
    <row r="1087" spans="1:9">
      <c r="A1087" s="1" t="s">
        <v>1099</v>
      </c>
      <c r="B1087">
        <f>HYPERLINK("https://www.suredividend.com/sure-analysis-FLIC/","First Of Long Island Corp.")</f>
        <v>0</v>
      </c>
      <c r="C1087">
        <v>-0.002734437831751</v>
      </c>
      <c r="D1087">
        <v>-0.167114454594304</v>
      </c>
      <c r="E1087">
        <v>0.192027514900344</v>
      </c>
      <c r="F1087">
        <v>-0.336776233293119</v>
      </c>
      <c r="G1087">
        <v>-0.296746507363366</v>
      </c>
      <c r="H1087">
        <v>-0.395085885879374</v>
      </c>
      <c r="I1087">
        <v>-0.326745574980996</v>
      </c>
    </row>
    <row r="1088" spans="1:9">
      <c r="A1088" s="1" t="s">
        <v>1100</v>
      </c>
      <c r="B1088">
        <f>HYPERLINK("https://www.suredividend.com/sure-analysis-research-database/","Flir Systems, Inc.")</f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</row>
    <row r="1089" spans="1:9">
      <c r="A1089" s="1" t="s">
        <v>1101</v>
      </c>
      <c r="B1089">
        <f>HYPERLINK("https://www.suredividend.com/sure-analysis-research-database/","Full House Resorts, Inc.")</f>
        <v>0</v>
      </c>
      <c r="C1089">
        <v>-0.121779859484777</v>
      </c>
      <c r="D1089">
        <v>-0.398073836276083</v>
      </c>
      <c r="E1089">
        <v>-0.462750716332378</v>
      </c>
      <c r="F1089">
        <v>-0.5013297872340421</v>
      </c>
      <c r="G1089">
        <v>-0.474053295932678</v>
      </c>
      <c r="H1089">
        <v>-0.62797619047619</v>
      </c>
      <c r="I1089">
        <v>0.363636363636363</v>
      </c>
    </row>
    <row r="1090" spans="1:9">
      <c r="A1090" s="1" t="s">
        <v>1102</v>
      </c>
      <c r="B1090">
        <f>HYPERLINK("https://www.suredividend.com/sure-analysis-research-database/","Fluent Inc")</f>
        <v>0</v>
      </c>
      <c r="C1090">
        <v>0.180040918390543</v>
      </c>
      <c r="D1090">
        <v>-0.156346497643425</v>
      </c>
      <c r="E1090">
        <v>-0.303221476510067</v>
      </c>
      <c r="F1090">
        <v>-0.5237614678899081</v>
      </c>
      <c r="G1090">
        <v>-0.577967479674796</v>
      </c>
      <c r="H1090">
        <v>-0.7940079365079361</v>
      </c>
      <c r="I1090">
        <v>-0.802623574144486</v>
      </c>
    </row>
    <row r="1091" spans="1:9">
      <c r="A1091" s="1" t="s">
        <v>1103</v>
      </c>
      <c r="B1091">
        <f>HYPERLINK("https://www.suredividend.com/sure-analysis-FLO/","Flowers Foods, Inc.")</f>
        <v>0</v>
      </c>
      <c r="C1091">
        <v>0.018738574040219</v>
      </c>
      <c r="D1091">
        <v>-0.103573640480346</v>
      </c>
      <c r="E1091">
        <v>-0.175061620565354</v>
      </c>
      <c r="F1091">
        <v>-0.203160190183391</v>
      </c>
      <c r="G1091">
        <v>-0.18566418237615</v>
      </c>
      <c r="H1091">
        <v>-0.05286371690440601</v>
      </c>
      <c r="I1091">
        <v>0.4084863037502761</v>
      </c>
    </row>
    <row r="1092" spans="1:9">
      <c r="A1092" s="1" t="s">
        <v>1104</v>
      </c>
      <c r="B1092">
        <f>HYPERLINK("https://www.suredividend.com/sure-analysis-research-database/","Global X Funds")</f>
        <v>0</v>
      </c>
      <c r="C1092">
        <v>0.0005903979819120001</v>
      </c>
      <c r="D1092">
        <v>-0.025243320361227</v>
      </c>
      <c r="E1092">
        <v>0.0007400249998080001</v>
      </c>
      <c r="F1092">
        <v>0.0007400249998080001</v>
      </c>
      <c r="G1092">
        <v>0.0007400249998080001</v>
      </c>
      <c r="H1092">
        <v>0.0007400249998080001</v>
      </c>
      <c r="I1092">
        <v>0.0007400249998080001</v>
      </c>
    </row>
    <row r="1093" spans="1:9">
      <c r="A1093" s="1" t="s">
        <v>1105</v>
      </c>
      <c r="B1093">
        <f>HYPERLINK("https://www.suredividend.com/sure-analysis-research-database/","Fluor Corporation")</f>
        <v>0</v>
      </c>
      <c r="C1093">
        <v>-0.026700393479482</v>
      </c>
      <c r="D1093">
        <v>0.114221364221364</v>
      </c>
      <c r="E1093">
        <v>0.228014184397163</v>
      </c>
      <c r="F1093">
        <v>-0.0008655510675120001</v>
      </c>
      <c r="G1093">
        <v>0.163251595566006</v>
      </c>
      <c r="H1093">
        <v>0.7686414708886621</v>
      </c>
      <c r="I1093">
        <v>-0.211210244472435</v>
      </c>
    </row>
    <row r="1094" spans="1:9">
      <c r="A1094" s="1" t="s">
        <v>1106</v>
      </c>
      <c r="B1094">
        <f>HYPERLINK("https://www.suredividend.com/sure-analysis-research-database/","Flowserve Corp.")</f>
        <v>0</v>
      </c>
      <c r="C1094">
        <v>-0.044461578000513</v>
      </c>
      <c r="D1094">
        <v>-0.042980916246673</v>
      </c>
      <c r="E1094">
        <v>0.069647948307062</v>
      </c>
      <c r="F1094">
        <v>0.232619664891888</v>
      </c>
      <c r="G1094">
        <v>0.3665399854451361</v>
      </c>
      <c r="H1094">
        <v>0.15125824041418</v>
      </c>
      <c r="I1094">
        <v>-0.115846045919883</v>
      </c>
    </row>
    <row r="1095" spans="1:9">
      <c r="A1095" s="1" t="s">
        <v>1107</v>
      </c>
      <c r="B1095">
        <f>HYPERLINK("https://www.suredividend.com/sure-analysis-research-database/","Fleetcor Technologies Inc")</f>
        <v>0</v>
      </c>
      <c r="C1095">
        <v>-0.07511333437548801</v>
      </c>
      <c r="D1095">
        <v>-0.033488524054561</v>
      </c>
      <c r="E1095">
        <v>0.142788159737312</v>
      </c>
      <c r="F1095">
        <v>0.288436411149825</v>
      </c>
      <c r="G1095">
        <v>0.327462418667265</v>
      </c>
      <c r="H1095">
        <v>-0.023075335397316</v>
      </c>
      <c r="I1095">
        <v>0.199250025336981</v>
      </c>
    </row>
    <row r="1096" spans="1:9">
      <c r="A1096" s="1" t="s">
        <v>1108</v>
      </c>
      <c r="B1096">
        <f>HYPERLINK("https://www.suredividend.com/sure-analysis-research-database/","1-800 Flowers.com Inc.")</f>
        <v>0</v>
      </c>
      <c r="C1096">
        <v>0.216901408450704</v>
      </c>
      <c r="D1096">
        <v>0.032258064516129</v>
      </c>
      <c r="E1096">
        <v>0.061425061425061</v>
      </c>
      <c r="F1096">
        <v>-0.09623430962343001</v>
      </c>
      <c r="G1096">
        <v>0.236051502145922</v>
      </c>
      <c r="H1096">
        <v>-0.730252887917577</v>
      </c>
      <c r="I1096">
        <v>-0.353777112939416</v>
      </c>
    </row>
    <row r="1097" spans="1:9">
      <c r="A1097" s="1" t="s">
        <v>1109</v>
      </c>
      <c r="B1097">
        <f>HYPERLINK("https://www.suredividend.com/sure-analysis-research-database/","Flexion Therapeutics Inc")</f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</row>
    <row r="1098" spans="1:9">
      <c r="A1098" s="1" t="s">
        <v>1110</v>
      </c>
      <c r="B1098">
        <f>HYPERLINK("https://www.suredividend.com/sure-analysis-research-database/","Flexsteel Industries, Inc.")</f>
        <v>0</v>
      </c>
      <c r="C1098">
        <v>-0.013426156141223</v>
      </c>
      <c r="D1098">
        <v>0.005233904350778001</v>
      </c>
      <c r="E1098">
        <v>0.201637715919277</v>
      </c>
      <c r="F1098">
        <v>0.326753066110286</v>
      </c>
      <c r="G1098">
        <v>0.36156195312768</v>
      </c>
      <c r="H1098">
        <v>-0.220560850468684</v>
      </c>
      <c r="I1098">
        <v>-0.067629739979604</v>
      </c>
    </row>
    <row r="1099" spans="1:9">
      <c r="A1099" s="1" t="s">
        <v>1111</v>
      </c>
      <c r="B1099">
        <f>HYPERLINK("https://www.suredividend.com/sure-analysis-FMAO/","Farmers &amp; Merchants Bancorp Inc.")</f>
        <v>0</v>
      </c>
      <c r="C1099">
        <v>0.04184377619999601</v>
      </c>
      <c r="D1099">
        <v>-0.160469796755265</v>
      </c>
      <c r="E1099">
        <v>-0.126940064951335</v>
      </c>
      <c r="F1099">
        <v>-0.312492745773203</v>
      </c>
      <c r="G1099">
        <v>-0.345851846670912</v>
      </c>
      <c r="H1099">
        <v>-0.272648386687459</v>
      </c>
      <c r="I1099">
        <v>-0.499943719045475</v>
      </c>
    </row>
    <row r="1100" spans="1:9">
      <c r="A1100" s="1" t="s">
        <v>1112</v>
      </c>
      <c r="B1100">
        <f>HYPERLINK("https://www.suredividend.com/sure-analysis-FMBH/","First Mid Bancshares Inc.")</f>
        <v>0</v>
      </c>
      <c r="C1100">
        <v>0.09574067093855901</v>
      </c>
      <c r="D1100">
        <v>-0.029168364314005</v>
      </c>
      <c r="E1100">
        <v>0.230090892164993</v>
      </c>
      <c r="F1100">
        <v>-0.054141992581505</v>
      </c>
      <c r="G1100">
        <v>-0.118799846009742</v>
      </c>
      <c r="H1100">
        <v>-0.289842822453376</v>
      </c>
      <c r="I1100">
        <v>-0.111994941395331</v>
      </c>
    </row>
    <row r="1101" spans="1:9">
      <c r="A1101" s="1" t="s">
        <v>1113</v>
      </c>
      <c r="B1101">
        <f>HYPERLINK("https://www.suredividend.com/sure-analysis-research-database/","First Midwest Bancorp, Inc.")</f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</row>
    <row r="1102" spans="1:9">
      <c r="A1102" s="1" t="s">
        <v>1114</v>
      </c>
      <c r="B1102">
        <f>HYPERLINK("https://www.suredividend.com/sure-analysis-FMC/","FMC Corp.")</f>
        <v>0</v>
      </c>
      <c r="C1102">
        <v>-0.16183908045977</v>
      </c>
      <c r="D1102">
        <v>-0.405571907430514</v>
      </c>
      <c r="E1102">
        <v>-0.523411567966355</v>
      </c>
      <c r="F1102">
        <v>-0.553271678453629</v>
      </c>
      <c r="G1102">
        <v>-0.5327246535805641</v>
      </c>
      <c r="H1102">
        <v>-0.389077114352834</v>
      </c>
      <c r="I1102">
        <v>-0.132388145652184</v>
      </c>
    </row>
    <row r="1103" spans="1:9">
      <c r="A1103" s="1" t="s">
        <v>1115</v>
      </c>
      <c r="B1103">
        <f>HYPERLINK("https://www.suredividend.com/sure-analysis-research-database/","Farmers National Banc Corp.")</f>
        <v>0</v>
      </c>
      <c r="C1103">
        <v>0.006861063464836</v>
      </c>
      <c r="D1103">
        <v>-0.129680561630329</v>
      </c>
      <c r="E1103">
        <v>0.07080638835429601</v>
      </c>
      <c r="F1103">
        <v>-0.111615588346575</v>
      </c>
      <c r="G1103">
        <v>-0.087879046856911</v>
      </c>
      <c r="H1103">
        <v>-0.268202983288349</v>
      </c>
      <c r="I1103">
        <v>0.018796535744658</v>
      </c>
    </row>
    <row r="1104" spans="1:9">
      <c r="A1104" s="1" t="s">
        <v>1116</v>
      </c>
      <c r="B1104">
        <f>HYPERLINK("https://www.suredividend.com/sure-analysis-research-database/","Fabrinet")</f>
        <v>0</v>
      </c>
      <c r="C1104">
        <v>-0.07810643858398601</v>
      </c>
      <c r="D1104">
        <v>0.277448559670781</v>
      </c>
      <c r="E1104">
        <v>0.6839535640663991</v>
      </c>
      <c r="F1104">
        <v>0.210497582280455</v>
      </c>
      <c r="G1104">
        <v>0.371113074204947</v>
      </c>
      <c r="H1104">
        <v>0.39564787339268</v>
      </c>
      <c r="I1104">
        <v>2.334264232008593</v>
      </c>
    </row>
    <row r="1105" spans="1:9">
      <c r="A1105" s="1" t="s">
        <v>1117</v>
      </c>
      <c r="B1105">
        <f>HYPERLINK("https://www.suredividend.com/sure-analysis-research-database/","F.N.B. Corp.")</f>
        <v>0</v>
      </c>
      <c r="C1105">
        <v>0.056603773584905</v>
      </c>
      <c r="D1105">
        <v>-0.107512829503076</v>
      </c>
      <c r="E1105">
        <v>0.053562357722047</v>
      </c>
      <c r="F1105">
        <v>-0.115840661856418</v>
      </c>
      <c r="G1105">
        <v>-0.178132452760961</v>
      </c>
      <c r="H1105">
        <v>0.001654518624513</v>
      </c>
      <c r="I1105">
        <v>0.148765077541642</v>
      </c>
    </row>
    <row r="1106" spans="1:9">
      <c r="A1106" s="1" t="s">
        <v>1118</v>
      </c>
      <c r="B1106">
        <f>HYPERLINK("https://www.suredividend.com/sure-analysis-research-database/","FNCB Bancorp Inc")</f>
        <v>0</v>
      </c>
      <c r="C1106">
        <v>-0.042372881355932</v>
      </c>
      <c r="D1106">
        <v>-0.06817956921859</v>
      </c>
      <c r="E1106">
        <v>0.033549189624263</v>
      </c>
      <c r="F1106">
        <v>-0.259113558877524</v>
      </c>
      <c r="G1106">
        <v>-0.206248858543712</v>
      </c>
      <c r="H1106">
        <v>-0.269610631366668</v>
      </c>
      <c r="I1106">
        <v>-0.235711870138654</v>
      </c>
    </row>
    <row r="1107" spans="1:9">
      <c r="A1107" s="1" t="s">
        <v>1119</v>
      </c>
      <c r="B1107">
        <f>HYPERLINK("https://www.suredividend.com/sure-analysis-research-database/","Floor &amp; Decor Holdings Inc")</f>
        <v>0</v>
      </c>
      <c r="C1107">
        <v>-0.070388615216201</v>
      </c>
      <c r="D1107">
        <v>-0.238590513763113</v>
      </c>
      <c r="E1107">
        <v>-0.146275258872021</v>
      </c>
      <c r="F1107">
        <v>0.219589257503949</v>
      </c>
      <c r="G1107">
        <v>0.295104468506939</v>
      </c>
      <c r="H1107">
        <v>-0.396703608979823</v>
      </c>
      <c r="I1107">
        <v>1.655409631019387</v>
      </c>
    </row>
    <row r="1108" spans="1:9">
      <c r="A1108" s="1" t="s">
        <v>1120</v>
      </c>
      <c r="B1108">
        <f>HYPERLINK("https://www.suredividend.com/sure-analysis-FNF/","Fidelity National Financial Inc")</f>
        <v>0</v>
      </c>
      <c r="C1108">
        <v>0.057746120580004</v>
      </c>
      <c r="D1108">
        <v>0.076426822133282</v>
      </c>
      <c r="E1108">
        <v>0.225933897455553</v>
      </c>
      <c r="F1108">
        <v>0.147154736220624</v>
      </c>
      <c r="G1108">
        <v>0.120117668926836</v>
      </c>
      <c r="H1108">
        <v>-0.057144995136065</v>
      </c>
      <c r="I1108">
        <v>0.53503671462272</v>
      </c>
    </row>
    <row r="1109" spans="1:9">
      <c r="A1109" s="1" t="s">
        <v>1121</v>
      </c>
      <c r="B1109">
        <f>HYPERLINK("https://www.suredividend.com/sure-analysis-research-database/","FedNat Holding Co")</f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</row>
    <row r="1110" spans="1:9">
      <c r="A1110" s="1" t="s">
        <v>1122</v>
      </c>
      <c r="B1110">
        <f>HYPERLINK("https://www.suredividend.com/sure-analysis-research-database/","Funko Inc")</f>
        <v>0</v>
      </c>
      <c r="C1110">
        <v>0.035862068965517</v>
      </c>
      <c r="D1110">
        <v>0.023160762942779</v>
      </c>
      <c r="E1110">
        <v>-0.203605514316012</v>
      </c>
      <c r="F1110">
        <v>-0.311640696608616</v>
      </c>
      <c r="G1110">
        <v>-0.6126869520371321</v>
      </c>
      <c r="H1110">
        <v>-0.547862733293196</v>
      </c>
      <c r="I1110">
        <v>-0.635259834871296</v>
      </c>
    </row>
    <row r="1111" spans="1:9">
      <c r="A1111" s="1" t="s">
        <v>1123</v>
      </c>
      <c r="B1111">
        <f>HYPERLINK("https://www.suredividend.com/sure-analysis-research-database/","First Bancorp Inc (ME)")</f>
        <v>0</v>
      </c>
      <c r="C1111">
        <v>0.073727822274606</v>
      </c>
      <c r="D1111">
        <v>-0.049418386343244</v>
      </c>
      <c r="E1111">
        <v>0.088442147376424</v>
      </c>
      <c r="F1111">
        <v>-0.116065554489688</v>
      </c>
      <c r="G1111">
        <v>-0.124544071288685</v>
      </c>
      <c r="H1111">
        <v>-0.07321772639691701</v>
      </c>
      <c r="I1111">
        <v>0.137045949894332</v>
      </c>
    </row>
    <row r="1112" spans="1:9">
      <c r="A1112" s="1" t="s">
        <v>1124</v>
      </c>
      <c r="B1112">
        <f>HYPERLINK("https://www.suredividend.com/sure-analysis-research-database/","First Northwest Bancorp")</f>
        <v>0</v>
      </c>
      <c r="C1112">
        <v>0.03071948261924</v>
      </c>
      <c r="D1112">
        <v>-0.031537690274359</v>
      </c>
      <c r="E1112">
        <v>0.241540483957349</v>
      </c>
      <c r="F1112">
        <v>-0.145803045630866</v>
      </c>
      <c r="G1112">
        <v>-0.127662340327998</v>
      </c>
      <c r="H1112">
        <v>-0.254551620107812</v>
      </c>
      <c r="I1112">
        <v>-0.07644834629927401</v>
      </c>
    </row>
    <row r="1113" spans="1:9">
      <c r="A1113" s="1" t="s">
        <v>1125</v>
      </c>
      <c r="B1113">
        <f>HYPERLINK("https://www.suredividend.com/sure-analysis-research-database/","Focus Financial Partners Inc")</f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</row>
    <row r="1114" spans="1:9">
      <c r="A1114" s="1" t="s">
        <v>1126</v>
      </c>
      <c r="B1114">
        <f>HYPERLINK("https://www.suredividend.com/sure-analysis-research-database/","Ferro Corp.")</f>
        <v>0</v>
      </c>
      <c r="C1114">
        <v>0.013818516812528</v>
      </c>
      <c r="D1114">
        <v>0.013818516812528</v>
      </c>
      <c r="E1114">
        <v>0.04660009510223401</v>
      </c>
      <c r="F1114">
        <v>0.008245533669262001</v>
      </c>
      <c r="G1114">
        <v>0.277423099245502</v>
      </c>
      <c r="H1114">
        <v>1.492638731596829</v>
      </c>
      <c r="I1114">
        <v>0.428293316028552</v>
      </c>
    </row>
    <row r="1115" spans="1:9">
      <c r="A1115" s="1" t="s">
        <v>1127</v>
      </c>
      <c r="B1115">
        <f>HYPERLINK("https://www.suredividend.com/sure-analysis-research-database/","Amicus Therapeutics Inc")</f>
        <v>0</v>
      </c>
      <c r="C1115">
        <v>-0.009066183136899001</v>
      </c>
      <c r="D1115">
        <v>-0.193952802359882</v>
      </c>
      <c r="E1115">
        <v>-0.053679653679653</v>
      </c>
      <c r="F1115">
        <v>-0.104832104832104</v>
      </c>
      <c r="G1115">
        <v>0.094094094094093</v>
      </c>
      <c r="H1115">
        <v>-0.082283795130142</v>
      </c>
      <c r="I1115">
        <v>-0.07763713080168701</v>
      </c>
    </row>
    <row r="1116" spans="1:9">
      <c r="A1116" s="1" t="s">
        <v>1128</v>
      </c>
      <c r="B1116">
        <f>HYPERLINK("https://www.suredividend.com/sure-analysis-research-database/","Fonar Corp.")</f>
        <v>0</v>
      </c>
      <c r="C1116">
        <v>-0.08486842105263101</v>
      </c>
      <c r="D1116">
        <v>-0.177409816676522</v>
      </c>
      <c r="E1116">
        <v>-0.119620253164557</v>
      </c>
      <c r="F1116">
        <v>-0.16955223880597</v>
      </c>
      <c r="G1116">
        <v>-0.178381571175428</v>
      </c>
      <c r="H1116">
        <v>-0.163056558363417</v>
      </c>
      <c r="I1116">
        <v>-0.450848795894196</v>
      </c>
    </row>
    <row r="1117" spans="1:9">
      <c r="A1117" s="1" t="s">
        <v>1129</v>
      </c>
      <c r="B1117">
        <f>HYPERLINK("https://www.suredividend.com/sure-analysis-research-database/","Forestar Group Inc")</f>
        <v>0</v>
      </c>
      <c r="C1117">
        <v>-0.05522163786626601</v>
      </c>
      <c r="D1117">
        <v>-0.175409836065573</v>
      </c>
      <c r="E1117">
        <v>0.267641129032258</v>
      </c>
      <c r="F1117">
        <v>0.63205710577547</v>
      </c>
      <c r="G1117">
        <v>1.225663716814159</v>
      </c>
      <c r="H1117">
        <v>0.245049504950495</v>
      </c>
      <c r="I1117">
        <v>0.385674931129476</v>
      </c>
    </row>
    <row r="1118" spans="1:9">
      <c r="A1118" s="1" t="s">
        <v>1130</v>
      </c>
      <c r="B1118">
        <f>HYPERLINK("https://www.suredividend.com/sure-analysis-research-database/","Forward Industries, Inc.")</f>
        <v>0</v>
      </c>
      <c r="C1118">
        <v>-0.088923967377006</v>
      </c>
      <c r="D1118">
        <v>-0.228730512249443</v>
      </c>
      <c r="E1118">
        <v>-0.314257425742574</v>
      </c>
      <c r="F1118">
        <v>-0.353616425571628</v>
      </c>
      <c r="G1118">
        <v>-0.4503174603174601</v>
      </c>
      <c r="H1118">
        <v>-0.6894170403587441</v>
      </c>
      <c r="I1118">
        <v>-0.528843537414966</v>
      </c>
    </row>
    <row r="1119" spans="1:9">
      <c r="A1119" s="1" t="s">
        <v>1131</v>
      </c>
      <c r="B1119">
        <f>HYPERLINK("https://www.suredividend.com/sure-analysis-research-database/","FormFactor Inc.")</f>
        <v>0</v>
      </c>
      <c r="C1119">
        <v>-0.016913946587537</v>
      </c>
      <c r="D1119">
        <v>-0.08023320377568001</v>
      </c>
      <c r="E1119">
        <v>0.218014705882353</v>
      </c>
      <c r="F1119">
        <v>0.490328385065227</v>
      </c>
      <c r="G1119">
        <v>0.7547669491525421</v>
      </c>
      <c r="H1119">
        <v>-0.201494335984574</v>
      </c>
      <c r="I1119">
        <v>1.025061124694376</v>
      </c>
    </row>
    <row r="1120" spans="1:9">
      <c r="A1120" s="1" t="s">
        <v>1132</v>
      </c>
      <c r="B1120">
        <f>HYPERLINK("https://www.suredividend.com/sure-analysis-research-database/","Forrester Research Inc.")</f>
        <v>0</v>
      </c>
      <c r="C1120">
        <v>-0.200695652173913</v>
      </c>
      <c r="D1120">
        <v>-0.281425891181988</v>
      </c>
      <c r="E1120">
        <v>-0.233488992661774</v>
      </c>
      <c r="F1120">
        <v>-0.35738255033557</v>
      </c>
      <c r="G1120">
        <v>-0.439238653001464</v>
      </c>
      <c r="H1120">
        <v>-0.572862453531598</v>
      </c>
      <c r="I1120">
        <v>-0.4394233232097771</v>
      </c>
    </row>
    <row r="1121" spans="1:9">
      <c r="A1121" s="1" t="s">
        <v>1133</v>
      </c>
      <c r="B1121">
        <f>HYPERLINK("https://www.suredividend.com/sure-analysis-research-database/","Fossil Group Inc")</f>
        <v>0</v>
      </c>
      <c r="C1121">
        <v>-0.226130653266331</v>
      </c>
      <c r="D1121">
        <v>-0.412213740458015</v>
      </c>
      <c r="E1121">
        <v>-0.533333333333333</v>
      </c>
      <c r="F1121">
        <v>-0.642691415313225</v>
      </c>
      <c r="G1121">
        <v>-0.632458233890214</v>
      </c>
      <c r="H1121">
        <v>-0.8742857142857141</v>
      </c>
      <c r="I1121">
        <v>-0.9348837209302321</v>
      </c>
    </row>
    <row r="1122" spans="1:9">
      <c r="A1122" s="1" t="s">
        <v>1134</v>
      </c>
      <c r="B1122">
        <f>HYPERLINK("https://www.suredividend.com/sure-analysis-research-database/","Fox Corporation")</f>
        <v>0</v>
      </c>
      <c r="C1122">
        <v>-0.0042002100105</v>
      </c>
      <c r="D1122">
        <v>-0.082047823856431</v>
      </c>
      <c r="E1122">
        <v>-0.053902610164644</v>
      </c>
      <c r="F1122">
        <v>0.016350925075824</v>
      </c>
      <c r="G1122">
        <v>0.026453270218784</v>
      </c>
      <c r="H1122">
        <v>-0.241757948881959</v>
      </c>
      <c r="I1122">
        <v>-0.226828638593344</v>
      </c>
    </row>
    <row r="1123" spans="1:9">
      <c r="A1123" s="1" t="s">
        <v>1135</v>
      </c>
      <c r="B1123">
        <f>HYPERLINK("https://www.suredividend.com/sure-analysis-FOXA/","Fox Corporation")</f>
        <v>0</v>
      </c>
      <c r="C1123">
        <v>0.003241491085899</v>
      </c>
      <c r="D1123">
        <v>-0.056497364594415</v>
      </c>
      <c r="E1123">
        <v>-0.04879278127458601</v>
      </c>
      <c r="F1123">
        <v>0.042765163894382</v>
      </c>
      <c r="G1123">
        <v>0.05387174431947801</v>
      </c>
      <c r="H1123">
        <v>-0.228720024122746</v>
      </c>
      <c r="I1123">
        <v>-0.171622656053444</v>
      </c>
    </row>
    <row r="1124" spans="1:9">
      <c r="A1124" s="1" t="s">
        <v>1136</v>
      </c>
      <c r="B1124">
        <f>HYPERLINK("https://www.suredividend.com/sure-analysis-research-database/","Fox Factory Holding Corp")</f>
        <v>0</v>
      </c>
      <c r="C1124">
        <v>-0.15</v>
      </c>
      <c r="D1124">
        <v>-0.2294930021318</v>
      </c>
      <c r="E1124">
        <v>-0.246464829586656</v>
      </c>
      <c r="F1124">
        <v>-0.08878658336073601</v>
      </c>
      <c r="G1124">
        <v>0.052544948088123</v>
      </c>
      <c r="H1124">
        <v>-0.506207306207306</v>
      </c>
      <c r="I1124">
        <v>0.300531914893616</v>
      </c>
    </row>
    <row r="1125" spans="1:9">
      <c r="A1125" s="1" t="s">
        <v>1137</v>
      </c>
      <c r="B1125">
        <f>HYPERLINK("https://www.suredividend.com/sure-analysis-research-database/","Farmland Partners Inc")</f>
        <v>0</v>
      </c>
      <c r="C1125">
        <v>0.064796905222437</v>
      </c>
      <c r="D1125">
        <v>-0.012059868633573</v>
      </c>
      <c r="E1125">
        <v>0.1019476750005</v>
      </c>
      <c r="F1125">
        <v>-0.101576525116688</v>
      </c>
      <c r="G1125">
        <v>-0.182482402209747</v>
      </c>
      <c r="H1125">
        <v>-0.009758510590457001</v>
      </c>
      <c r="I1125">
        <v>0.7743183136724031</v>
      </c>
    </row>
    <row r="1126" spans="1:9">
      <c r="A1126" s="1" t="s">
        <v>1138</v>
      </c>
      <c r="B1126">
        <f>HYPERLINK("https://www.suredividend.com/sure-analysis-research-database/","Five Prime Therapeutics Inc")</f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</row>
    <row r="1127" spans="1:9">
      <c r="A1127" s="1" t="s">
        <v>1139</v>
      </c>
      <c r="B1127">
        <f>HYPERLINK("https://www.suredividend.com/sure-analysis-FR/","First Industrial Realty Trust, Inc.")</f>
        <v>0</v>
      </c>
      <c r="C1127">
        <v>-0.06606799230275801</v>
      </c>
      <c r="D1127">
        <v>-0.14429283678287</v>
      </c>
      <c r="E1127">
        <v>-0.152328573590998</v>
      </c>
      <c r="F1127">
        <v>-0.07743388064934401</v>
      </c>
      <c r="G1127">
        <v>-0.038620261606217</v>
      </c>
      <c r="H1127">
        <v>-0.22872777162714</v>
      </c>
      <c r="I1127">
        <v>0.596666301129509</v>
      </c>
    </row>
    <row r="1128" spans="1:9">
      <c r="A1128" s="1" t="s">
        <v>1140</v>
      </c>
      <c r="B1128">
        <f>HYPERLINK("https://www.suredividend.com/sure-analysis-research-database/","Franklin Financial Services Corp.")</f>
        <v>0</v>
      </c>
      <c r="C1128">
        <v>0.144008836482047</v>
      </c>
      <c r="D1128">
        <v>0.112265604842365</v>
      </c>
      <c r="E1128">
        <v>0.252458784683096</v>
      </c>
      <c r="F1128">
        <v>-0.046166726468125</v>
      </c>
      <c r="G1128">
        <v>0.06604820275635201</v>
      </c>
      <c r="H1128">
        <v>0.100656598591573</v>
      </c>
      <c r="I1128">
        <v>0.9791046257693061</v>
      </c>
    </row>
    <row r="1129" spans="1:9">
      <c r="A1129" s="1" t="s">
        <v>1141</v>
      </c>
      <c r="B1129">
        <f>HYPERLINK("https://www.suredividend.com/sure-analysis-research-database/","Francesca`s Holdings Corp")</f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</row>
    <row r="1130" spans="1:9">
      <c r="A1130" s="1" t="s">
        <v>1142</v>
      </c>
      <c r="B1130">
        <f>HYPERLINK("https://www.suredividend.com/sure-analysis-research-database/","First Bank (NJ)")</f>
        <v>0</v>
      </c>
      <c r="C1130">
        <v>0.091836734693877</v>
      </c>
      <c r="D1130">
        <v>-0.046098486076441</v>
      </c>
      <c r="E1130">
        <v>0.390874821266086</v>
      </c>
      <c r="F1130">
        <v>-0.126945272746154</v>
      </c>
      <c r="G1130">
        <v>-0.220126952995587</v>
      </c>
      <c r="H1130">
        <v>-0.15265829163817</v>
      </c>
      <c r="I1130">
        <v>0.08313547935876901</v>
      </c>
    </row>
    <row r="1131" spans="1:9">
      <c r="A1131" s="1" t="s">
        <v>1143</v>
      </c>
      <c r="B1131">
        <f>HYPERLINK("https://www.suredividend.com/sure-analysis-research-database/","Republic First Bancorp, Inc.")</f>
        <v>0</v>
      </c>
      <c r="C1131">
        <v>-0.642857142857142</v>
      </c>
      <c r="D1131">
        <v>-0.7058823529411761</v>
      </c>
      <c r="E1131">
        <v>-0.7058823529411761</v>
      </c>
      <c r="F1131">
        <v>-0.7058823529411761</v>
      </c>
      <c r="G1131">
        <v>-0.7058823529411761</v>
      </c>
      <c r="H1131">
        <v>-0.7058823529411761</v>
      </c>
      <c r="I1131">
        <v>-0.7058823529411761</v>
      </c>
    </row>
    <row r="1132" spans="1:9">
      <c r="A1132" s="1" t="s">
        <v>1144</v>
      </c>
      <c r="B1132">
        <f>HYPERLINK("https://www.suredividend.com/sure-analysis-research-database/","First Republic Bank")</f>
        <v>0</v>
      </c>
      <c r="C1132">
        <v>-0.749106504646175</v>
      </c>
      <c r="D1132">
        <v>-0.9761224489795921</v>
      </c>
      <c r="E1132">
        <v>-0.969615808782156</v>
      </c>
      <c r="F1132">
        <v>-0.9711463529318921</v>
      </c>
      <c r="G1132">
        <v>-0.976820100868883</v>
      </c>
      <c r="H1132">
        <v>-0.9806280165241361</v>
      </c>
      <c r="I1132">
        <v>-0.961364036632617</v>
      </c>
    </row>
    <row r="1133" spans="1:9">
      <c r="A1133" s="1" t="s">
        <v>1145</v>
      </c>
      <c r="B1133">
        <f>HYPERLINK("https://www.suredividend.com/sure-analysis-research-database/","Friedman Industries, Inc.")</f>
        <v>0</v>
      </c>
      <c r="C1133">
        <v>-0.229091343711715</v>
      </c>
      <c r="D1133">
        <v>-0.404984980483276</v>
      </c>
      <c r="E1133">
        <v>-0.051793048319964</v>
      </c>
      <c r="F1133">
        <v>0.06642417228123801</v>
      </c>
      <c r="G1133">
        <v>0.126244106862231</v>
      </c>
      <c r="H1133">
        <v>-0.238067112111927</v>
      </c>
      <c r="I1133">
        <v>0.277117081440964</v>
      </c>
    </row>
    <row r="1134" spans="1:9">
      <c r="A1134" s="1" t="s">
        <v>1146</v>
      </c>
      <c r="B1134">
        <f>HYPERLINK("https://www.suredividend.com/sure-analysis-research-database/","Fiesta Restaurant Group Inc")</f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</row>
    <row r="1135" spans="1:9">
      <c r="A1135" s="1" t="s">
        <v>1147</v>
      </c>
      <c r="B1135">
        <f>HYPERLINK("https://www.suredividend.com/sure-analysis-research-database/","First Merchants Corp.")</f>
        <v>0</v>
      </c>
      <c r="C1135">
        <v>0.038126361655773</v>
      </c>
      <c r="D1135">
        <v>-0.090460814099607</v>
      </c>
      <c r="E1135">
        <v>0.09311137195226801</v>
      </c>
      <c r="F1135">
        <v>-0.264058566420065</v>
      </c>
      <c r="G1135">
        <v>-0.295535186280307</v>
      </c>
      <c r="H1135">
        <v>-0.256046089232834</v>
      </c>
      <c r="I1135">
        <v>-0.169267246639585</v>
      </c>
    </row>
    <row r="1136" spans="1:9">
      <c r="A1136" s="1" t="s">
        <v>1148</v>
      </c>
      <c r="B1136">
        <f>HYPERLINK("https://www.suredividend.com/sure-analysis-research-database/","FRP Holdings Inc")</f>
        <v>0</v>
      </c>
      <c r="C1136">
        <v>0.01789375582479</v>
      </c>
      <c r="D1136">
        <v>-0.028982930298719</v>
      </c>
      <c r="E1136">
        <v>-0.05273200346921</v>
      </c>
      <c r="F1136">
        <v>0.013924990716672</v>
      </c>
      <c r="G1136">
        <v>-0.074563633282494</v>
      </c>
      <c r="H1136">
        <v>-0.021326164874551</v>
      </c>
      <c r="I1136">
        <v>0.09416950510919601</v>
      </c>
    </row>
    <row r="1137" spans="1:9">
      <c r="A1137" s="1" t="s">
        <v>1149</v>
      </c>
      <c r="B1137">
        <f>HYPERLINK("https://www.suredividend.com/sure-analysis-research-database/","Freshpet Inc")</f>
        <v>0</v>
      </c>
      <c r="C1137">
        <v>-0.105255047002619</v>
      </c>
      <c r="D1137">
        <v>-0.214131023280996</v>
      </c>
      <c r="E1137">
        <v>-0.147430249632892</v>
      </c>
      <c r="F1137">
        <v>0.100246352093992</v>
      </c>
      <c r="G1137">
        <v>-0.08016476552598201</v>
      </c>
      <c r="H1137">
        <v>-0.619053867856439</v>
      </c>
      <c r="I1137">
        <v>0.6105409153952841</v>
      </c>
    </row>
    <row r="1138" spans="1:9">
      <c r="A1138" s="1" t="s">
        <v>1150</v>
      </c>
      <c r="B1138">
        <f>HYPERLINK("https://www.suredividend.com/sure-analysis-FRT/","Federal Realty Investment Trust.")</f>
        <v>0</v>
      </c>
      <c r="C1138">
        <v>0.05557438156557001</v>
      </c>
      <c r="D1138">
        <v>-0.061885444618113</v>
      </c>
      <c r="E1138">
        <v>-0.006225315147274001</v>
      </c>
      <c r="F1138">
        <v>-0.04374422485978501</v>
      </c>
      <c r="G1138">
        <v>-0.015310369535209</v>
      </c>
      <c r="H1138">
        <v>-0.258656935464678</v>
      </c>
      <c r="I1138">
        <v>-0.258656935464678</v>
      </c>
    </row>
    <row r="1139" spans="1:9">
      <c r="A1139" s="1" t="s">
        <v>1151</v>
      </c>
      <c r="B1139">
        <f>HYPERLINK("https://www.suredividend.com/sure-analysis-research-database/","Forterra Inc")</f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</row>
    <row r="1140" spans="1:9">
      <c r="A1140" s="1" t="s">
        <v>1152</v>
      </c>
      <c r="B1140">
        <f>HYPERLINK("https://www.suredividend.com/sure-analysis-research-database/","FS Bancorp Inc")</f>
        <v>0</v>
      </c>
      <c r="C1140">
        <v>0.022847100175747</v>
      </c>
      <c r="D1140">
        <v>-0.06917233106757201</v>
      </c>
      <c r="E1140">
        <v>0.031841713353662</v>
      </c>
      <c r="F1140">
        <v>-0.09441712827534601</v>
      </c>
      <c r="G1140">
        <v>0.024337700555465</v>
      </c>
      <c r="H1140">
        <v>-0.099302655973851</v>
      </c>
      <c r="I1140">
        <v>0.408839377786815</v>
      </c>
    </row>
    <row r="1141" spans="1:9">
      <c r="A1141" s="1" t="s">
        <v>1153</v>
      </c>
      <c r="B1141">
        <f>HYPERLINK("https://www.suredividend.com/sure-analysis-research-database/","ForeScout Technologies Inc")</f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</row>
    <row r="1142" spans="1:9">
      <c r="A1142" s="1" t="s">
        <v>1154</v>
      </c>
      <c r="B1142">
        <f>HYPERLINK("https://www.suredividend.com/sure-analysis-research-database/","First Savings Financial Group Inc")</f>
        <v>0</v>
      </c>
      <c r="C1142">
        <v>0.0006671114076050001</v>
      </c>
      <c r="D1142">
        <v>-0.152259792812293</v>
      </c>
      <c r="E1142">
        <v>0.120054957363241</v>
      </c>
      <c r="F1142">
        <v>-0.213741698422765</v>
      </c>
      <c r="G1142">
        <v>-0.29656065054071</v>
      </c>
      <c r="H1142">
        <v>-0.418629438279763</v>
      </c>
      <c r="I1142">
        <v>-0.225142573766427</v>
      </c>
    </row>
    <row r="1143" spans="1:9">
      <c r="A1143" s="1" t="s">
        <v>1155</v>
      </c>
      <c r="B1143">
        <f>HYPERLINK("https://www.suredividend.com/sure-analysis-research-database/","First Solar Inc")</f>
        <v>0</v>
      </c>
      <c r="C1143">
        <v>-0.05596776256876</v>
      </c>
      <c r="D1143">
        <v>-0.240323244801317</v>
      </c>
      <c r="E1143">
        <v>-0.163321995464852</v>
      </c>
      <c r="F1143">
        <v>-0.014687228786968</v>
      </c>
      <c r="G1143">
        <v>-0.01652562137669</v>
      </c>
      <c r="H1143">
        <v>0.243910661609776</v>
      </c>
      <c r="I1143">
        <v>2.432325581395349</v>
      </c>
    </row>
    <row r="1144" spans="1:9">
      <c r="A1144" s="1" t="s">
        <v>1156</v>
      </c>
      <c r="B1144">
        <f>HYPERLINK("https://www.suredividend.com/sure-analysis-research-database/","Fastly Inc")</f>
        <v>0</v>
      </c>
      <c r="C1144">
        <v>-0.125331917153478</v>
      </c>
      <c r="D1144">
        <v>0.001215805471124</v>
      </c>
      <c r="E1144">
        <v>0.160676532769556</v>
      </c>
      <c r="F1144">
        <v>1.010989010989011</v>
      </c>
      <c r="G1144">
        <v>1.084810126582278</v>
      </c>
      <c r="H1144">
        <v>-0.6660583941605841</v>
      </c>
      <c r="I1144">
        <v>-0.313463943309712</v>
      </c>
    </row>
    <row r="1145" spans="1:9">
      <c r="A1145" s="1" t="s">
        <v>1157</v>
      </c>
      <c r="B1145">
        <f>HYPERLINK("https://www.suredividend.com/sure-analysis-research-database/","Franklin Street Properties Corp.")</f>
        <v>0</v>
      </c>
      <c r="C1145">
        <v>0.078003206368511</v>
      </c>
      <c r="D1145">
        <v>0.108269394714407</v>
      </c>
      <c r="E1145">
        <v>0.740915989643781</v>
      </c>
      <c r="F1145">
        <v>-0.264983038070109</v>
      </c>
      <c r="G1145">
        <v>-0.28335170893054</v>
      </c>
      <c r="H1145">
        <v>-0.5265266480514751</v>
      </c>
      <c r="I1145">
        <v>-0.6599173337518961</v>
      </c>
    </row>
    <row r="1146" spans="1:9">
      <c r="A1146" s="1" t="s">
        <v>1158</v>
      </c>
      <c r="B1146">
        <f>HYPERLINK("https://www.suredividend.com/sure-analysis-research-database/","Federal Signal Corp.")</f>
        <v>0</v>
      </c>
      <c r="C1146">
        <v>0.06088560885608801</v>
      </c>
      <c r="D1146">
        <v>0.038768652671893</v>
      </c>
      <c r="E1146">
        <v>0.189531371656617</v>
      </c>
      <c r="F1146">
        <v>0.368313113307142</v>
      </c>
      <c r="G1146">
        <v>0.3749581534475041</v>
      </c>
      <c r="H1146">
        <v>0.4809212852289511</v>
      </c>
      <c r="I1146">
        <v>1.956519300344966</v>
      </c>
    </row>
    <row r="1147" spans="1:9">
      <c r="A1147" s="1" t="s">
        <v>1159</v>
      </c>
      <c r="B1147">
        <f>HYPERLINK("https://www.suredividend.com/sure-analysis-research-database/","L.B. Foster Co.")</f>
        <v>0</v>
      </c>
      <c r="C1147">
        <v>0.036745406824146</v>
      </c>
      <c r="D1147">
        <v>0.349043715846994</v>
      </c>
      <c r="E1147">
        <v>0.823638042474607</v>
      </c>
      <c r="F1147">
        <v>1.040289256198347</v>
      </c>
      <c r="G1147">
        <v>0.9690927218344961</v>
      </c>
      <c r="H1147">
        <v>0.228233830845771</v>
      </c>
      <c r="I1147">
        <v>-0.014962593516209</v>
      </c>
    </row>
    <row r="1148" spans="1:9">
      <c r="A1148" s="1" t="s">
        <v>1160</v>
      </c>
      <c r="B1148">
        <f>HYPERLINK("https://www.suredividend.com/sure-analysis-research-database/","Frontdoor Inc.")</f>
        <v>0</v>
      </c>
      <c r="C1148">
        <v>0.08603573792190601</v>
      </c>
      <c r="D1148">
        <v>-0.111291632818846</v>
      </c>
      <c r="E1148">
        <v>0.241770715096481</v>
      </c>
      <c r="F1148">
        <v>0.577884615384615</v>
      </c>
      <c r="G1148">
        <v>0.5870406189555121</v>
      </c>
      <c r="H1148">
        <v>-0.167638853664722</v>
      </c>
      <c r="I1148">
        <v>-0.06282124500285501</v>
      </c>
    </row>
    <row r="1149" spans="1:9">
      <c r="A1149" s="1" t="s">
        <v>1161</v>
      </c>
      <c r="B1149">
        <f>HYPERLINK("https://www.suredividend.com/sure-analysis-research-database/","Fuel Tech Inc")</f>
        <v>0</v>
      </c>
      <c r="C1149">
        <v>-0.122807017543859</v>
      </c>
      <c r="D1149">
        <v>-0.193548387096774</v>
      </c>
      <c r="E1149">
        <v>-0.21259842519685</v>
      </c>
      <c r="F1149">
        <v>-0.215686274509803</v>
      </c>
      <c r="G1149">
        <v>-0.145299145299145</v>
      </c>
      <c r="H1149">
        <v>-0.502487562189054</v>
      </c>
      <c r="I1149">
        <v>-0.186991869918699</v>
      </c>
    </row>
    <row r="1150" spans="1:9">
      <c r="A1150" s="1" t="s">
        <v>1162</v>
      </c>
      <c r="B1150">
        <f>HYPERLINK("https://www.suredividend.com/sure-analysis-research-database/","TechnipFMC plc")</f>
        <v>0</v>
      </c>
      <c r="C1150">
        <v>0.122</v>
      </c>
      <c r="D1150">
        <v>0.25009052571766</v>
      </c>
      <c r="E1150">
        <v>0.7511002902893531</v>
      </c>
      <c r="F1150">
        <v>0.845910863234786</v>
      </c>
      <c r="G1150">
        <v>1.140976224096477</v>
      </c>
      <c r="H1150">
        <v>1.972461022876293</v>
      </c>
      <c r="I1150">
        <v>-0.107675422899816</v>
      </c>
    </row>
    <row r="1151" spans="1:9">
      <c r="A1151" s="1" t="s">
        <v>1163</v>
      </c>
      <c r="B1151">
        <f>HYPERLINK("https://www.suredividend.com/sure-analysis-research-database/","Flotek Industries Inc")</f>
        <v>0</v>
      </c>
      <c r="C1151">
        <v>-0.08988764044943801</v>
      </c>
      <c r="D1151">
        <v>-0.169639562061754</v>
      </c>
      <c r="E1151">
        <v>0.125</v>
      </c>
      <c r="F1151">
        <v>-0.397321428571428</v>
      </c>
      <c r="G1151">
        <v>-0.397321428571428</v>
      </c>
      <c r="H1151">
        <v>-0.4327731092436971</v>
      </c>
      <c r="I1151">
        <v>-0.6538461538461531</v>
      </c>
    </row>
    <row r="1152" spans="1:9">
      <c r="A1152" s="1" t="s">
        <v>1164</v>
      </c>
      <c r="B1152">
        <f>HYPERLINK("https://www.suredividend.com/sure-analysis-research-database/","Fortinet Inc")</f>
        <v>0</v>
      </c>
      <c r="C1152">
        <v>-0.017738359201773</v>
      </c>
      <c r="D1152">
        <v>-0.22510764262648</v>
      </c>
      <c r="E1152">
        <v>-0.06266276041666601</v>
      </c>
      <c r="F1152">
        <v>0.177950501124974</v>
      </c>
      <c r="G1152">
        <v>0.08190869810257301</v>
      </c>
      <c r="H1152">
        <v>-0.123253052400816</v>
      </c>
      <c r="I1152">
        <v>2.968439911797133</v>
      </c>
    </row>
    <row r="1153" spans="1:9">
      <c r="A1153" s="1" t="s">
        <v>1165</v>
      </c>
      <c r="B1153">
        <f>HYPERLINK("https://www.suredividend.com/sure-analysis-research-database/","FTS International Inc.")</f>
        <v>0</v>
      </c>
      <c r="C1153">
        <v>0.005686125852919</v>
      </c>
      <c r="D1153">
        <v>0.018817204301075</v>
      </c>
      <c r="E1153">
        <v>0.134245404018811</v>
      </c>
      <c r="F1153">
        <v>0.010666666666666</v>
      </c>
      <c r="G1153">
        <v>0.287239204269772</v>
      </c>
      <c r="H1153">
        <v>0.8802267895109851</v>
      </c>
      <c r="I1153">
        <v>0.8802267895109851</v>
      </c>
    </row>
    <row r="1154" spans="1:9">
      <c r="A1154" s="1" t="s">
        <v>1166</v>
      </c>
      <c r="B1154">
        <f>HYPERLINK("https://www.suredividend.com/sure-analysis-research-database/","Fortive Corp")</f>
        <v>0</v>
      </c>
      <c r="C1154">
        <v>-0.112618724559023</v>
      </c>
      <c r="D1154">
        <v>-0.163798350099986</v>
      </c>
      <c r="E1154">
        <v>0.026147944173786</v>
      </c>
      <c r="F1154">
        <v>0.020999174145927</v>
      </c>
      <c r="G1154">
        <v>0.054927187441527</v>
      </c>
      <c r="H1154">
        <v>-0.143376954744368</v>
      </c>
      <c r="I1154">
        <v>0.05979238440322601</v>
      </c>
    </row>
    <row r="1155" spans="1:9">
      <c r="A1155" s="1" t="s">
        <v>1167</v>
      </c>
      <c r="B1155">
        <f>HYPERLINK("https://www.suredividend.com/sure-analysis-FUL/","H.B. Fuller Company")</f>
        <v>0</v>
      </c>
      <c r="C1155">
        <v>-0.006038331811763001</v>
      </c>
      <c r="D1155">
        <v>-0.068859311406885</v>
      </c>
      <c r="E1155">
        <v>0.04268993062077901</v>
      </c>
      <c r="F1155">
        <v>-0.043670317627986</v>
      </c>
      <c r="G1155">
        <v>0.012152707717739</v>
      </c>
      <c r="H1155">
        <v>-0.050636460494588</v>
      </c>
      <c r="I1155">
        <v>0.527743938204427</v>
      </c>
    </row>
    <row r="1156" spans="1:9">
      <c r="A1156" s="1" t="s">
        <v>1168</v>
      </c>
      <c r="B1156">
        <f>HYPERLINK("https://www.suredividend.com/sure-analysis-FULT/","Fulton Financial Corp.")</f>
        <v>0</v>
      </c>
      <c r="C1156">
        <v>0.149831649831649</v>
      </c>
      <c r="D1156">
        <v>-0.021777271718191</v>
      </c>
      <c r="E1156">
        <v>0.300667472839282</v>
      </c>
      <c r="F1156">
        <v>-0.135103648267041</v>
      </c>
      <c r="G1156">
        <v>-0.175996525431908</v>
      </c>
      <c r="H1156">
        <v>-0.06627658992727001</v>
      </c>
      <c r="I1156">
        <v>0.064161291327786</v>
      </c>
    </row>
    <row r="1157" spans="1:9">
      <c r="A1157" s="1" t="s">
        <v>1169</v>
      </c>
      <c r="B1157">
        <f>HYPERLINK("https://www.suredividend.com/sure-analysis-research-database/","First United Corporation")</f>
        <v>0</v>
      </c>
      <c r="C1157">
        <v>0.06977952027767401</v>
      </c>
      <c r="D1157">
        <v>0.018181379759349</v>
      </c>
      <c r="E1157">
        <v>0.288801391813936</v>
      </c>
      <c r="F1157">
        <v>-0.07608487547112</v>
      </c>
      <c r="G1157">
        <v>-0.030703012912482</v>
      </c>
      <c r="H1157">
        <v>-0.05426894821716501</v>
      </c>
      <c r="I1157">
        <v>0.135164561896376</v>
      </c>
    </row>
    <row r="1158" spans="1:9">
      <c r="A1158" s="1" t="s">
        <v>1170</v>
      </c>
      <c r="B1158">
        <f>HYPERLINK("https://www.suredividend.com/sure-analysis-research-database/","First US Bancshares Inc")</f>
        <v>0</v>
      </c>
      <c r="C1158">
        <v>-0.027459954233409</v>
      </c>
      <c r="D1158">
        <v>-0.020793733079891</v>
      </c>
      <c r="E1158">
        <v>0.185528187676085</v>
      </c>
      <c r="F1158">
        <v>-0.002628367595982</v>
      </c>
      <c r="G1158">
        <v>0.046656241149597</v>
      </c>
      <c r="H1158">
        <v>-0.198597073465077</v>
      </c>
      <c r="I1158">
        <v>0.018500766871165</v>
      </c>
    </row>
    <row r="1159" spans="1:9">
      <c r="A1159" s="1" t="s">
        <v>1171</v>
      </c>
      <c r="B1159">
        <f>HYPERLINK("https://www.suredividend.com/sure-analysis-research-database/","Five Star Senior Living Inc.")</f>
        <v>0</v>
      </c>
      <c r="C1159">
        <v>-0.033670033670033</v>
      </c>
      <c r="D1159">
        <v>-0.306763285024154</v>
      </c>
      <c r="E1159">
        <v>-0.4973730297723291</v>
      </c>
      <c r="F1159">
        <v>-0.027118644067796</v>
      </c>
      <c r="G1159">
        <v>-0.62037037037037</v>
      </c>
      <c r="H1159">
        <v>-0.393234672304439</v>
      </c>
      <c r="I1159">
        <v>-0.8956363636363631</v>
      </c>
    </row>
    <row r="1160" spans="1:9">
      <c r="A1160" s="1" t="s">
        <v>1172</v>
      </c>
      <c r="B1160">
        <f>HYPERLINK("https://www.suredividend.com/sure-analysis-research-database/","Liberty Media Corp.")</f>
        <v>0</v>
      </c>
      <c r="C1160">
        <v>-0.051107876435387</v>
      </c>
      <c r="D1160">
        <v>-0.113880078537985</v>
      </c>
      <c r="E1160">
        <v>-0.113880078537985</v>
      </c>
      <c r="F1160">
        <v>-0.113880078537985</v>
      </c>
      <c r="G1160">
        <v>-0.113880078537985</v>
      </c>
      <c r="H1160">
        <v>-0.113880078537985</v>
      </c>
      <c r="I1160">
        <v>-0.113880078537985</v>
      </c>
    </row>
    <row r="1161" spans="1:9">
      <c r="A1161" s="1" t="s">
        <v>1173</v>
      </c>
      <c r="B1161">
        <f>HYPERLINK("https://www.suredividend.com/sure-analysis-research-database/","Liberty Media Corp.")</f>
        <v>0</v>
      </c>
      <c r="C1161">
        <v>-0.04228021577489401</v>
      </c>
      <c r="D1161">
        <v>-0.113854040199649</v>
      </c>
      <c r="E1161">
        <v>-0.113854040199649</v>
      </c>
      <c r="F1161">
        <v>-0.113854040199649</v>
      </c>
      <c r="G1161">
        <v>-0.113854040199649</v>
      </c>
      <c r="H1161">
        <v>-0.113854040199649</v>
      </c>
      <c r="I1161">
        <v>-0.113854040199649</v>
      </c>
    </row>
    <row r="1162" spans="1:9">
      <c r="A1162" s="1" t="s">
        <v>1174</v>
      </c>
      <c r="B1162">
        <f>HYPERLINK("https://www.suredividend.com/sure-analysis-research-database/","Forward Air Corp.")</f>
        <v>0</v>
      </c>
      <c r="C1162">
        <v>-0.039518143087997</v>
      </c>
      <c r="D1162">
        <v>-0.448208576820371</v>
      </c>
      <c r="E1162">
        <v>-0.33141559300819</v>
      </c>
      <c r="F1162">
        <v>-0.3699157414091021</v>
      </c>
      <c r="G1162">
        <v>-0.358197219378164</v>
      </c>
      <c r="H1162">
        <v>-0.371393903732312</v>
      </c>
      <c r="I1162">
        <v>0.147667888996747</v>
      </c>
    </row>
    <row r="1163" spans="1:9">
      <c r="A1163" s="1" t="s">
        <v>1175</v>
      </c>
      <c r="B1163">
        <f>HYPERLINK("https://www.suredividend.com/sure-analysis-research-database/","Genpact Ltd")</f>
        <v>0</v>
      </c>
      <c r="C1163">
        <v>-0.05129634792305501</v>
      </c>
      <c r="D1163">
        <v>-0.07009154256045901</v>
      </c>
      <c r="E1163">
        <v>-0.218385735711939</v>
      </c>
      <c r="F1163">
        <v>-0.257716217690042</v>
      </c>
      <c r="G1163">
        <v>-0.275337629206257</v>
      </c>
      <c r="H1163">
        <v>-0.308553977694109</v>
      </c>
      <c r="I1163">
        <v>0.311362961992439</v>
      </c>
    </row>
    <row r="1164" spans="1:9">
      <c r="A1164" s="1" t="s">
        <v>1176</v>
      </c>
      <c r="B1164">
        <f>HYPERLINK("https://www.suredividend.com/sure-analysis-research-database/","German American Bancorp Inc")</f>
        <v>0</v>
      </c>
      <c r="C1164">
        <v>0.017810760667903</v>
      </c>
      <c r="D1164">
        <v>-0.086446232548225</v>
      </c>
      <c r="E1164">
        <v>0.017063530319097</v>
      </c>
      <c r="F1164">
        <v>-0.240193566436665</v>
      </c>
      <c r="G1164">
        <v>-0.269219292823802</v>
      </c>
      <c r="H1164">
        <v>-0.267560653881688</v>
      </c>
      <c r="I1164">
        <v>-0.004402696061528</v>
      </c>
    </row>
    <row r="1165" spans="1:9">
      <c r="A1165" s="1" t="s">
        <v>1177</v>
      </c>
      <c r="B1165">
        <f>HYPERLINK("https://www.suredividend.com/sure-analysis-research-database/","Gaia Inc")</f>
        <v>0</v>
      </c>
      <c r="C1165">
        <v>0.00375939849624</v>
      </c>
      <c r="D1165">
        <v>0.05952380952380901</v>
      </c>
      <c r="E1165">
        <v>-0.085616438356164</v>
      </c>
      <c r="F1165">
        <v>0.121848739495798</v>
      </c>
      <c r="G1165">
        <v>0.08536585365853601</v>
      </c>
      <c r="H1165">
        <v>-0.7377210216110021</v>
      </c>
      <c r="I1165">
        <v>-0.8263979193758121</v>
      </c>
    </row>
    <row r="1166" spans="1:9">
      <c r="A1166" s="1" t="s">
        <v>1178</v>
      </c>
      <c r="B1166">
        <f>HYPERLINK("https://www.suredividend.com/sure-analysis-research-database/","Galectin Therapeutics Inc")</f>
        <v>0</v>
      </c>
      <c r="C1166">
        <v>0.052083333333333</v>
      </c>
      <c r="D1166">
        <v>0.463768115942029</v>
      </c>
      <c r="E1166">
        <v>0.216867469879518</v>
      </c>
      <c r="F1166">
        <v>0.7876106194690261</v>
      </c>
      <c r="G1166">
        <v>0.485294117647058</v>
      </c>
      <c r="H1166">
        <v>-0.387878787878787</v>
      </c>
      <c r="I1166">
        <v>-0.601577909270216</v>
      </c>
    </row>
    <row r="1167" spans="1:9">
      <c r="A1167" s="1" t="s">
        <v>1179</v>
      </c>
      <c r="B1167">
        <f>HYPERLINK("https://www.suredividend.com/sure-analysis-GATX/","GATX Corp.")</f>
        <v>0</v>
      </c>
      <c r="C1167">
        <v>0.011979940564635</v>
      </c>
      <c r="D1167">
        <v>-0.112789043754798</v>
      </c>
      <c r="E1167">
        <v>-0.010454834804892</v>
      </c>
      <c r="F1167">
        <v>0.039423104438318</v>
      </c>
      <c r="G1167">
        <v>0.07406695546323201</v>
      </c>
      <c r="H1167">
        <v>0.165611622528811</v>
      </c>
      <c r="I1167">
        <v>0.593140300733192</v>
      </c>
    </row>
    <row r="1168" spans="1:9">
      <c r="A1168" s="1" t="s">
        <v>1180</v>
      </c>
      <c r="B1168">
        <f>HYPERLINK("https://www.suredividend.com/sure-analysis-research-database/","Glacier Bancorp, Inc.")</f>
        <v>0</v>
      </c>
      <c r="C1168">
        <v>0.112986601962232</v>
      </c>
      <c r="D1168">
        <v>-0.04363617684118901</v>
      </c>
      <c r="E1168">
        <v>0.08594211053621101</v>
      </c>
      <c r="F1168">
        <v>-0.334310659232259</v>
      </c>
      <c r="G1168">
        <v>-0.4071923581194981</v>
      </c>
      <c r="H1168">
        <v>-0.3852721700183731</v>
      </c>
      <c r="I1168">
        <v>-0.130742864676026</v>
      </c>
    </row>
    <row r="1169" spans="1:9">
      <c r="A1169" s="1" t="s">
        <v>1181</v>
      </c>
      <c r="B1169">
        <f>HYPERLINK("https://www.suredividend.com/sure-analysis-research-database/","Gamco Investors Inc")</f>
        <v>0</v>
      </c>
      <c r="C1169">
        <v>-0.260674696866621</v>
      </c>
      <c r="D1169">
        <v>-0.298831544041254</v>
      </c>
      <c r="E1169">
        <v>-0.313037415756449</v>
      </c>
      <c r="F1169">
        <v>-0.404838605759938</v>
      </c>
      <c r="G1169">
        <v>-0.375609920958468</v>
      </c>
      <c r="H1169">
        <v>0.428847641144624</v>
      </c>
      <c r="I1169">
        <v>-0.429449368456811</v>
      </c>
    </row>
    <row r="1170" spans="1:9">
      <c r="A1170" s="1" t="s">
        <v>1182</v>
      </c>
      <c r="B1170">
        <f>HYPERLINK("https://www.suredividend.com/sure-analysis-research-database/","Global Indemnity Group LLC")</f>
        <v>0</v>
      </c>
      <c r="C1170">
        <v>0.04086123832748401</v>
      </c>
      <c r="D1170">
        <v>0.04042496901019901</v>
      </c>
      <c r="E1170">
        <v>0.268672135247699</v>
      </c>
      <c r="F1170">
        <v>0.5377585631183981</v>
      </c>
      <c r="G1170">
        <v>0.495521979900184</v>
      </c>
      <c r="H1170">
        <v>0.416430594900849</v>
      </c>
      <c r="I1170">
        <v>0.663790685624373</v>
      </c>
    </row>
    <row r="1171" spans="1:9">
      <c r="A1171" s="1" t="s">
        <v>1183</v>
      </c>
      <c r="B1171">
        <f>HYPERLINK("https://www.suredividend.com/sure-analysis-research-database/","Global Blood Therapeutics Inc.")</f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</row>
    <row r="1172" spans="1:9">
      <c r="A1172" s="1" t="s">
        <v>1184</v>
      </c>
      <c r="B1172">
        <f>HYPERLINK("https://www.suredividend.com/sure-analysis-research-database/","Greenbrier Cos., Inc.")</f>
        <v>0</v>
      </c>
      <c r="C1172">
        <v>-0.078042659974905</v>
      </c>
      <c r="D1172">
        <v>-0.224239864864864</v>
      </c>
      <c r="E1172">
        <v>0.396008040155179</v>
      </c>
      <c r="F1172">
        <v>0.124472425328481</v>
      </c>
      <c r="G1172">
        <v>0.065832721702779</v>
      </c>
      <c r="H1172">
        <v>-0.08718229024323501</v>
      </c>
      <c r="I1172">
        <v>-0.120615042892156</v>
      </c>
    </row>
    <row r="1173" spans="1:9">
      <c r="A1173" s="1" t="s">
        <v>1185</v>
      </c>
      <c r="B1173">
        <f>HYPERLINK("https://www.suredividend.com/sure-analysis-research-database/","Greene County Bancorp Inc")</f>
        <v>0</v>
      </c>
      <c r="C1173">
        <v>0.054398640033999</v>
      </c>
      <c r="D1173">
        <v>-0.259369822529367</v>
      </c>
      <c r="E1173">
        <v>0.315580159714931</v>
      </c>
      <c r="F1173">
        <v>2.496188154390316</v>
      </c>
      <c r="G1173">
        <v>2.011287777642917</v>
      </c>
      <c r="H1173">
        <v>4.820527859237536</v>
      </c>
      <c r="I1173">
        <v>5.639725954075898</v>
      </c>
    </row>
    <row r="1174" spans="1:9">
      <c r="A1174" s="1" t="s">
        <v>1186</v>
      </c>
      <c r="B1174">
        <f>HYPERLINK("https://www.suredividend.com/sure-analysis-research-database/","Gannett Co Inc.")</f>
        <v>0</v>
      </c>
      <c r="C1174">
        <v>-0.22</v>
      </c>
      <c r="D1174">
        <v>-0.29090909090909</v>
      </c>
      <c r="E1174">
        <v>0.054054054054053</v>
      </c>
      <c r="F1174">
        <v>-0.039408866995073</v>
      </c>
      <c r="G1174">
        <v>0.317567567567567</v>
      </c>
      <c r="H1174">
        <v>-0.6776859504132231</v>
      </c>
      <c r="I1174">
        <v>-0.8369919582699411</v>
      </c>
    </row>
    <row r="1175" spans="1:9">
      <c r="A1175" s="1" t="s">
        <v>1187</v>
      </c>
      <c r="B1175">
        <f>HYPERLINK("https://www.suredividend.com/sure-analysis-research-database/","Genesco Inc.")</f>
        <v>0</v>
      </c>
      <c r="C1175">
        <v>-0.084461637653127</v>
      </c>
      <c r="D1175">
        <v>-0.00035198873636</v>
      </c>
      <c r="E1175">
        <v>-0.143804642749472</v>
      </c>
      <c r="F1175">
        <v>-0.382877009995654</v>
      </c>
      <c r="G1175">
        <v>-0.351598173515981</v>
      </c>
      <c r="H1175">
        <v>-0.5553467981838101</v>
      </c>
      <c r="I1175">
        <v>-0.363799283154121</v>
      </c>
    </row>
    <row r="1176" spans="1:9">
      <c r="A1176" s="1" t="s">
        <v>1188</v>
      </c>
      <c r="B1176">
        <f>HYPERLINK("https://www.suredividend.com/sure-analysis-research-database/","GCP Applied Technologies Inc")</f>
        <v>0</v>
      </c>
      <c r="C1176">
        <v>0.012654223347042</v>
      </c>
      <c r="D1176">
        <v>0.02137843012125</v>
      </c>
      <c r="E1176">
        <v>0.018777848504137</v>
      </c>
      <c r="F1176">
        <v>0.011054958938723</v>
      </c>
      <c r="G1176">
        <v>0.4425416854438931</v>
      </c>
      <c r="H1176">
        <v>0.5691176470588231</v>
      </c>
      <c r="I1176">
        <v>0.029260450160771</v>
      </c>
    </row>
    <row r="1177" spans="1:9">
      <c r="A1177" s="1" t="s">
        <v>1189</v>
      </c>
      <c r="B1177">
        <f>HYPERLINK("https://www.suredividend.com/sure-analysis-GD/","General Dynamics Corp.")</f>
        <v>0</v>
      </c>
      <c r="C1177">
        <v>0.101186299096116</v>
      </c>
      <c r="D1177">
        <v>0.08502706231179501</v>
      </c>
      <c r="E1177">
        <v>0.159581864312621</v>
      </c>
      <c r="F1177">
        <v>0.006653957493715001</v>
      </c>
      <c r="G1177">
        <v>0.013763350799261</v>
      </c>
      <c r="H1177">
        <v>0.26578141680785</v>
      </c>
      <c r="I1177">
        <v>0.55995079963381</v>
      </c>
    </row>
    <row r="1178" spans="1:9">
      <c r="A1178" s="1" t="s">
        <v>1190</v>
      </c>
      <c r="B1178">
        <f>HYPERLINK("https://www.suredividend.com/sure-analysis-research-database/","Godaddy Inc")</f>
        <v>0</v>
      </c>
      <c r="C1178">
        <v>0.014846807936293</v>
      </c>
      <c r="D1178">
        <v>-0.004501522573811</v>
      </c>
      <c r="E1178">
        <v>0.002533333333333</v>
      </c>
      <c r="F1178">
        <v>0.004945201817695</v>
      </c>
      <c r="G1178">
        <v>0.020632550563322</v>
      </c>
      <c r="H1178">
        <v>0.115082307578229</v>
      </c>
      <c r="I1178">
        <v>0.021325726704699</v>
      </c>
    </row>
    <row r="1179" spans="1:9">
      <c r="A1179" s="1" t="s">
        <v>1191</v>
      </c>
      <c r="B1179">
        <f>HYPERLINK("https://www.suredividend.com/sure-analysis-research-database/","Golden Entertainment Inc")</f>
        <v>0</v>
      </c>
      <c r="C1179">
        <v>-0.050269299820466</v>
      </c>
      <c r="D1179">
        <v>-0.16761295838327</v>
      </c>
      <c r="E1179">
        <v>-0.155586061583156</v>
      </c>
      <c r="F1179">
        <v>-0.0625636845323</v>
      </c>
      <c r="G1179">
        <v>-0.18748304056441</v>
      </c>
      <c r="H1179">
        <v>-0.323816199011928</v>
      </c>
      <c r="I1179">
        <v>0.8819148810017901</v>
      </c>
    </row>
    <row r="1180" spans="1:9">
      <c r="A1180" s="1" t="s">
        <v>1192</v>
      </c>
      <c r="B1180">
        <f>HYPERLINK("https://www.suredividend.com/sure-analysis-research-database/","Green Dot Corp.")</f>
        <v>0</v>
      </c>
      <c r="C1180">
        <v>-0.141185076810534</v>
      </c>
      <c r="D1180">
        <v>-0.392024857586742</v>
      </c>
      <c r="E1180">
        <v>-0.278869778869778</v>
      </c>
      <c r="F1180">
        <v>-0.257901390644753</v>
      </c>
      <c r="G1180">
        <v>-0.370509383378016</v>
      </c>
      <c r="H1180">
        <v>-0.722786304604486</v>
      </c>
      <c r="I1180">
        <v>-0.851071926931371</v>
      </c>
    </row>
    <row r="1181" spans="1:9">
      <c r="A1181" s="1" t="s">
        <v>1193</v>
      </c>
      <c r="B1181">
        <f>HYPERLINK("https://www.suredividend.com/sure-analysis-research-database/","Goodrich Petroleum Corp.")</f>
        <v>0</v>
      </c>
      <c r="C1181">
        <v>-0.001301518438177</v>
      </c>
      <c r="D1181">
        <v>0.1240234375</v>
      </c>
      <c r="E1181">
        <v>0.648997134670487</v>
      </c>
      <c r="F1181">
        <v>1.281466798810703</v>
      </c>
      <c r="G1181">
        <v>1.243664717348927</v>
      </c>
      <c r="H1181">
        <v>1.365878725590955</v>
      </c>
      <c r="I1181">
        <v>1.087035358114234</v>
      </c>
    </row>
    <row r="1182" spans="1:9">
      <c r="A1182" s="1" t="s">
        <v>1194</v>
      </c>
      <c r="B1182">
        <f>HYPERLINK("https://www.suredividend.com/sure-analysis-GE/","General Electric Co.")</f>
        <v>0</v>
      </c>
      <c r="C1182">
        <v>-0.009283941538744001</v>
      </c>
      <c r="D1182">
        <v>-0.03672820059076101</v>
      </c>
      <c r="E1182">
        <v>0.063316565067219</v>
      </c>
      <c r="F1182">
        <v>0.6383325428964041</v>
      </c>
      <c r="G1182">
        <v>0.7753048474156941</v>
      </c>
      <c r="H1182">
        <v>0.293352757224559</v>
      </c>
      <c r="I1182">
        <v>0.954845215725821</v>
      </c>
    </row>
    <row r="1183" spans="1:9">
      <c r="A1183" s="1" t="s">
        <v>1195</v>
      </c>
      <c r="B1183">
        <f>HYPERLINK("https://www.suredividend.com/sure-analysis-research-database/","Great Elm Capital Group Inc")</f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</row>
    <row r="1184" spans="1:9">
      <c r="A1184" s="1" t="s">
        <v>1196</v>
      </c>
      <c r="B1184">
        <f>HYPERLINK("https://www.suredividend.com/sure-analysis-GEF/","Greif Inc")</f>
        <v>0</v>
      </c>
      <c r="C1184">
        <v>-0.04595832717600101</v>
      </c>
      <c r="D1184">
        <v>-0.123908108056761</v>
      </c>
      <c r="E1184">
        <v>0.04539264565626001</v>
      </c>
      <c r="F1184">
        <v>-0.014531688850897</v>
      </c>
      <c r="G1184">
        <v>0.021451106097379</v>
      </c>
      <c r="H1184">
        <v>0.060108966590803</v>
      </c>
      <c r="I1184">
        <v>0.582779670989727</v>
      </c>
    </row>
    <row r="1185" spans="1:9">
      <c r="A1185" s="1" t="s">
        <v>1197</v>
      </c>
      <c r="B1185">
        <f>HYPERLINK("https://www.suredividend.com/sure-analysis-research-database/","Gen Digital Inc")</f>
        <v>0</v>
      </c>
      <c r="C1185">
        <v>-0.020536223616657</v>
      </c>
      <c r="D1185">
        <v>-0.078551227077821</v>
      </c>
      <c r="E1185">
        <v>0.036522789012979</v>
      </c>
      <c r="F1185">
        <v>-0.176352638118035</v>
      </c>
      <c r="G1185">
        <v>-0.228661275831087</v>
      </c>
      <c r="H1185">
        <v>-0.305811052846498</v>
      </c>
      <c r="I1185">
        <v>-0.1073981461746</v>
      </c>
    </row>
    <row r="1186" spans="1:9">
      <c r="A1186" s="1" t="s">
        <v>1198</v>
      </c>
      <c r="B1186">
        <f>HYPERLINK("https://www.suredividend.com/sure-analysis-research-database/","Gencor Industries, Inc.")</f>
        <v>0</v>
      </c>
      <c r="C1186">
        <v>0.016200294550809</v>
      </c>
      <c r="D1186">
        <v>-0.081836327345309</v>
      </c>
      <c r="E1186">
        <v>0.017699115044247</v>
      </c>
      <c r="F1186">
        <v>0.3663366336633661</v>
      </c>
      <c r="G1186">
        <v>0.4526315789473681</v>
      </c>
      <c r="H1186">
        <v>0.232142857142857</v>
      </c>
      <c r="I1186">
        <v>0.179487179487179</v>
      </c>
    </row>
    <row r="1187" spans="1:9">
      <c r="A1187" s="1" t="s">
        <v>1199</v>
      </c>
      <c r="B1187">
        <f>HYPERLINK("https://www.suredividend.com/sure-analysis-research-database/","Geo Group, Inc.")</f>
        <v>0</v>
      </c>
      <c r="C1187">
        <v>0.05813953488372101</v>
      </c>
      <c r="D1187">
        <v>0.255172413793103</v>
      </c>
      <c r="E1187">
        <v>0.224764468371467</v>
      </c>
      <c r="F1187">
        <v>-0.168949771689497</v>
      </c>
      <c r="G1187">
        <v>0.09638554216867401</v>
      </c>
      <c r="H1187">
        <v>0.07058823529411701</v>
      </c>
      <c r="I1187">
        <v>-0.468547967925994</v>
      </c>
    </row>
    <row r="1188" spans="1:9">
      <c r="A1188" s="1" t="s">
        <v>1200</v>
      </c>
      <c r="B1188">
        <f>HYPERLINK("https://www.suredividend.com/sure-analysis-research-database/","Geospace Technologies Corp")</f>
        <v>0</v>
      </c>
      <c r="C1188">
        <v>-0.09201520912547501</v>
      </c>
      <c r="D1188">
        <v>0.4925</v>
      </c>
      <c r="E1188">
        <v>0.628922237380627</v>
      </c>
      <c r="F1188">
        <v>1.829383886255924</v>
      </c>
      <c r="G1188">
        <v>1.751152073732718</v>
      </c>
      <c r="H1188">
        <v>0.279742765273311</v>
      </c>
      <c r="I1188">
        <v>-0.08435582822085801</v>
      </c>
    </row>
    <row r="1189" spans="1:9">
      <c r="A1189" s="1" t="s">
        <v>1201</v>
      </c>
      <c r="B1189">
        <f>HYPERLINK("https://www.suredividend.com/sure-analysis-research-database/","Geron Corp.")</f>
        <v>0</v>
      </c>
      <c r="C1189">
        <v>-0.105527638190954</v>
      </c>
      <c r="D1189">
        <v>-0.44375</v>
      </c>
      <c r="E1189">
        <v>-0.282258064516129</v>
      </c>
      <c r="F1189">
        <v>-0.264462809917355</v>
      </c>
      <c r="G1189">
        <v>-0.172093023255813</v>
      </c>
      <c r="H1189">
        <v>0.09876543209876501</v>
      </c>
      <c r="I1189">
        <v>0.06586826347305301</v>
      </c>
    </row>
    <row r="1190" spans="1:9">
      <c r="A1190" s="1" t="s">
        <v>1202</v>
      </c>
      <c r="B1190">
        <f>HYPERLINK("https://www.suredividend.com/sure-analysis-research-database/","Guess Inc.")</f>
        <v>0</v>
      </c>
      <c r="C1190">
        <v>0.068604097189137</v>
      </c>
      <c r="D1190">
        <v>0.101810643795376</v>
      </c>
      <c r="E1190">
        <v>0.247934482048771</v>
      </c>
      <c r="F1190">
        <v>0.128712472700556</v>
      </c>
      <c r="G1190">
        <v>0.410257216329558</v>
      </c>
      <c r="H1190">
        <v>0.148989575596137</v>
      </c>
      <c r="I1190">
        <v>0.185492907126699</v>
      </c>
    </row>
    <row r="1191" spans="1:9">
      <c r="A1191" s="1" t="s">
        <v>1203</v>
      </c>
      <c r="B1191">
        <f>HYPERLINK("https://www.suredividend.com/sure-analysis-research-database/","Gevo Inc")</f>
        <v>0</v>
      </c>
      <c r="C1191">
        <v>0.109090909090908</v>
      </c>
      <c r="D1191">
        <v>-0.217948717948717</v>
      </c>
      <c r="E1191">
        <v>0.184466019417475</v>
      </c>
      <c r="F1191">
        <v>-0.357894736842105</v>
      </c>
      <c r="G1191">
        <v>-0.435185185185185</v>
      </c>
      <c r="H1191">
        <v>-0.837116154873164</v>
      </c>
      <c r="I1191">
        <v>-0.63030303030303</v>
      </c>
    </row>
    <row r="1192" spans="1:9">
      <c r="A1192" s="1" t="s">
        <v>1204</v>
      </c>
      <c r="B1192">
        <f>HYPERLINK("https://www.suredividend.com/sure-analysis-research-database/","Guaranty Federal Bancshares Inc")</f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</row>
    <row r="1193" spans="1:9">
      <c r="A1193" s="1" t="s">
        <v>1205</v>
      </c>
      <c r="B1193">
        <f>HYPERLINK("https://www.suredividend.com/sure-analysis-research-database/","Griffon Corp.")</f>
        <v>0</v>
      </c>
      <c r="C1193">
        <v>0.053869499241274</v>
      </c>
      <c r="D1193">
        <v>-0.004805212174477</v>
      </c>
      <c r="E1193">
        <v>0.575073991056815</v>
      </c>
      <c r="F1193">
        <v>0.253670453451429</v>
      </c>
      <c r="G1193">
        <v>0.434230860572935</v>
      </c>
      <c r="H1193">
        <v>0.8165252796498601</v>
      </c>
      <c r="I1193">
        <v>2.933766957112783</v>
      </c>
    </row>
    <row r="1194" spans="1:9">
      <c r="A1194" s="1" t="s">
        <v>1206</v>
      </c>
      <c r="B1194">
        <f>HYPERLINK("https://www.suredividend.com/sure-analysis-research-database/","General Finance Corporation")</f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</row>
    <row r="1195" spans="1:9">
      <c r="A1195" s="1" t="s">
        <v>1207</v>
      </c>
      <c r="B1195">
        <f>HYPERLINK("https://www.suredividend.com/sure-analysis-GGG/","Graco Inc.")</f>
        <v>0</v>
      </c>
      <c r="C1195">
        <v>0.043747695389678</v>
      </c>
      <c r="D1195">
        <v>-0.030825523042487</v>
      </c>
      <c r="E1195">
        <v>-0.04449292375592601</v>
      </c>
      <c r="F1195">
        <v>0.142067403957039</v>
      </c>
      <c r="G1195">
        <v>0.130470547561426</v>
      </c>
      <c r="H1195">
        <v>0.004346519408407</v>
      </c>
      <c r="I1195">
        <v>0.9339509603471221</v>
      </c>
    </row>
    <row r="1196" spans="1:9">
      <c r="A1196" s="1" t="s">
        <v>1208</v>
      </c>
      <c r="B1196">
        <f>HYPERLINK("https://www.suredividend.com/sure-analysis-research-database/","Guardant Health Inc")</f>
        <v>0</v>
      </c>
      <c r="C1196">
        <v>-0.078478409869773</v>
      </c>
      <c r="D1196">
        <v>-0.255949086884338</v>
      </c>
      <c r="E1196">
        <v>0.254197761194029</v>
      </c>
      <c r="F1196">
        <v>-0.011397058823529</v>
      </c>
      <c r="G1196">
        <v>-0.412625600698995</v>
      </c>
      <c r="H1196">
        <v>-0.7713629793384911</v>
      </c>
      <c r="I1196">
        <v>-0.329593617551732</v>
      </c>
    </row>
    <row r="1197" spans="1:9">
      <c r="A1197" s="1" t="s">
        <v>1209</v>
      </c>
      <c r="B1197">
        <f>HYPERLINK("https://www.suredividend.com/sure-analysis-research-database/","Graham Holdings Co.")</f>
        <v>0</v>
      </c>
      <c r="C1197">
        <v>0.027007393073752</v>
      </c>
      <c r="D1197">
        <v>0.027763540724982</v>
      </c>
      <c r="E1197">
        <v>0.05610406163468201</v>
      </c>
      <c r="F1197">
        <v>0.001654335292229</v>
      </c>
      <c r="G1197">
        <v>-0.04125209206042901</v>
      </c>
      <c r="H1197">
        <v>0.054723064932858</v>
      </c>
      <c r="I1197">
        <v>0.032304150739826</v>
      </c>
    </row>
    <row r="1198" spans="1:9">
      <c r="A1198" s="1" t="s">
        <v>1210</v>
      </c>
      <c r="B1198">
        <f>HYPERLINK("https://www.suredividend.com/sure-analysis-research-database/","Greenhill &amp; Co Inc")</f>
        <v>0</v>
      </c>
      <c r="C1198">
        <v>0.00270087778528</v>
      </c>
      <c r="D1198">
        <v>0.016378407605385</v>
      </c>
      <c r="E1198">
        <v>1.226720647773279</v>
      </c>
      <c r="F1198">
        <v>0.481991557139007</v>
      </c>
      <c r="G1198">
        <v>1.096658054131898</v>
      </c>
      <c r="H1198">
        <v>-0.015826308255129</v>
      </c>
      <c r="I1198">
        <v>-0.231728326719816</v>
      </c>
    </row>
    <row r="1199" spans="1:9">
      <c r="A1199" s="1" t="s">
        <v>1211</v>
      </c>
      <c r="B1199">
        <f>HYPERLINK("https://www.suredividend.com/sure-analysis-research-database/","Graham Corp.")</f>
        <v>0</v>
      </c>
      <c r="C1199">
        <v>0.041511771995043</v>
      </c>
      <c r="D1199">
        <v>0.193892045454545</v>
      </c>
      <c r="E1199">
        <v>0.382401315789473</v>
      </c>
      <c r="F1199">
        <v>0.747401247401247</v>
      </c>
      <c r="G1199">
        <v>0.923340961098398</v>
      </c>
      <c r="H1199">
        <v>0.296537681349448</v>
      </c>
      <c r="I1199">
        <v>-0.264390551291364</v>
      </c>
    </row>
    <row r="1200" spans="1:9">
      <c r="A1200" s="1" t="s">
        <v>1212</v>
      </c>
      <c r="B1200">
        <f>HYPERLINK("https://www.suredividend.com/sure-analysis-research-database/","Gulf Island Fabrication, Inc.")</f>
        <v>0</v>
      </c>
      <c r="C1200">
        <v>0.255384615384615</v>
      </c>
      <c r="D1200">
        <v>0.169054441260744</v>
      </c>
      <c r="E1200">
        <v>0.192982456140351</v>
      </c>
      <c r="F1200">
        <v>-0.204678362573099</v>
      </c>
      <c r="G1200">
        <v>-0.206225680933852</v>
      </c>
      <c r="H1200">
        <v>0.007407407407407001</v>
      </c>
      <c r="I1200">
        <v>-0.536363636363636</v>
      </c>
    </row>
    <row r="1201" spans="1:9">
      <c r="A1201" s="1" t="s">
        <v>1213</v>
      </c>
      <c r="B1201">
        <f>HYPERLINK("https://www.suredividend.com/sure-analysis-research-database/","G-III Apparel Group Ltd.")</f>
        <v>0</v>
      </c>
      <c r="C1201">
        <v>0.072983870967741</v>
      </c>
      <c r="D1201">
        <v>0.300586510263929</v>
      </c>
      <c r="E1201">
        <v>0.7541199736321681</v>
      </c>
      <c r="F1201">
        <v>0.9409190371991241</v>
      </c>
      <c r="G1201">
        <v>0.431414739107046</v>
      </c>
      <c r="H1201">
        <v>-0.08082901554404101</v>
      </c>
      <c r="I1201">
        <v>-0.371664698937426</v>
      </c>
    </row>
    <row r="1202" spans="1:9">
      <c r="A1202" s="1" t="s">
        <v>1214</v>
      </c>
      <c r="B1202">
        <f>HYPERLINK("https://www.suredividend.com/sure-analysis-GILD/","Gilead Sciences, Inc.")</f>
        <v>0</v>
      </c>
      <c r="C1202">
        <v>0.09622132253711201</v>
      </c>
      <c r="D1202">
        <v>0.09446810574693401</v>
      </c>
      <c r="E1202">
        <v>0.049674423893758</v>
      </c>
      <c r="F1202">
        <v>-0.00710658905727</v>
      </c>
      <c r="G1202">
        <v>0.103580011928391</v>
      </c>
      <c r="H1202">
        <v>0.366234185624855</v>
      </c>
      <c r="I1202">
        <v>0.4585001669832761</v>
      </c>
    </row>
    <row r="1203" spans="1:9">
      <c r="A1203" s="1" t="s">
        <v>1215</v>
      </c>
      <c r="B1203">
        <f>HYPERLINK("https://www.suredividend.com/sure-analysis-GIS/","General Mills, Inc.")</f>
        <v>0</v>
      </c>
      <c r="C1203">
        <v>0.06859564527915901</v>
      </c>
      <c r="D1203">
        <v>-0.1136825260048</v>
      </c>
      <c r="E1203">
        <v>-0.242775848390555</v>
      </c>
      <c r="F1203">
        <v>-0.18613880363387</v>
      </c>
      <c r="G1203">
        <v>-0.144940575693541</v>
      </c>
      <c r="H1203">
        <v>0.121557990338753</v>
      </c>
      <c r="I1203">
        <v>0.8394430575186951</v>
      </c>
    </row>
    <row r="1204" spans="1:9">
      <c r="A1204" s="1" t="s">
        <v>1216</v>
      </c>
      <c r="B1204">
        <f>HYPERLINK("https://www.suredividend.com/sure-analysis-research-database/","Glaukos Corporation")</f>
        <v>0</v>
      </c>
      <c r="C1204">
        <v>-0.097468354430379</v>
      </c>
      <c r="D1204">
        <v>-0.141193790149892</v>
      </c>
      <c r="E1204">
        <v>0.41219190140845</v>
      </c>
      <c r="F1204">
        <v>0.469093406593406</v>
      </c>
      <c r="G1204">
        <v>0.201460400674031</v>
      </c>
      <c r="H1204">
        <v>0.42410119840213</v>
      </c>
      <c r="I1204">
        <v>0.06807589880159701</v>
      </c>
    </row>
    <row r="1205" spans="1:9">
      <c r="A1205" s="1" t="s">
        <v>1217</v>
      </c>
      <c r="B1205">
        <f>HYPERLINK("https://www.suredividend.com/sure-analysis-GL/","Globe Life Inc")</f>
        <v>0</v>
      </c>
      <c r="C1205">
        <v>0.070029837459263</v>
      </c>
      <c r="D1205">
        <v>0.023617317127899</v>
      </c>
      <c r="E1205">
        <v>0.082606814807617</v>
      </c>
      <c r="F1205">
        <v>-0.031198631454146</v>
      </c>
      <c r="G1205">
        <v>0.040344201564781</v>
      </c>
      <c r="H1205">
        <v>0.280144774463835</v>
      </c>
      <c r="I1205">
        <v>0.375811273887014</v>
      </c>
    </row>
    <row r="1206" spans="1:9">
      <c r="A1206" s="1" t="s">
        <v>1218</v>
      </c>
      <c r="B1206">
        <f>HYPERLINK("https://www.suredividend.com/sure-analysis-research-database/","Glen Burnie Bancorp")</f>
        <v>0</v>
      </c>
      <c r="C1206">
        <v>-0.234115556644813</v>
      </c>
      <c r="D1206">
        <v>-0.324817025413887</v>
      </c>
      <c r="E1206">
        <v>-0.264803187813377</v>
      </c>
      <c r="F1206">
        <v>-0.345789501229915</v>
      </c>
      <c r="G1206">
        <v>-0.399283946464185</v>
      </c>
      <c r="H1206">
        <v>-0.513907117371987</v>
      </c>
      <c r="I1206">
        <v>-0.486172913091286</v>
      </c>
    </row>
    <row r="1207" spans="1:9">
      <c r="A1207" s="1" t="s">
        <v>1219</v>
      </c>
      <c r="B1207">
        <f>HYPERLINK("https://www.suredividend.com/sure-analysis-research-database/","Great Lakes Dredge &amp; Dock Corporation")</f>
        <v>0</v>
      </c>
      <c r="C1207">
        <v>0.010526315789473</v>
      </c>
      <c r="D1207">
        <v>-0.150442477876106</v>
      </c>
      <c r="E1207">
        <v>0.326424870466321</v>
      </c>
      <c r="F1207">
        <v>0.290756302521008</v>
      </c>
      <c r="G1207">
        <v>0.08169014084507001</v>
      </c>
      <c r="H1207">
        <v>-0.4817813765182181</v>
      </c>
      <c r="I1207">
        <v>0.288590604026845</v>
      </c>
    </row>
    <row r="1208" spans="1:9">
      <c r="A1208" s="1" t="s">
        <v>1220</v>
      </c>
      <c r="B1208">
        <f>HYPERLINK("https://www.suredividend.com/sure-analysis-research-database/","GCI Liberty Inc")</f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</row>
    <row r="1209" spans="1:9">
      <c r="A1209" s="1" t="s">
        <v>1221</v>
      </c>
      <c r="B1209">
        <f>HYPERLINK("https://www.suredividend.com/sure-analysis-GLPI/","Gaming and Leisure Properties Inc")</f>
        <v>0</v>
      </c>
      <c r="C1209">
        <v>0.023157425963037</v>
      </c>
      <c r="D1209">
        <v>-0.007972918416297001</v>
      </c>
      <c r="E1209">
        <v>-0.039986294472452</v>
      </c>
      <c r="F1209">
        <v>-0.05156435120396601</v>
      </c>
      <c r="G1209">
        <v>-0.0009218914429340001</v>
      </c>
      <c r="H1209">
        <v>0.07946710268210501</v>
      </c>
      <c r="I1209">
        <v>0.9086585391181541</v>
      </c>
    </row>
    <row r="1210" spans="1:9">
      <c r="A1210" s="1" t="s">
        <v>1222</v>
      </c>
      <c r="B1210">
        <f>HYPERLINK("https://www.suredividend.com/sure-analysis-research-database/","Greenlight Capital Re Ltd")</f>
        <v>0</v>
      </c>
      <c r="C1210">
        <v>0.041284403669724</v>
      </c>
      <c r="D1210">
        <v>0.09555984555984501</v>
      </c>
      <c r="E1210">
        <v>0.128230616302186</v>
      </c>
      <c r="F1210">
        <v>0.392638036809815</v>
      </c>
      <c r="G1210">
        <v>0.357655502392344</v>
      </c>
      <c r="H1210">
        <v>0.537940379403794</v>
      </c>
      <c r="I1210">
        <v>-0.036502546689303</v>
      </c>
    </row>
    <row r="1211" spans="1:9">
      <c r="A1211" s="1" t="s">
        <v>1223</v>
      </c>
      <c r="B1211">
        <f>HYPERLINK("https://www.suredividend.com/sure-analysis-research-database/","Glatfelter Corporation")</f>
        <v>0</v>
      </c>
      <c r="C1211">
        <v>-0.215</v>
      </c>
      <c r="D1211">
        <v>-0.531343283582089</v>
      </c>
      <c r="E1211">
        <v>-0.6357308584686771</v>
      </c>
      <c r="F1211">
        <v>-0.435251798561151</v>
      </c>
      <c r="G1211">
        <v>-0.445229681978798</v>
      </c>
      <c r="H1211">
        <v>-0.9039814078649621</v>
      </c>
      <c r="I1211">
        <v>-0.901772475020802</v>
      </c>
    </row>
    <row r="1212" spans="1:9">
      <c r="A1212" s="1" t="s">
        <v>1224</v>
      </c>
      <c r="B1212">
        <f>HYPERLINK("https://www.suredividend.com/sure-analysis-research-database/","Glu Mobile Inc")</f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</row>
    <row r="1213" spans="1:9">
      <c r="A1213" s="1" t="s">
        <v>1225</v>
      </c>
      <c r="B1213">
        <f>HYPERLINK("https://www.suredividend.com/sure-analysis-GLW/","Corning, Inc.")</f>
        <v>0</v>
      </c>
      <c r="C1213">
        <v>-0.093677590201919</v>
      </c>
      <c r="D1213">
        <v>-0.183230267612902</v>
      </c>
      <c r="E1213">
        <v>-0.142429386671009</v>
      </c>
      <c r="F1213">
        <v>-0.120485178665501</v>
      </c>
      <c r="G1213">
        <v>-0.108030010327044</v>
      </c>
      <c r="H1213">
        <v>-0.211555407094273</v>
      </c>
      <c r="I1213">
        <v>-0.039588054131034</v>
      </c>
    </row>
    <row r="1214" spans="1:9">
      <c r="A1214" s="1" t="s">
        <v>1226</v>
      </c>
      <c r="B1214">
        <f>HYPERLINK("https://www.suredividend.com/sure-analysis-research-database/","GlycoMimetics Inc")</f>
        <v>0</v>
      </c>
      <c r="C1214">
        <v>-0.091549295774647</v>
      </c>
      <c r="D1214">
        <v>-0.188679245283018</v>
      </c>
      <c r="E1214">
        <v>-0.085106382978723</v>
      </c>
      <c r="F1214">
        <v>-0.574257425742574</v>
      </c>
      <c r="G1214">
        <v>0.8230638778971171</v>
      </c>
      <c r="H1214">
        <v>-0.3707317073170731</v>
      </c>
      <c r="I1214">
        <v>-0.902641509433962</v>
      </c>
    </row>
    <row r="1215" spans="1:9">
      <c r="A1215" s="1" t="s">
        <v>1227</v>
      </c>
      <c r="B1215">
        <f>HYPERLINK("https://www.suredividend.com/sure-analysis-research-database/","General Motors Company")</f>
        <v>0</v>
      </c>
      <c r="C1215">
        <v>-0.113027409916846</v>
      </c>
      <c r="D1215">
        <v>-0.2276584104781</v>
      </c>
      <c r="E1215">
        <v>-0.124598774438284</v>
      </c>
      <c r="F1215">
        <v>-0.137166550823286</v>
      </c>
      <c r="G1215">
        <v>-0.244800134257753</v>
      </c>
      <c r="H1215">
        <v>-0.475504417236236</v>
      </c>
      <c r="I1215">
        <v>-0.137474056836865</v>
      </c>
    </row>
    <row r="1216" spans="1:9">
      <c r="A1216" s="1" t="s">
        <v>1228</v>
      </c>
      <c r="B1216">
        <f>HYPERLINK("https://www.suredividend.com/sure-analysis-research-database/","Gamestop Corporation")</f>
        <v>0</v>
      </c>
      <c r="C1216">
        <v>-0.113710201429499</v>
      </c>
      <c r="D1216">
        <v>-0.345175228036485</v>
      </c>
      <c r="E1216">
        <v>-0.265877287405812</v>
      </c>
      <c r="F1216">
        <v>-0.261105092091007</v>
      </c>
      <c r="G1216">
        <v>-0.4876033057851241</v>
      </c>
      <c r="H1216">
        <v>-0.7364123870718391</v>
      </c>
      <c r="I1216">
        <v>2.717026378896882</v>
      </c>
    </row>
    <row r="1217" spans="1:9">
      <c r="A1217" s="1" t="s">
        <v>1229</v>
      </c>
      <c r="B1217">
        <f>HYPERLINK("https://www.suredividend.com/sure-analysis-research-database/","Globus Medical Inc")</f>
        <v>0</v>
      </c>
      <c r="C1217">
        <v>-0.06654567453115501</v>
      </c>
      <c r="D1217">
        <v>-0.224493214943876</v>
      </c>
      <c r="E1217">
        <v>-0.180417847025495</v>
      </c>
      <c r="F1217">
        <v>-0.376733539787262</v>
      </c>
      <c r="G1217">
        <v>-0.288284132841328</v>
      </c>
      <c r="H1217">
        <v>-0.407298335467349</v>
      </c>
      <c r="I1217">
        <v>-0.153283336381927</v>
      </c>
    </row>
    <row r="1218" spans="1:9">
      <c r="A1218" s="1" t="s">
        <v>1230</v>
      </c>
      <c r="B1218">
        <f>HYPERLINK("https://www.suredividend.com/sure-analysis-GMRE/","Global Medical REIT Inc")</f>
        <v>0</v>
      </c>
      <c r="C1218">
        <v>0.033860045146727</v>
      </c>
      <c r="D1218">
        <v>-0.030421068230412</v>
      </c>
      <c r="E1218">
        <v>0.09865067466266801</v>
      </c>
      <c r="F1218">
        <v>0.036257706883873</v>
      </c>
      <c r="G1218">
        <v>0.152012878397243</v>
      </c>
      <c r="H1218">
        <v>-0.35933303491495</v>
      </c>
      <c r="I1218">
        <v>0.4485648770459391</v>
      </c>
    </row>
    <row r="1219" spans="1:9">
      <c r="A1219" s="1" t="s">
        <v>1231</v>
      </c>
      <c r="B1219">
        <f>HYPERLINK("https://www.suredividend.com/sure-analysis-research-database/","GMS Inc")</f>
        <v>0</v>
      </c>
      <c r="C1219">
        <v>-0.03902284263959301</v>
      </c>
      <c r="D1219">
        <v>-0.18597151303413</v>
      </c>
      <c r="E1219">
        <v>0.058165938864628</v>
      </c>
      <c r="F1219">
        <v>0.216465863453815</v>
      </c>
      <c r="G1219">
        <v>0.332600087989441</v>
      </c>
      <c r="H1219">
        <v>0.124141770272777</v>
      </c>
      <c r="I1219">
        <v>2.358093126385809</v>
      </c>
    </row>
    <row r="1220" spans="1:9">
      <c r="A1220" s="1" t="s">
        <v>1232</v>
      </c>
      <c r="B1220">
        <f>HYPERLINK("https://www.suredividend.com/sure-analysis-research-database/","Genocea Biosciences Inc")</f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</row>
    <row r="1221" spans="1:9">
      <c r="A1221" s="1" t="s">
        <v>1233</v>
      </c>
      <c r="B1221">
        <f>HYPERLINK("https://www.suredividend.com/sure-analysis-research-database/","Genie Energy Ltd")</f>
        <v>0</v>
      </c>
      <c r="C1221">
        <v>0.379286694101508</v>
      </c>
      <c r="D1221">
        <v>0.499314088035309</v>
      </c>
      <c r="E1221">
        <v>0.305352529566786</v>
      </c>
      <c r="F1221">
        <v>0.9760437854356431</v>
      </c>
      <c r="G1221">
        <v>0.9623724116395711</v>
      </c>
      <c r="H1221">
        <v>3.26827974105911</v>
      </c>
      <c r="I1221">
        <v>3.236092094453689</v>
      </c>
    </row>
    <row r="1222" spans="1:9">
      <c r="A1222" s="1" t="s">
        <v>1234</v>
      </c>
      <c r="B1222">
        <f>HYPERLINK("https://www.suredividend.com/sure-analysis-research-database/","Genco Shipping &amp; Trading Limited")</f>
        <v>0</v>
      </c>
      <c r="C1222">
        <v>-0.07042253521126701</v>
      </c>
      <c r="D1222">
        <v>-0.05173095020869101</v>
      </c>
      <c r="E1222">
        <v>-0.05555078561002801</v>
      </c>
      <c r="F1222">
        <v>-0.09894535649680801</v>
      </c>
      <c r="G1222">
        <v>0.057328003972989</v>
      </c>
      <c r="H1222">
        <v>-0.003374934879612</v>
      </c>
      <c r="I1222">
        <v>0.525341468487831</v>
      </c>
    </row>
    <row r="1223" spans="1:9">
      <c r="A1223" s="1" t="s">
        <v>1235</v>
      </c>
      <c r="B1223">
        <f>HYPERLINK("https://www.suredividend.com/sure-analysis-GNL/","Global Net Lease Inc")</f>
        <v>0</v>
      </c>
      <c r="C1223">
        <v>-0.032771310509025</v>
      </c>
      <c r="D1223">
        <v>-0.161614858764349</v>
      </c>
      <c r="E1223">
        <v>-0.169932907003015</v>
      </c>
      <c r="F1223">
        <v>-0.226778181418884</v>
      </c>
      <c r="G1223">
        <v>-0.194079104235615</v>
      </c>
      <c r="H1223">
        <v>-0.325952042883808</v>
      </c>
      <c r="I1223">
        <v>-0.259616227109436</v>
      </c>
    </row>
    <row r="1224" spans="1:9">
      <c r="A1224" s="1" t="s">
        <v>1236</v>
      </c>
      <c r="B1224">
        <f>HYPERLINK("https://www.suredividend.com/sure-analysis-research-database/","GenMark Diagnostics Inc")</f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</row>
    <row r="1225" spans="1:9">
      <c r="A1225" s="1" t="s">
        <v>1237</v>
      </c>
      <c r="B1225">
        <f>HYPERLINK("https://www.suredividend.com/sure-analysis-research-database/","Generac Holdings Inc")</f>
        <v>0</v>
      </c>
      <c r="C1225">
        <v>-0.06352497643732301</v>
      </c>
      <c r="D1225">
        <v>-0.143078913324708</v>
      </c>
      <c r="E1225">
        <v>-0.033463035019455</v>
      </c>
      <c r="F1225">
        <v>-0.012914762567057</v>
      </c>
      <c r="G1225">
        <v>-0.060070002837952</v>
      </c>
      <c r="H1225">
        <v>-0.794532445510567</v>
      </c>
      <c r="I1225">
        <v>0.9008991773483831</v>
      </c>
    </row>
    <row r="1226" spans="1:9">
      <c r="A1226" s="1" t="s">
        <v>1238</v>
      </c>
      <c r="B1226">
        <f>HYPERLINK("https://www.suredividend.com/sure-analysis-GNTX/","Gentex Corp.")</f>
        <v>0</v>
      </c>
      <c r="C1226">
        <v>-0.08227523665431201</v>
      </c>
      <c r="D1226">
        <v>-0.120128912730727</v>
      </c>
      <c r="E1226">
        <v>0.075343188825749</v>
      </c>
      <c r="F1226">
        <v>0.105754113824546</v>
      </c>
      <c r="G1226">
        <v>0.171933889281208</v>
      </c>
      <c r="H1226">
        <v>-0.144613584833541</v>
      </c>
      <c r="I1226">
        <v>0.4985187289476881</v>
      </c>
    </row>
    <row r="1227" spans="1:9">
      <c r="A1227" s="1" t="s">
        <v>1239</v>
      </c>
      <c r="B1227">
        <f>HYPERLINK("https://www.suredividend.com/sure-analysis-research-database/","Guaranty Bancshares, Inc. (TX)")</f>
        <v>0</v>
      </c>
      <c r="C1227">
        <v>0.051583066524368</v>
      </c>
      <c r="D1227">
        <v>-0.054403772148416</v>
      </c>
      <c r="E1227">
        <v>0.296769919851195</v>
      </c>
      <c r="F1227">
        <v>-0.125091752894655</v>
      </c>
      <c r="G1227">
        <v>-0.163023535008041</v>
      </c>
      <c r="H1227">
        <v>-0.183934891476592</v>
      </c>
      <c r="I1227">
        <v>0.249313215840412</v>
      </c>
    </row>
    <row r="1228" spans="1:9">
      <c r="A1228" s="1" t="s">
        <v>1240</v>
      </c>
      <c r="B1228">
        <f>HYPERLINK("https://www.suredividend.com/sure-analysis-research-database/","Genworth Financial Inc")</f>
        <v>0</v>
      </c>
      <c r="C1228">
        <v>0.025252525252525</v>
      </c>
      <c r="D1228">
        <v>0.011627906976744</v>
      </c>
      <c r="E1228">
        <v>0.113345521023765</v>
      </c>
      <c r="F1228">
        <v>0.151228733459357</v>
      </c>
      <c r="G1228">
        <v>0.282105263157894</v>
      </c>
      <c r="H1228">
        <v>0.341409691629955</v>
      </c>
      <c r="I1228">
        <v>0.463942307692307</v>
      </c>
    </row>
    <row r="1229" spans="1:9">
      <c r="A1229" s="1" t="s">
        <v>1241</v>
      </c>
      <c r="B1229">
        <f>HYPERLINK("https://www.suredividend.com/sure-analysis-research-database/","Gogo Inc")</f>
        <v>0</v>
      </c>
      <c r="C1229">
        <v>-0.08866155157715201</v>
      </c>
      <c r="D1229">
        <v>-0.287808127914723</v>
      </c>
      <c r="E1229">
        <v>-0.186453576864535</v>
      </c>
      <c r="F1229">
        <v>-0.275745257452574</v>
      </c>
      <c r="G1229">
        <v>-0.277214334009465</v>
      </c>
      <c r="H1229">
        <v>-0.35015197568389</v>
      </c>
      <c r="I1229">
        <v>0.9123434704830051</v>
      </c>
    </row>
    <row r="1230" spans="1:9">
      <c r="A1230" s="1" t="s">
        <v>1242</v>
      </c>
      <c r="B1230">
        <f>HYPERLINK("https://www.suredividend.com/sure-analysis-research-database/","Acushnet Holdings Corp")</f>
        <v>0</v>
      </c>
      <c r="C1230">
        <v>0.036240090600226</v>
      </c>
      <c r="D1230">
        <v>-0.064144459274942</v>
      </c>
      <c r="E1230">
        <v>0.09555472186080601</v>
      </c>
      <c r="F1230">
        <v>0.308033565713795</v>
      </c>
      <c r="G1230">
        <v>0.249661407769752</v>
      </c>
      <c r="H1230">
        <v>0.076968950337803</v>
      </c>
      <c r="I1230">
        <v>1.408623662424154</v>
      </c>
    </row>
    <row r="1231" spans="1:9">
      <c r="A1231" s="1" t="s">
        <v>1243</v>
      </c>
      <c r="B1231">
        <f>HYPERLINK("https://www.suredividend.com/sure-analysis-GOOD/","Gladstone Commercial Corp")</f>
        <v>0</v>
      </c>
      <c r="C1231">
        <v>0.06231752057814501</v>
      </c>
      <c r="D1231">
        <v>-0.012783192001012</v>
      </c>
      <c r="E1231">
        <v>0.152801640525411</v>
      </c>
      <c r="F1231">
        <v>-0.242709256180293</v>
      </c>
      <c r="G1231">
        <v>-0.161797300020149</v>
      </c>
      <c r="H1231">
        <v>-0.309126942388494</v>
      </c>
      <c r="I1231">
        <v>0.026577499197986</v>
      </c>
    </row>
    <row r="1232" spans="1:9">
      <c r="A1232" s="1" t="s">
        <v>1244</v>
      </c>
      <c r="B1232">
        <f>HYPERLINK("https://www.suredividend.com/sure-analysis-research-database/","Alphabet Inc")</f>
        <v>0</v>
      </c>
      <c r="C1232">
        <v>-0.048753421617222</v>
      </c>
      <c r="D1232">
        <v>-0.000466417910447</v>
      </c>
      <c r="E1232">
        <v>0.21324778260049</v>
      </c>
      <c r="F1232">
        <v>0.449115293587287</v>
      </c>
      <c r="G1232">
        <v>0.476742850579993</v>
      </c>
      <c r="H1232">
        <v>-0.118487896176549</v>
      </c>
      <c r="I1232">
        <v>1.431106363266811</v>
      </c>
    </row>
    <row r="1233" spans="1:9">
      <c r="A1233" s="1" t="s">
        <v>1245</v>
      </c>
      <c r="B1233">
        <f>HYPERLINK("https://www.suredividend.com/sure-analysis-research-database/","Alphabet Inc")</f>
        <v>0</v>
      </c>
      <c r="C1233">
        <v>-0.04978758291719401</v>
      </c>
      <c r="D1233">
        <v>-0.00693254400997</v>
      </c>
      <c r="E1233">
        <v>0.210501329282187</v>
      </c>
      <c r="F1233">
        <v>0.44497336506857</v>
      </c>
      <c r="G1233">
        <v>0.465907784293434</v>
      </c>
      <c r="H1233">
        <v>-0.123373386278857</v>
      </c>
      <c r="I1233">
        <v>1.379676898524484</v>
      </c>
    </row>
    <row r="1234" spans="1:9">
      <c r="A1234" s="1" t="s">
        <v>1246</v>
      </c>
      <c r="B1234">
        <f>HYPERLINK("https://www.suredividend.com/sure-analysis-research-database/","Gold Resource Corp")</f>
        <v>0</v>
      </c>
      <c r="C1234">
        <v>0.004961548002976</v>
      </c>
      <c r="D1234">
        <v>-0.30155172413793</v>
      </c>
      <c r="E1234">
        <v>-0.58025075121749</v>
      </c>
      <c r="F1234">
        <v>-0.735228758169934</v>
      </c>
      <c r="G1234">
        <v>-0.731917146449606</v>
      </c>
      <c r="H1234">
        <v>-0.768725736469513</v>
      </c>
      <c r="I1234">
        <v>-0.897250545325419</v>
      </c>
    </row>
    <row r="1235" spans="1:9">
      <c r="A1235" s="1" t="s">
        <v>1247</v>
      </c>
      <c r="B1235">
        <f>HYPERLINK("https://www.suredividend.com/sure-analysis-research-database/","Gossamer Bio Inc")</f>
        <v>0</v>
      </c>
      <c r="C1235">
        <v>-0.32561166059344</v>
      </c>
      <c r="D1235">
        <v>-0.6271942446043161</v>
      </c>
      <c r="E1235">
        <v>-0.588730158730158</v>
      </c>
      <c r="F1235">
        <v>-0.7611981566820271</v>
      </c>
      <c r="G1235">
        <v>-0.9511132075471691</v>
      </c>
      <c r="H1235">
        <v>-0.9595156250000001</v>
      </c>
      <c r="I1235">
        <v>-0.9711148272017831</v>
      </c>
    </row>
    <row r="1236" spans="1:9">
      <c r="A1236" s="1" t="s">
        <v>1248</v>
      </c>
      <c r="B1236">
        <f>HYPERLINK("https://www.suredividend.com/sure-analysis-GPC/","Genuine Parts Co.")</f>
        <v>0</v>
      </c>
      <c r="C1236">
        <v>-0.09980713596914101</v>
      </c>
      <c r="D1236">
        <v>-0.153439907447772</v>
      </c>
      <c r="E1236">
        <v>-0.225799037121244</v>
      </c>
      <c r="F1236">
        <v>-0.232898100294362</v>
      </c>
      <c r="G1236">
        <v>-0.23600353090418</v>
      </c>
      <c r="H1236">
        <v>0.025085534912833</v>
      </c>
      <c r="I1236">
        <v>0.5508024563173041</v>
      </c>
    </row>
    <row r="1237" spans="1:9">
      <c r="A1237" s="1" t="s">
        <v>1249</v>
      </c>
      <c r="B1237">
        <f>HYPERLINK("https://www.suredividend.com/sure-analysis-research-database/","Group 1 Automotive, Inc.")</f>
        <v>0</v>
      </c>
      <c r="C1237">
        <v>0.024049324091448</v>
      </c>
      <c r="D1237">
        <v>0.013439125246007</v>
      </c>
      <c r="E1237">
        <v>0.199328150192966</v>
      </c>
      <c r="F1237">
        <v>0.490957851629036</v>
      </c>
      <c r="G1237">
        <v>0.599341148719408</v>
      </c>
      <c r="H1237">
        <v>0.422047182122653</v>
      </c>
      <c r="I1237">
        <v>3.746647827522428</v>
      </c>
    </row>
    <row r="1238" spans="1:9">
      <c r="A1238" s="1" t="s">
        <v>1250</v>
      </c>
      <c r="B1238">
        <f>HYPERLINK("https://www.suredividend.com/sure-analysis-research-database/","Graphic Packaging Holding Co")</f>
        <v>0</v>
      </c>
      <c r="C1238">
        <v>0.002289377289377</v>
      </c>
      <c r="D1238">
        <v>-0.05671760133067801</v>
      </c>
      <c r="E1238">
        <v>-0.131359547306976</v>
      </c>
      <c r="F1238">
        <v>-0.003718419603398</v>
      </c>
      <c r="G1238">
        <v>-0.002815258885376</v>
      </c>
      <c r="H1238">
        <v>0.110902475044025</v>
      </c>
      <c r="I1238">
        <v>1.119029641246055</v>
      </c>
    </row>
    <row r="1239" spans="1:9">
      <c r="A1239" s="1" t="s">
        <v>1251</v>
      </c>
      <c r="B1239">
        <f>HYPERLINK("https://www.suredividend.com/sure-analysis-research-database/","Granite Point Mortgage Trust Inc")</f>
        <v>0</v>
      </c>
      <c r="C1239">
        <v>0</v>
      </c>
      <c r="D1239">
        <v>-0.140300059417706</v>
      </c>
      <c r="E1239">
        <v>0.211851541642673</v>
      </c>
      <c r="F1239">
        <v>-0.02765818930214</v>
      </c>
      <c r="G1239">
        <v>-0.286517806234879</v>
      </c>
      <c r="H1239">
        <v>-0.5517865613413481</v>
      </c>
      <c r="I1239">
        <v>-0.5974858076799361</v>
      </c>
    </row>
    <row r="1240" spans="1:9">
      <c r="A1240" s="1" t="s">
        <v>1252</v>
      </c>
      <c r="B1240">
        <f>HYPERLINK("https://www.suredividend.com/sure-analysis-research-database/","Global Payments, Inc.")</f>
        <v>0</v>
      </c>
      <c r="C1240">
        <v>-0.033733068760244</v>
      </c>
      <c r="D1240">
        <v>-0.07983801862835001</v>
      </c>
      <c r="E1240">
        <v>0.116983028839105</v>
      </c>
      <c r="F1240">
        <v>0.135581311170571</v>
      </c>
      <c r="G1240">
        <v>0.051080642285349</v>
      </c>
      <c r="H1240">
        <v>-0.138984770793133</v>
      </c>
      <c r="I1240">
        <v>0.003797401419477</v>
      </c>
    </row>
    <row r="1241" spans="1:9">
      <c r="A1241" s="1" t="s">
        <v>1253</v>
      </c>
      <c r="B1241">
        <f>HYPERLINK("https://www.suredividend.com/sure-analysis-research-database/","Gulfport Energy Corp.")</f>
        <v>0</v>
      </c>
      <c r="C1241">
        <v>0.140090435969627</v>
      </c>
      <c r="D1241">
        <v>0.300535279805352</v>
      </c>
      <c r="E1241">
        <v>0.6378232626547361</v>
      </c>
      <c r="F1241">
        <v>0.8146387832699621</v>
      </c>
      <c r="G1241">
        <v>0.549153721307674</v>
      </c>
      <c r="H1241">
        <v>0.6197575757575751</v>
      </c>
      <c r="I1241">
        <v>0.8318026045236461</v>
      </c>
    </row>
    <row r="1242" spans="1:9">
      <c r="A1242" s="1" t="s">
        <v>1254</v>
      </c>
      <c r="B1242">
        <f>HYPERLINK("https://www.suredividend.com/sure-analysis-research-database/","Green Plains Inc")</f>
        <v>0</v>
      </c>
      <c r="C1242">
        <v>-0.037315987675453</v>
      </c>
      <c r="D1242">
        <v>-0.194730813287514</v>
      </c>
      <c r="E1242">
        <v>-0.165826164342924</v>
      </c>
      <c r="F1242">
        <v>-0.07803278688524501</v>
      </c>
      <c r="G1242">
        <v>0.016630513376717</v>
      </c>
      <c r="H1242">
        <v>-0.270179081235401</v>
      </c>
      <c r="I1242">
        <v>0.599381178263886</v>
      </c>
    </row>
    <row r="1243" spans="1:9">
      <c r="A1243" s="1" t="s">
        <v>1255</v>
      </c>
      <c r="B1243">
        <f>HYPERLINK("https://www.suredividend.com/sure-analysis-research-database/","GoPro Inc.")</f>
        <v>0</v>
      </c>
      <c r="C1243">
        <v>-0.112582781456953</v>
      </c>
      <c r="D1243">
        <v>-0.333333333333333</v>
      </c>
      <c r="E1243">
        <v>-0.346341463414634</v>
      </c>
      <c r="F1243">
        <v>-0.461847389558232</v>
      </c>
      <c r="G1243">
        <v>-0.486590038314176</v>
      </c>
      <c r="H1243">
        <v>-0.6901734104046241</v>
      </c>
      <c r="I1243">
        <v>-0.50735294117647</v>
      </c>
    </row>
    <row r="1244" spans="1:9">
      <c r="A1244" s="1" t="s">
        <v>1256</v>
      </c>
      <c r="B1244">
        <f>HYPERLINK("https://www.suredividend.com/sure-analysis-GPS/","Gap, Inc.")</f>
        <v>0</v>
      </c>
      <c r="C1244">
        <v>0.274011299435028</v>
      </c>
      <c r="D1244">
        <v>0.325716749299418</v>
      </c>
      <c r="E1244">
        <v>0.566280402393989</v>
      </c>
      <c r="F1244">
        <v>0.272525488130619</v>
      </c>
      <c r="G1244">
        <v>0.32662666196023</v>
      </c>
      <c r="H1244">
        <v>-0.349866177184291</v>
      </c>
      <c r="I1244">
        <v>-0.41492903906527</v>
      </c>
    </row>
    <row r="1245" spans="1:9">
      <c r="A1245" s="1" t="s">
        <v>1257</v>
      </c>
      <c r="B1245">
        <f>HYPERLINK("https://www.suredividend.com/sure-analysis-research-database/","GP Strategies Corp.")</f>
        <v>0</v>
      </c>
      <c r="C1245">
        <v>0.005303760848601</v>
      </c>
      <c r="D1245">
        <v>0.322969543147208</v>
      </c>
      <c r="E1245">
        <v>0.232998225901833</v>
      </c>
      <c r="F1245">
        <v>0.7580101180438451</v>
      </c>
      <c r="G1245">
        <v>0.9763033175355451</v>
      </c>
      <c r="H1245">
        <v>0.8851717902350811</v>
      </c>
      <c r="I1245">
        <v>-0.134854771784232</v>
      </c>
    </row>
    <row r="1246" spans="1:9">
      <c r="A1246" s="1" t="s">
        <v>1258</v>
      </c>
      <c r="B1246">
        <f>HYPERLINK("https://www.suredividend.com/sure-analysis-research-database/","W.R. Grace &amp; Co.")</f>
        <v>0</v>
      </c>
      <c r="C1246">
        <v>0.008210890233361001</v>
      </c>
      <c r="D1246">
        <v>0.013466550825369</v>
      </c>
      <c r="E1246">
        <v>0.178282828282828</v>
      </c>
      <c r="F1246">
        <v>0.283873890895483</v>
      </c>
      <c r="G1246">
        <v>0.7397421333777441</v>
      </c>
      <c r="H1246">
        <v>0.068696462109297</v>
      </c>
      <c r="I1246">
        <v>0.028803257362506</v>
      </c>
    </row>
    <row r="1247" spans="1:9">
      <c r="A1247" s="1" t="s">
        <v>1259</v>
      </c>
      <c r="B1247">
        <f>HYPERLINK("https://www.suredividend.com/sure-analysis-research-database/","Green Brick Partners Inc")</f>
        <v>0</v>
      </c>
      <c r="C1247">
        <v>0.042735042735042</v>
      </c>
      <c r="D1247">
        <v>-0.23076923076923</v>
      </c>
      <c r="E1247">
        <v>0.16253743533896</v>
      </c>
      <c r="F1247">
        <v>0.7622781675608751</v>
      </c>
      <c r="G1247">
        <v>0.9037004012483281</v>
      </c>
      <c r="H1247">
        <v>0.637269938650306</v>
      </c>
      <c r="I1247">
        <v>3.499473129610116</v>
      </c>
    </row>
    <row r="1248" spans="1:9">
      <c r="A1248" s="1" t="s">
        <v>1260</v>
      </c>
      <c r="B1248">
        <f>HYPERLINK("https://www.suredividend.com/sure-analysis-GRC/","Gorman-Rupp Co.")</f>
        <v>0</v>
      </c>
      <c r="C1248">
        <v>-0.066358024691357</v>
      </c>
      <c r="D1248">
        <v>-0.05546379069702</v>
      </c>
      <c r="E1248">
        <v>0.221861834691182</v>
      </c>
      <c r="F1248">
        <v>0.203084669320744</v>
      </c>
      <c r="G1248">
        <v>0.162067057991948</v>
      </c>
      <c r="H1248">
        <v>-0.26260878044024</v>
      </c>
      <c r="I1248">
        <v>0.005845542026055001</v>
      </c>
    </row>
    <row r="1249" spans="1:9">
      <c r="A1249" s="1" t="s">
        <v>1261</v>
      </c>
      <c r="B1249">
        <f>HYPERLINK("https://www.suredividend.com/sure-analysis-GRMN/","Garmin Ltd")</f>
        <v>0</v>
      </c>
      <c r="C1249">
        <v>0.105690271471355</v>
      </c>
      <c r="D1249">
        <v>0.069712145088296</v>
      </c>
      <c r="E1249">
        <v>0.19417530430863</v>
      </c>
      <c r="F1249">
        <v>0.266960611860611</v>
      </c>
      <c r="G1249">
        <v>0.393775322687301</v>
      </c>
      <c r="H1249">
        <v>-0.165142720839627</v>
      </c>
      <c r="I1249">
        <v>0.9587071334932931</v>
      </c>
    </row>
    <row r="1250" spans="1:9">
      <c r="A1250" s="1" t="s">
        <v>1262</v>
      </c>
      <c r="B1250">
        <f>HYPERLINK("https://www.suredividend.com/sure-analysis-GROW/","U.S. Global Investors, Inc.")</f>
        <v>0</v>
      </c>
      <c r="C1250">
        <v>-0.026642984014209</v>
      </c>
      <c r="D1250">
        <v>-0.125215503479982</v>
      </c>
      <c r="E1250">
        <v>0.05271246350084501</v>
      </c>
      <c r="F1250">
        <v>-0.017110879936865</v>
      </c>
      <c r="G1250">
        <v>-0.026435474701534</v>
      </c>
      <c r="H1250">
        <v>-0.541982180766594</v>
      </c>
      <c r="I1250">
        <v>1.164981036662453</v>
      </c>
    </row>
    <row r="1251" spans="1:9">
      <c r="A1251" s="1" t="s">
        <v>1263</v>
      </c>
      <c r="B1251">
        <f>HYPERLINK("https://www.suredividend.com/sure-analysis-research-database/","Groupon Inc")</f>
        <v>0</v>
      </c>
      <c r="C1251">
        <v>-0.135873015873015</v>
      </c>
      <c r="D1251">
        <v>0.829301075268817</v>
      </c>
      <c r="E1251">
        <v>3.062686567164179</v>
      </c>
      <c r="F1251">
        <v>0.586247086247086</v>
      </c>
      <c r="G1251">
        <v>0.9088359046283311</v>
      </c>
      <c r="H1251">
        <v>-0.387212967131922</v>
      </c>
      <c r="I1251">
        <v>-0.7974702380952381</v>
      </c>
    </row>
    <row r="1252" spans="1:9">
      <c r="A1252" s="1" t="s">
        <v>1264</v>
      </c>
      <c r="B1252">
        <f>HYPERLINK("https://www.suredividend.com/sure-analysis-research-database/","Gritstone Bio Inc")</f>
        <v>0</v>
      </c>
      <c r="C1252">
        <v>0.063953488372093</v>
      </c>
      <c r="D1252">
        <v>-0.02139037433155</v>
      </c>
      <c r="E1252">
        <v>-0.25</v>
      </c>
      <c r="F1252">
        <v>-0.469565217391304</v>
      </c>
      <c r="G1252">
        <v>-0.362369337979094</v>
      </c>
      <c r="H1252">
        <v>-0.8379814077025231</v>
      </c>
      <c r="I1252">
        <v>-0.9045383411580591</v>
      </c>
    </row>
    <row r="1253" spans="1:9">
      <c r="A1253" s="1" t="s">
        <v>1265</v>
      </c>
      <c r="B1253">
        <f>HYPERLINK("https://www.suredividend.com/sure-analysis-research-database/","Just Eat Takeaway.com N.V.")</f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</row>
    <row r="1254" spans="1:9">
      <c r="A1254" s="1" t="s">
        <v>1266</v>
      </c>
      <c r="B1254">
        <f>HYPERLINK("https://www.suredividend.com/sure-analysis-GS/","Goldman Sachs Group, Inc.")</f>
        <v>0</v>
      </c>
      <c r="C1254">
        <v>-0.014882260596546</v>
      </c>
      <c r="D1254">
        <v>-0.09889987438131201</v>
      </c>
      <c r="E1254">
        <v>-0.04374961332143101</v>
      </c>
      <c r="F1254">
        <v>-0.064978008685667</v>
      </c>
      <c r="G1254">
        <v>-0.076093053825176</v>
      </c>
      <c r="H1254">
        <v>-0.218408453823299</v>
      </c>
      <c r="I1254">
        <v>0.5320581807102071</v>
      </c>
    </row>
    <row r="1255" spans="1:9">
      <c r="A1255" s="1" t="s">
        <v>1267</v>
      </c>
      <c r="B1255">
        <f>HYPERLINK("https://www.suredividend.com/sure-analysis-research-database/","Globalstar Inc.")</f>
        <v>0</v>
      </c>
      <c r="C1255">
        <v>0.131147540983606</v>
      </c>
      <c r="D1255">
        <v>0.232142857142856</v>
      </c>
      <c r="E1255">
        <v>0.580574962776314</v>
      </c>
      <c r="F1255">
        <v>0.037593984962405</v>
      </c>
      <c r="G1255">
        <v>-0.36405529953917</v>
      </c>
      <c r="H1255">
        <v>-0.178571428571428</v>
      </c>
      <c r="I1255">
        <v>2.631578947368421</v>
      </c>
    </row>
    <row r="1256" spans="1:9">
      <c r="A1256" s="1" t="s">
        <v>1268</v>
      </c>
      <c r="B1256">
        <f>HYPERLINK("https://www.suredividend.com/sure-analysis-research-database/","Great Southern Bancorp, Inc.")</f>
        <v>0</v>
      </c>
      <c r="C1256">
        <v>0.07201343690951001</v>
      </c>
      <c r="D1256">
        <v>-0.059098422432744</v>
      </c>
      <c r="E1256">
        <v>0.07664960811725401</v>
      </c>
      <c r="F1256">
        <v>-0.106992948287441</v>
      </c>
      <c r="G1256">
        <v>-0.11716802163336</v>
      </c>
      <c r="H1256">
        <v>-0.03300033142370101</v>
      </c>
      <c r="I1256">
        <v>0.13069916891618</v>
      </c>
    </row>
    <row r="1257" spans="1:9">
      <c r="A1257" s="1" t="s">
        <v>1269</v>
      </c>
      <c r="B1257">
        <f>HYPERLINK("https://www.suredividend.com/sure-analysis-research-database/","Goosehead Insurance Inc")</f>
        <v>0</v>
      </c>
      <c r="C1257">
        <v>-0.039282316161478</v>
      </c>
      <c r="D1257">
        <v>0.101449275362318</v>
      </c>
      <c r="E1257">
        <v>0.218620689655172</v>
      </c>
      <c r="F1257">
        <v>1.05824111822947</v>
      </c>
      <c r="G1257">
        <v>0.838231469440832</v>
      </c>
      <c r="H1257">
        <v>-0.483031012287887</v>
      </c>
      <c r="I1257">
        <v>1.036353578744479</v>
      </c>
    </row>
    <row r="1258" spans="1:9">
      <c r="A1258" s="1" t="s">
        <v>1270</v>
      </c>
      <c r="B1258">
        <f>HYPERLINK("https://www.suredividend.com/sure-analysis-research-database/","GSI Technology Inc")</f>
        <v>0</v>
      </c>
      <c r="C1258">
        <v>-0.114068441064638</v>
      </c>
      <c r="D1258">
        <v>-0.4568764568764561</v>
      </c>
      <c r="E1258">
        <v>0.553333333333333</v>
      </c>
      <c r="F1258">
        <v>0.346820809248554</v>
      </c>
      <c r="G1258">
        <v>0.259459459459459</v>
      </c>
      <c r="H1258">
        <v>-0.5883392226148411</v>
      </c>
      <c r="I1258">
        <v>-0.610367892976588</v>
      </c>
    </row>
    <row r="1259" spans="1:9">
      <c r="A1259" s="1" t="s">
        <v>1271</v>
      </c>
      <c r="B1259">
        <f>HYPERLINK("https://www.suredividend.com/sure-analysis-research-database/","GreenSky Inc")</f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</row>
    <row r="1260" spans="1:9">
      <c r="A1260" s="1" t="s">
        <v>1272</v>
      </c>
      <c r="B1260">
        <f>HYPERLINK("https://www.suredividend.com/sure-analysis-research-database/","Goodyear Tire &amp; Rubber Co.")</f>
        <v>0</v>
      </c>
      <c r="C1260">
        <v>-0.04773269689737401</v>
      </c>
      <c r="D1260">
        <v>-0.240482233502538</v>
      </c>
      <c r="E1260">
        <v>0.104243542435424</v>
      </c>
      <c r="F1260">
        <v>0.179310344827586</v>
      </c>
      <c r="G1260">
        <v>0.183976261127596</v>
      </c>
      <c r="H1260">
        <v>-0.432432432432432</v>
      </c>
      <c r="I1260">
        <v>-0.416805928408908</v>
      </c>
    </row>
    <row r="1261" spans="1:9">
      <c r="A1261" s="1" t="s">
        <v>1273</v>
      </c>
      <c r="B1261">
        <f>HYPERLINK("https://www.suredividend.com/sure-analysis-research-database/","Gates Industrial Corporation plc")</f>
        <v>0</v>
      </c>
      <c r="C1261">
        <v>-0.029642545771577</v>
      </c>
      <c r="D1261">
        <v>-0.174332344213649</v>
      </c>
      <c r="E1261">
        <v>-0.173719376391982</v>
      </c>
      <c r="F1261">
        <v>-0.024539877300613</v>
      </c>
      <c r="G1261">
        <v>0.017367458866544</v>
      </c>
      <c r="H1261">
        <v>-0.355156431054461</v>
      </c>
      <c r="I1261">
        <v>-0.257505003335557</v>
      </c>
    </row>
    <row r="1262" spans="1:9">
      <c r="A1262" s="1" t="s">
        <v>1274</v>
      </c>
      <c r="B1262">
        <f>HYPERLINK("https://www.suredividend.com/sure-analysis-research-database/","G1 Therapeutics Inc")</f>
        <v>0</v>
      </c>
      <c r="C1262">
        <v>0.198529411764705</v>
      </c>
      <c r="D1262">
        <v>-0.238317757009345</v>
      </c>
      <c r="E1262">
        <v>-0.451178451178451</v>
      </c>
      <c r="F1262">
        <v>-0.699815837937384</v>
      </c>
      <c r="G1262">
        <v>-0.801461632155907</v>
      </c>
      <c r="H1262">
        <v>-0.8926925608953251</v>
      </c>
      <c r="I1262">
        <v>-0.9610234337637491</v>
      </c>
    </row>
    <row r="1263" spans="1:9">
      <c r="A1263" s="1" t="s">
        <v>1275</v>
      </c>
      <c r="B1263">
        <f>HYPERLINK("https://www.suredividend.com/sure-analysis-research-database/","Good Times Restaurants Inc.")</f>
        <v>0</v>
      </c>
      <c r="C1263">
        <v>-0.078231292517006</v>
      </c>
      <c r="D1263">
        <v>-0.158385093167701</v>
      </c>
      <c r="E1263">
        <v>0.026476269838263</v>
      </c>
      <c r="F1263">
        <v>0.209821428571428</v>
      </c>
      <c r="G1263">
        <v>0.09274193548387101</v>
      </c>
      <c r="H1263">
        <v>-0.4469387755102041</v>
      </c>
      <c r="I1263">
        <v>-0.377011494252873</v>
      </c>
    </row>
    <row r="1264" spans="1:9">
      <c r="A1264" s="1" t="s">
        <v>1276</v>
      </c>
      <c r="B1264">
        <f>HYPERLINK("https://www.suredividend.com/sure-analysis-research-database/","Chart Industries Inc")</f>
        <v>0</v>
      </c>
      <c r="C1264">
        <v>-0.266034679306413</v>
      </c>
      <c r="D1264">
        <v>-0.284870805565298</v>
      </c>
      <c r="E1264">
        <v>0.001801654246171</v>
      </c>
      <c r="F1264">
        <v>0.06161589863750701</v>
      </c>
      <c r="G1264">
        <v>-0.441262446332328</v>
      </c>
      <c r="H1264">
        <v>-0.332041061483018</v>
      </c>
      <c r="I1264">
        <v>0.729534850841227</v>
      </c>
    </row>
    <row r="1265" spans="1:9">
      <c r="A1265" s="1" t="s">
        <v>1277</v>
      </c>
      <c r="B1265">
        <f>HYPERLINK("https://www.suredividend.com/sure-analysis-research-database/","Gray Television, Inc.")</f>
        <v>0</v>
      </c>
      <c r="C1265">
        <v>0.054977711738484</v>
      </c>
      <c r="D1265">
        <v>-0.200756467118445</v>
      </c>
      <c r="E1265">
        <v>-0.025113622320778</v>
      </c>
      <c r="F1265">
        <v>-0.346278853502012</v>
      </c>
      <c r="G1265">
        <v>-0.4820353820900961</v>
      </c>
      <c r="H1265">
        <v>-0.6931361913447111</v>
      </c>
      <c r="I1265">
        <v>-0.56626653227038</v>
      </c>
    </row>
    <row r="1266" spans="1:9">
      <c r="A1266" s="1" t="s">
        <v>1278</v>
      </c>
      <c r="B1266">
        <f>HYPERLINK("https://www.suredividend.com/sure-analysis-research-database/","Triple-S Management Corp")</f>
        <v>0</v>
      </c>
      <c r="C1266">
        <v>0.008688340807174001</v>
      </c>
      <c r="D1266">
        <v>0.019835647492207</v>
      </c>
      <c r="E1266">
        <v>0.479243732018084</v>
      </c>
      <c r="F1266">
        <v>0.008688340807174001</v>
      </c>
      <c r="G1266">
        <v>0.536064874093043</v>
      </c>
      <c r="H1266">
        <v>1.042565266742338</v>
      </c>
      <c r="I1266">
        <v>0.9795608554079021</v>
      </c>
    </row>
    <row r="1267" spans="1:9">
      <c r="A1267" s="1" t="s">
        <v>1279</v>
      </c>
      <c r="B1267">
        <f>HYPERLINK("https://www.suredividend.com/sure-analysis-research-database/","GTT Communications Inc")</f>
        <v>0</v>
      </c>
      <c r="C1267">
        <v>-0.208053691275167</v>
      </c>
      <c r="D1267">
        <v>0.296703296703296</v>
      </c>
      <c r="E1267">
        <v>-0.264797507788162</v>
      </c>
      <c r="F1267">
        <v>0</v>
      </c>
      <c r="G1267">
        <v>-0.712195121951219</v>
      </c>
      <c r="H1267">
        <v>-0.868961687951138</v>
      </c>
      <c r="I1267">
        <v>-0.868743047830923</v>
      </c>
    </row>
    <row r="1268" spans="1:9">
      <c r="A1268" s="1" t="s">
        <v>1280</v>
      </c>
      <c r="B1268">
        <f>HYPERLINK("https://www.suredividend.com/sure-analysis-research-database/","Garrett Motion Inc")</f>
        <v>0</v>
      </c>
      <c r="C1268">
        <v>-0.023809523809523</v>
      </c>
      <c r="D1268">
        <v>-0.06106870229007601</v>
      </c>
      <c r="E1268">
        <v>-0.122473246135553</v>
      </c>
      <c r="F1268">
        <v>-0.031496062992126</v>
      </c>
      <c r="G1268">
        <v>-0.019920318725099</v>
      </c>
      <c r="H1268">
        <v>0.026425591098748</v>
      </c>
      <c r="I1268">
        <v>0.285714285714285</v>
      </c>
    </row>
    <row r="1269" spans="1:9">
      <c r="A1269" s="1" t="s">
        <v>1281</v>
      </c>
      <c r="B1269">
        <f>HYPERLINK("https://www.suredividend.com/sure-analysis-research-database/","Getty Realty Corp.")</f>
        <v>0</v>
      </c>
      <c r="C1269">
        <v>0.03438077634011</v>
      </c>
      <c r="D1269">
        <v>-0.113066577064624</v>
      </c>
      <c r="E1269">
        <v>-0.125357140624316</v>
      </c>
      <c r="F1269">
        <v>-0.13942644833483</v>
      </c>
      <c r="G1269">
        <v>-0.06265598670700101</v>
      </c>
      <c r="H1269">
        <v>-0.044953408198791</v>
      </c>
      <c r="I1269">
        <v>0.358852697065208</v>
      </c>
    </row>
    <row r="1270" spans="1:9">
      <c r="A1270" s="1" t="s">
        <v>1282</v>
      </c>
      <c r="B1270">
        <f>HYPERLINK("https://www.suredividend.com/sure-analysis-research-database/","GTY Technology Holdings Inc")</f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</row>
    <row r="1271" spans="1:9">
      <c r="A1271" s="1" t="s">
        <v>1283</v>
      </c>
      <c r="B1271">
        <f>HYPERLINK("https://www.suredividend.com/sure-analysis-research-database/","Visionary Education Technology Holdings Group Inc")</f>
        <v>0</v>
      </c>
      <c r="C1271">
        <v>0.126634549208534</v>
      </c>
      <c r="D1271">
        <v>-0.558522114347357</v>
      </c>
      <c r="E1271">
        <v>-0.7734569609742591</v>
      </c>
      <c r="F1271">
        <v>-0.584095528455284</v>
      </c>
      <c r="G1271">
        <v>-0.825851063829787</v>
      </c>
      <c r="H1271">
        <v>-0.993452</v>
      </c>
      <c r="I1271">
        <v>-0.993452</v>
      </c>
    </row>
    <row r="1272" spans="1:9">
      <c r="A1272" s="1" t="s">
        <v>1284</v>
      </c>
      <c r="B1272">
        <f>HYPERLINK("https://www.suredividend.com/sure-analysis-research-database/","Granite Construction Inc.")</f>
        <v>0</v>
      </c>
      <c r="C1272">
        <v>0.200106866150147</v>
      </c>
      <c r="D1272">
        <v>0.076562477531671</v>
      </c>
      <c r="E1272">
        <v>0.231582468319378</v>
      </c>
      <c r="F1272">
        <v>0.293685650514796</v>
      </c>
      <c r="G1272">
        <v>0.348098796554725</v>
      </c>
      <c r="H1272">
        <v>0.261780031179337</v>
      </c>
      <c r="I1272">
        <v>0.013087594187601</v>
      </c>
    </row>
    <row r="1273" spans="1:9">
      <c r="A1273" s="1" t="s">
        <v>1285</v>
      </c>
      <c r="B1273">
        <f>HYPERLINK("https://www.suredividend.com/sure-analysis-research-database/","GSE Systems, Inc.")</f>
        <v>0</v>
      </c>
      <c r="C1273">
        <v>0.5650000000000001</v>
      </c>
      <c r="D1273">
        <v>-0.308287292817679</v>
      </c>
      <c r="E1273">
        <v>-0.49516129032258</v>
      </c>
      <c r="F1273">
        <v>-0.565277777777777</v>
      </c>
      <c r="G1273">
        <v>-0.601273885350318</v>
      </c>
      <c r="H1273">
        <v>-0.779577464788732</v>
      </c>
      <c r="I1273">
        <v>-0.8942567567567561</v>
      </c>
    </row>
    <row r="1274" spans="1:9">
      <c r="A1274" s="1" t="s">
        <v>1286</v>
      </c>
      <c r="B1274">
        <f>HYPERLINK("https://www.suredividend.com/sure-analysis-research-database/","Great Western Bancorp Inc")</f>
        <v>0</v>
      </c>
      <c r="C1274">
        <v>-0.09069493521790301</v>
      </c>
      <c r="D1274">
        <v>-0.09182614117280201</v>
      </c>
      <c r="E1274">
        <v>0.005525833352328</v>
      </c>
      <c r="F1274">
        <v>-0.09069493521790301</v>
      </c>
      <c r="G1274">
        <v>0.291310002216302</v>
      </c>
      <c r="H1274">
        <v>0.074191573440195</v>
      </c>
      <c r="I1274">
        <v>-0.198119944429296</v>
      </c>
    </row>
    <row r="1275" spans="1:9">
      <c r="A1275" s="1" t="s">
        <v>1287</v>
      </c>
      <c r="B1275">
        <f>HYPERLINK("https://www.suredividend.com/sure-analysis-research-database/","GWG Holdings Inc")</f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</row>
    <row r="1276" spans="1:9">
      <c r="A1276" s="1" t="s">
        <v>1288</v>
      </c>
      <c r="B1276">
        <f>HYPERLINK("https://www.suredividend.com/sure-analysis-research-database/","Guidewire Software Inc")</f>
        <v>0</v>
      </c>
      <c r="C1276">
        <v>-0.001997780244173</v>
      </c>
      <c r="D1276">
        <v>0.07611297271421701</v>
      </c>
      <c r="E1276">
        <v>0.210554658050619</v>
      </c>
      <c r="F1276">
        <v>0.437340153452685</v>
      </c>
      <c r="G1276">
        <v>0.5994308075418</v>
      </c>
      <c r="H1276">
        <v>-0.267573511444163</v>
      </c>
      <c r="I1276">
        <v>0.011132351287529</v>
      </c>
    </row>
    <row r="1277" spans="1:9">
      <c r="A1277" s="1" t="s">
        <v>1289</v>
      </c>
      <c r="B1277">
        <f>HYPERLINK("https://www.suredividend.com/sure-analysis-GWRS/","Global Water Resources Inc")</f>
        <v>0</v>
      </c>
      <c r="C1277">
        <v>0.135276618557568</v>
      </c>
      <c r="D1277">
        <v>-0.147060914066387</v>
      </c>
      <c r="E1277">
        <v>0.019521957482158</v>
      </c>
      <c r="F1277">
        <v>-0.159068434699327</v>
      </c>
      <c r="G1277">
        <v>-0.08491637152395301</v>
      </c>
      <c r="H1277">
        <v>-0.394180769726988</v>
      </c>
      <c r="I1277">
        <v>0.086224063886067</v>
      </c>
    </row>
    <row r="1278" spans="1:9">
      <c r="A1278" s="1" t="s">
        <v>1290</v>
      </c>
      <c r="B1278">
        <f>HYPERLINK("https://www.suredividend.com/sure-analysis-GWW/","W.W. Grainger Inc.")</f>
        <v>0</v>
      </c>
      <c r="C1278">
        <v>0.08878235582044801</v>
      </c>
      <c r="D1278">
        <v>0.050599327401945</v>
      </c>
      <c r="E1278">
        <v>0.103916832786719</v>
      </c>
      <c r="F1278">
        <v>0.3705571153659</v>
      </c>
      <c r="G1278">
        <v>0.312999369099193</v>
      </c>
      <c r="H1278">
        <v>0.6503995883439171</v>
      </c>
      <c r="I1278">
        <v>1.835386450700064</v>
      </c>
    </row>
    <row r="1279" spans="1:9">
      <c r="A1279" s="1" t="s">
        <v>1291</v>
      </c>
      <c r="B1279">
        <f>HYPERLINK("https://www.suredividend.com/sure-analysis-research-database/","Hyatt Hotels Corporation")</f>
        <v>0</v>
      </c>
      <c r="C1279">
        <v>-0.022117962466488</v>
      </c>
      <c r="D1279">
        <v>-0.164076829958019</v>
      </c>
      <c r="E1279">
        <v>-0.139581846718692</v>
      </c>
      <c r="F1279">
        <v>0.132193859791099</v>
      </c>
      <c r="G1279">
        <v>0.113481819381103</v>
      </c>
      <c r="H1279">
        <v>0.226870788750701</v>
      </c>
      <c r="I1279">
        <v>0.454791496029343</v>
      </c>
    </row>
    <row r="1280" spans="1:9">
      <c r="A1280" s="1" t="s">
        <v>1292</v>
      </c>
      <c r="B1280">
        <f>HYPERLINK("https://www.suredividend.com/sure-analysis-research-database/","Hawaiian Holdings, Inc.")</f>
        <v>0</v>
      </c>
      <c r="C1280">
        <v>-0.248704663212435</v>
      </c>
      <c r="D1280">
        <v>-0.6049046321525881</v>
      </c>
      <c r="E1280">
        <v>-0.45692883895131</v>
      </c>
      <c r="F1280">
        <v>-0.576023391812865</v>
      </c>
      <c r="G1280">
        <v>-0.686599423631123</v>
      </c>
      <c r="H1280">
        <v>-0.7911665866538641</v>
      </c>
      <c r="I1280">
        <v>-0.874792760431058</v>
      </c>
    </row>
    <row r="1281" spans="1:9">
      <c r="A1281" s="1" t="s">
        <v>1293</v>
      </c>
      <c r="B1281">
        <f>HYPERLINK("https://www.suredividend.com/sure-analysis-research-database/","Haemonetics Corp.")</f>
        <v>0</v>
      </c>
      <c r="C1281">
        <v>-0.03062613430127</v>
      </c>
      <c r="D1281">
        <v>-0.07740472848969</v>
      </c>
      <c r="E1281">
        <v>0.046534410972324</v>
      </c>
      <c r="F1281">
        <v>0.086586141131595</v>
      </c>
      <c r="G1281">
        <v>0.05990326181322</v>
      </c>
      <c r="H1281">
        <v>0.192908989391401</v>
      </c>
      <c r="I1281">
        <v>-0.188722232770077</v>
      </c>
    </row>
    <row r="1282" spans="1:9">
      <c r="A1282" s="1" t="s">
        <v>1294</v>
      </c>
      <c r="B1282">
        <f>HYPERLINK("https://www.suredividend.com/sure-analysis-research-database/","Hanmi Financial Corp.")</f>
        <v>0</v>
      </c>
      <c r="C1282">
        <v>-0.016780609073958</v>
      </c>
      <c r="D1282">
        <v>-0.135013368472276</v>
      </c>
      <c r="E1282">
        <v>0.126860887527601</v>
      </c>
      <c r="F1282">
        <v>-0.312658040858178</v>
      </c>
      <c r="G1282">
        <v>-0.335676522337981</v>
      </c>
      <c r="H1282">
        <v>-0.236261640733999</v>
      </c>
      <c r="I1282">
        <v>-0.064088077475995</v>
      </c>
    </row>
    <row r="1283" spans="1:9">
      <c r="A1283" s="1" t="s">
        <v>1295</v>
      </c>
      <c r="B1283">
        <f>HYPERLINK("https://www.suredividend.com/sure-analysis-research-database/","Hain Celestial Group Inc")</f>
        <v>0</v>
      </c>
      <c r="C1283">
        <v>0.1376953125</v>
      </c>
      <c r="D1283">
        <v>0.005176876617773001</v>
      </c>
      <c r="E1283">
        <v>-0.332378223495702</v>
      </c>
      <c r="F1283">
        <v>-0.279975278121137</v>
      </c>
      <c r="G1283">
        <v>-0.373992477162815</v>
      </c>
      <c r="H1283">
        <v>-0.7416851441241681</v>
      </c>
      <c r="I1283">
        <v>-0.5387965162311951</v>
      </c>
    </row>
    <row r="1284" spans="1:9">
      <c r="A1284" s="1" t="s">
        <v>1296</v>
      </c>
      <c r="B1284">
        <f>HYPERLINK("https://www.suredividend.com/sure-analysis-HAL/","Halliburton Co.")</f>
        <v>0</v>
      </c>
      <c r="C1284">
        <v>0.02061855670103</v>
      </c>
      <c r="D1284">
        <v>0.04416678885913301</v>
      </c>
      <c r="E1284">
        <v>0.37187239119487</v>
      </c>
      <c r="F1284">
        <v>0.045519643096324</v>
      </c>
      <c r="G1284">
        <v>0.153337974341853</v>
      </c>
      <c r="H1284">
        <v>0.646726628774509</v>
      </c>
      <c r="I1284">
        <v>0.276820625418765</v>
      </c>
    </row>
    <row r="1285" spans="1:9">
      <c r="A1285" s="1" t="s">
        <v>1297</v>
      </c>
      <c r="B1285">
        <f>HYPERLINK("https://www.suredividend.com/sure-analysis-research-database/","Hallmark Financial Services, Inc")</f>
        <v>0</v>
      </c>
      <c r="C1285">
        <v>0.015625</v>
      </c>
      <c r="D1285">
        <v>-0.56858407079646</v>
      </c>
      <c r="E1285">
        <v>-0.6711635750421581</v>
      </c>
      <c r="F1285">
        <v>2.338469440164355</v>
      </c>
      <c r="G1285">
        <v>1.122102513875285</v>
      </c>
      <c r="H1285">
        <v>-0.439655172413793</v>
      </c>
      <c r="I1285">
        <v>-0.822080291970802</v>
      </c>
    </row>
    <row r="1286" spans="1:9">
      <c r="A1286" s="1" t="s">
        <v>1298</v>
      </c>
      <c r="B1286">
        <f>HYPERLINK("https://www.suredividend.com/sure-analysis-research-database/","Halozyme Therapeutics Inc.")</f>
        <v>0</v>
      </c>
      <c r="C1286">
        <v>-0.09127089413637501</v>
      </c>
      <c r="D1286">
        <v>-0.200700116686114</v>
      </c>
      <c r="E1286">
        <v>0.07636706473915701</v>
      </c>
      <c r="F1286">
        <v>-0.398066783831282</v>
      </c>
      <c r="G1286">
        <v>-0.277121148163782</v>
      </c>
      <c r="H1286">
        <v>-0.132691820714104</v>
      </c>
      <c r="I1286">
        <v>1.136618839675608</v>
      </c>
    </row>
    <row r="1287" spans="1:9">
      <c r="A1287" s="1" t="s">
        <v>1299</v>
      </c>
      <c r="B1287">
        <f>HYPERLINK("https://www.suredividend.com/sure-analysis-HAS/","Hasbro, Inc.")</f>
        <v>0</v>
      </c>
      <c r="C1287">
        <v>-0.253422282720361</v>
      </c>
      <c r="D1287">
        <v>-0.254465831420474</v>
      </c>
      <c r="E1287">
        <v>-0.161743343149941</v>
      </c>
      <c r="F1287">
        <v>-0.176087950086979</v>
      </c>
      <c r="G1287">
        <v>-0.197399096793565</v>
      </c>
      <c r="H1287">
        <v>-0.4430000155686941</v>
      </c>
      <c r="I1287">
        <v>-0.422064439007357</v>
      </c>
    </row>
    <row r="1288" spans="1:9">
      <c r="A1288" s="1" t="s">
        <v>1300</v>
      </c>
      <c r="B1288">
        <f>HYPERLINK("https://www.suredividend.com/sure-analysis-HASI/","Hannon Armstrong Sustainable Infrastructure capital Inc")</f>
        <v>0</v>
      </c>
      <c r="C1288">
        <v>-0.02514907959554</v>
      </c>
      <c r="D1288">
        <v>-0.199621949090847</v>
      </c>
      <c r="E1288">
        <v>-0.219965562309399</v>
      </c>
      <c r="F1288">
        <v>-0.317827207082985</v>
      </c>
      <c r="G1288">
        <v>-0.219583473434704</v>
      </c>
      <c r="H1288">
        <v>-0.6636261813341151</v>
      </c>
      <c r="I1288">
        <v>0.07563179064085901</v>
      </c>
    </row>
    <row r="1289" spans="1:9">
      <c r="A1289" s="1" t="s">
        <v>1301</v>
      </c>
      <c r="B1289">
        <f>HYPERLINK("https://www.suredividend.com/sure-analysis-research-database/","Haynes International Inc.")</f>
        <v>0</v>
      </c>
      <c r="C1289">
        <v>0.0008892841262780001</v>
      </c>
      <c r="D1289">
        <v>-0.076660554824048</v>
      </c>
      <c r="E1289">
        <v>-0.019016096241885</v>
      </c>
      <c r="F1289">
        <v>0.008347649241947001</v>
      </c>
      <c r="G1289">
        <v>-0.004530689951774</v>
      </c>
      <c r="H1289">
        <v>0.178753119035213</v>
      </c>
      <c r="I1289">
        <v>0.687906089134338</v>
      </c>
    </row>
    <row r="1290" spans="1:9">
      <c r="A1290" s="1" t="s">
        <v>1302</v>
      </c>
      <c r="B1290">
        <f>HYPERLINK("https://www.suredividend.com/sure-analysis-HBAN/","Huntington Bancshares, Inc.")</f>
        <v>0</v>
      </c>
      <c r="C1290">
        <v>0.030907278165503</v>
      </c>
      <c r="D1290">
        <v>-0.117604389790153</v>
      </c>
      <c r="E1290">
        <v>0.06340309559315001</v>
      </c>
      <c r="F1290">
        <v>-0.212220486838596</v>
      </c>
      <c r="G1290">
        <v>-0.250039891495133</v>
      </c>
      <c r="H1290">
        <v>-0.257749127819333</v>
      </c>
      <c r="I1290">
        <v>-0.053616211169891</v>
      </c>
    </row>
    <row r="1291" spans="1:9">
      <c r="A1291" s="1" t="s">
        <v>1303</v>
      </c>
      <c r="B1291">
        <f>HYPERLINK("https://www.suredividend.com/sure-analysis-research-database/","Hamilton Beach Brands Holding Co")</f>
        <v>0</v>
      </c>
      <c r="C1291">
        <v>0.002371541501976</v>
      </c>
      <c r="D1291">
        <v>0.347373789966953</v>
      </c>
      <c r="E1291">
        <v>0.335060067174157</v>
      </c>
      <c r="F1291">
        <v>0.053751288102915</v>
      </c>
      <c r="G1291">
        <v>0.116610014265837</v>
      </c>
      <c r="H1291">
        <v>-0.117998942711666</v>
      </c>
      <c r="I1291">
        <v>-0.43233454656155</v>
      </c>
    </row>
    <row r="1292" spans="1:9">
      <c r="A1292" s="1" t="s">
        <v>1304</v>
      </c>
      <c r="B1292">
        <f>HYPERLINK("https://www.suredividend.com/sure-analysis-research-database/","Home Bancorp Inc")</f>
        <v>0</v>
      </c>
      <c r="C1292">
        <v>0.121001681502522</v>
      </c>
      <c r="D1292">
        <v>0.030666701604521</v>
      </c>
      <c r="E1292">
        <v>0.248285370730176</v>
      </c>
      <c r="F1292">
        <v>-0.06931744688011</v>
      </c>
      <c r="G1292">
        <v>-0.107871896452656</v>
      </c>
      <c r="H1292">
        <v>-0.072953820530144</v>
      </c>
      <c r="I1292">
        <v>0.041326544119593</v>
      </c>
    </row>
    <row r="1293" spans="1:9">
      <c r="A1293" s="1" t="s">
        <v>1305</v>
      </c>
      <c r="B1293">
        <f>HYPERLINK("https://www.suredividend.com/sure-analysis-HBI/","Hanesbrands Inc")</f>
        <v>0</v>
      </c>
      <c r="C1293">
        <v>0.140625</v>
      </c>
      <c r="D1293">
        <v>-0.142857142857142</v>
      </c>
      <c r="E1293">
        <v>-0.107942973523421</v>
      </c>
      <c r="F1293">
        <v>-0.311320754716981</v>
      </c>
      <c r="G1293">
        <v>-0.321414185232237</v>
      </c>
      <c r="H1293">
        <v>-0.7333089779888571</v>
      </c>
      <c r="I1293">
        <v>-0.6690668137480821</v>
      </c>
    </row>
    <row r="1294" spans="1:9">
      <c r="A1294" s="1" t="s">
        <v>1306</v>
      </c>
      <c r="B1294">
        <f>HYPERLINK("https://www.suredividend.com/sure-analysis-research-database/","Harvard Bioscience Inc.")</f>
        <v>0</v>
      </c>
      <c r="C1294">
        <v>0.009389671361502001</v>
      </c>
      <c r="D1294">
        <v>-0.05908096280087501</v>
      </c>
      <c r="E1294">
        <v>-0.293924466338259</v>
      </c>
      <c r="F1294">
        <v>0.552346570397111</v>
      </c>
      <c r="G1294">
        <v>0.604477611940298</v>
      </c>
      <c r="H1294">
        <v>-0.407713498622589</v>
      </c>
      <c r="I1294">
        <v>0.05911330049261</v>
      </c>
    </row>
    <row r="1295" spans="1:9">
      <c r="A1295" s="1" t="s">
        <v>1307</v>
      </c>
      <c r="B1295">
        <f>HYPERLINK("https://www.suredividend.com/sure-analysis-research-database/","Howard Bancorp Inc")</f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</row>
    <row r="1296" spans="1:9">
      <c r="A1296" s="1" t="s">
        <v>1308</v>
      </c>
      <c r="B1296">
        <f>HYPERLINK("https://www.suredividend.com/sure-analysis-HBNC/","Horizon Bancorp Inc (IN)")</f>
        <v>0</v>
      </c>
      <c r="C1296">
        <v>0.004259893303606</v>
      </c>
      <c r="D1296">
        <v>-0.153317501741195</v>
      </c>
      <c r="E1296">
        <v>0.16071736704667</v>
      </c>
      <c r="F1296">
        <v>-0.250544079743892</v>
      </c>
      <c r="G1296">
        <v>-0.239449147112695</v>
      </c>
      <c r="H1296">
        <v>-0.394575783031321</v>
      </c>
      <c r="I1296">
        <v>-0.25075555621561</v>
      </c>
    </row>
    <row r="1297" spans="1:9">
      <c r="A1297" s="1" t="s">
        <v>1309</v>
      </c>
      <c r="B1297">
        <f>HYPERLINK("https://www.suredividend.com/sure-analysis-research-database/","Huttig Building Products, Inc.")</f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</row>
    <row r="1298" spans="1:9">
      <c r="A1298" s="1" t="s">
        <v>1310</v>
      </c>
      <c r="B1298">
        <f>HYPERLINK("https://www.suredividend.com/sure-analysis-research-database/","HCA Healthcare Inc")</f>
        <v>0</v>
      </c>
      <c r="C1298">
        <v>-0.078030823995793</v>
      </c>
      <c r="D1298">
        <v>-0.152001940662459</v>
      </c>
      <c r="E1298">
        <v>-0.183982688632397</v>
      </c>
      <c r="F1298">
        <v>-0.043666092105461</v>
      </c>
      <c r="G1298">
        <v>0.075729629007319</v>
      </c>
      <c r="H1298">
        <v>-0.06497504494207701</v>
      </c>
      <c r="I1298">
        <v>0.774261224000479</v>
      </c>
    </row>
    <row r="1299" spans="1:9">
      <c r="A1299" s="1" t="s">
        <v>1311</v>
      </c>
      <c r="B1299">
        <f>HYPERLINK("https://www.suredividend.com/sure-analysis-research-database/","Warrior Met Coal Inc")</f>
        <v>0</v>
      </c>
      <c r="C1299">
        <v>-0.023669885653404</v>
      </c>
      <c r="D1299">
        <v>0.127438032613682</v>
      </c>
      <c r="E1299">
        <v>0.4589917185879021</v>
      </c>
      <c r="F1299">
        <v>0.449249463902787</v>
      </c>
      <c r="G1299">
        <v>0.3727653067845521</v>
      </c>
      <c r="H1299">
        <v>1.095408703740386</v>
      </c>
      <c r="I1299">
        <v>1.300785368782891</v>
      </c>
    </row>
    <row r="1300" spans="1:9">
      <c r="A1300" s="1" t="s">
        <v>1312</v>
      </c>
      <c r="B1300">
        <f>HYPERLINK("https://www.suredividend.com/sure-analysis-research-database/","Heritage-Crystal Clean Inc")</f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</row>
    <row r="1301" spans="1:9">
      <c r="A1301" s="1" t="s">
        <v>1313</v>
      </c>
      <c r="B1301">
        <f>HYPERLINK("https://www.suredividend.com/sure-analysis-research-database/","HC2 Holdings Inc")</f>
        <v>0</v>
      </c>
      <c r="C1301">
        <v>0.051428571428571</v>
      </c>
      <c r="D1301">
        <v>-0.065989847715736</v>
      </c>
      <c r="E1301">
        <v>-0.0935960591133</v>
      </c>
      <c r="F1301">
        <v>0.128834355828221</v>
      </c>
      <c r="G1301">
        <v>0.46935516071072</v>
      </c>
      <c r="H1301">
        <v>0.517713531570916</v>
      </c>
      <c r="I1301">
        <v>0.277999652717485</v>
      </c>
    </row>
    <row r="1302" spans="1:9">
      <c r="A1302" s="1" t="s">
        <v>1314</v>
      </c>
      <c r="B1302">
        <f>HYPERLINK("https://www.suredividend.com/sure-analysis-research-database/","HCI Group Inc")</f>
        <v>0</v>
      </c>
      <c r="C1302">
        <v>0.149722735674676</v>
      </c>
      <c r="D1302">
        <v>0.027925870349131</v>
      </c>
      <c r="E1302">
        <v>0.279393131592371</v>
      </c>
      <c r="F1302">
        <v>0.6056916865442</v>
      </c>
      <c r="G1302">
        <v>0.7314185662629471</v>
      </c>
      <c r="H1302">
        <v>-0.515047937745253</v>
      </c>
      <c r="I1302">
        <v>0.596988828780717</v>
      </c>
    </row>
    <row r="1303" spans="1:9">
      <c r="A1303" s="1" t="s">
        <v>1315</v>
      </c>
      <c r="B1303">
        <f>HYPERLINK("https://www.suredividend.com/sure-analysis-research-database/","Hackett Group Inc (The)")</f>
        <v>0</v>
      </c>
      <c r="C1303">
        <v>-0.034062237174095</v>
      </c>
      <c r="D1303">
        <v>-0.013362770659462</v>
      </c>
      <c r="E1303">
        <v>0.24295864199869</v>
      </c>
      <c r="F1303">
        <v>0.145807352721105</v>
      </c>
      <c r="G1303">
        <v>0.114421005647305</v>
      </c>
      <c r="H1303">
        <v>0.138537794299876</v>
      </c>
      <c r="I1303">
        <v>0.155136257801067</v>
      </c>
    </row>
    <row r="1304" spans="1:9">
      <c r="A1304" s="1" t="s">
        <v>1316</v>
      </c>
      <c r="B1304">
        <f>HYPERLINK("https://www.suredividend.com/sure-analysis-research-database/","HashiCorp Inc")</f>
        <v>0</v>
      </c>
      <c r="C1304">
        <v>-0.176672384219554</v>
      </c>
      <c r="D1304">
        <v>-0.313795568263045</v>
      </c>
      <c r="E1304">
        <v>-0.278737791134485</v>
      </c>
      <c r="F1304">
        <v>-0.297732260424286</v>
      </c>
      <c r="G1304">
        <v>-0.310839913854989</v>
      </c>
      <c r="H1304">
        <v>-0.7746214344406621</v>
      </c>
      <c r="I1304">
        <v>-0.7746214344406621</v>
      </c>
    </row>
    <row r="1305" spans="1:9">
      <c r="A1305" s="1" t="s">
        <v>1317</v>
      </c>
      <c r="B1305">
        <f>HYPERLINK("https://www.suredividend.com/sure-analysis-research-database/","Healthcare Services Group, Inc.")</f>
        <v>0</v>
      </c>
      <c r="C1305">
        <v>-0.043689320388349</v>
      </c>
      <c r="D1305">
        <v>-0.228056426332288</v>
      </c>
      <c r="E1305">
        <v>-0.3459495351925631</v>
      </c>
      <c r="F1305">
        <v>-0.179166666666666</v>
      </c>
      <c r="G1305">
        <v>-0.273941502535676</v>
      </c>
      <c r="H1305">
        <v>-0.453442755758271</v>
      </c>
      <c r="I1305">
        <v>-0.7345321162237261</v>
      </c>
    </row>
    <row r="1306" spans="1:9">
      <c r="A1306" s="1" t="s">
        <v>1318</v>
      </c>
      <c r="B1306">
        <f>HYPERLINK("https://www.suredividend.com/sure-analysis-HD/","Home Depot, Inc.")</f>
        <v>0</v>
      </c>
      <c r="C1306">
        <v>-0.017676683453957</v>
      </c>
      <c r="D1306">
        <v>-0.09768405676689401</v>
      </c>
      <c r="E1306">
        <v>0.014492154589411</v>
      </c>
      <c r="F1306">
        <v>-0.047974914350712</v>
      </c>
      <c r="G1306">
        <v>0.047781437623155</v>
      </c>
      <c r="H1306">
        <v>-0.15721382955649</v>
      </c>
      <c r="I1306">
        <v>0.8501104613875101</v>
      </c>
    </row>
    <row r="1307" spans="1:9">
      <c r="A1307" s="1" t="s">
        <v>1319</v>
      </c>
      <c r="B1307">
        <f>HYPERLINK("https://www.suredividend.com/sure-analysis-research-database/","HD Supply Holdings Inc")</f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</row>
    <row r="1308" spans="1:9">
      <c r="A1308" s="1" t="s">
        <v>1320</v>
      </c>
      <c r="B1308">
        <f>HYPERLINK("https://www.suredividend.com/sure-analysis-research-database/","Hudson Technologies, Inc.")</f>
        <v>0</v>
      </c>
      <c r="C1308">
        <v>-0.063878326996197</v>
      </c>
      <c r="D1308">
        <v>0.426419466975666</v>
      </c>
      <c r="E1308">
        <v>0.5987012987012981</v>
      </c>
      <c r="F1308">
        <v>0.216403162055336</v>
      </c>
      <c r="G1308">
        <v>0.390960451977401</v>
      </c>
      <c r="H1308">
        <v>2.381868131868132</v>
      </c>
      <c r="I1308">
        <v>11.06862745098039</v>
      </c>
    </row>
    <row r="1309" spans="1:9">
      <c r="A1309" s="1" t="s">
        <v>1321</v>
      </c>
      <c r="B1309">
        <f>HYPERLINK("https://www.suredividend.com/sure-analysis-research-database/","Hawaiian Electric Industries, Inc.")</f>
        <v>0</v>
      </c>
      <c r="C1309">
        <v>0.128870292887029</v>
      </c>
      <c r="D1309">
        <v>-0.639703643560336</v>
      </c>
      <c r="E1309">
        <v>-0.636702475755478</v>
      </c>
      <c r="F1309">
        <v>-0.6633131088254891</v>
      </c>
      <c r="G1309">
        <v>-0.6210067342243</v>
      </c>
      <c r="H1309">
        <v>-0.6387881059804801</v>
      </c>
      <c r="I1309">
        <v>-0.5613036663176171</v>
      </c>
    </row>
    <row r="1310" spans="1:9">
      <c r="A1310" s="1" t="s">
        <v>1322</v>
      </c>
      <c r="B1310">
        <f>HYPERLINK("https://www.suredividend.com/sure-analysis-research-database/","Turtle Beach Corp")</f>
        <v>0</v>
      </c>
      <c r="C1310">
        <v>-0.06437291897891201</v>
      </c>
      <c r="D1310">
        <v>-0.253982300884955</v>
      </c>
      <c r="E1310">
        <v>-0.220166512488436</v>
      </c>
      <c r="F1310">
        <v>0.175732217573221</v>
      </c>
      <c r="G1310">
        <v>0.194050991501416</v>
      </c>
      <c r="H1310">
        <v>-0.706476323119777</v>
      </c>
      <c r="I1310">
        <v>-0.587775061124694</v>
      </c>
    </row>
    <row r="1311" spans="1:9">
      <c r="A1311" s="1" t="s">
        <v>1323</v>
      </c>
      <c r="B1311">
        <f>HYPERLINK("https://www.suredividend.com/sure-analysis-research-database/","H&amp;E Equipment Services Inc")</f>
        <v>0</v>
      </c>
      <c r="C1311">
        <v>-0.005196032120926001</v>
      </c>
      <c r="D1311">
        <v>-0.128049600977114</v>
      </c>
      <c r="E1311">
        <v>0.23143491989241</v>
      </c>
      <c r="F1311">
        <v>-0.041790841049207</v>
      </c>
      <c r="G1311">
        <v>0.16389601202582</v>
      </c>
      <c r="H1311">
        <v>-0.019979664345361</v>
      </c>
      <c r="I1311">
        <v>1.121508225125668</v>
      </c>
    </row>
    <row r="1312" spans="1:9">
      <c r="A1312" s="1" t="s">
        <v>1324</v>
      </c>
      <c r="B1312">
        <f>HYPERLINK("https://www.suredividend.com/sure-analysis-HEI/","Heico Corp.")</f>
        <v>0</v>
      </c>
      <c r="C1312">
        <v>0.0008073531238350001</v>
      </c>
      <c r="D1312">
        <v>-0.075497676553267</v>
      </c>
      <c r="E1312">
        <v>-0.05151986364016201</v>
      </c>
      <c r="F1312">
        <v>0.05016757715945801</v>
      </c>
      <c r="G1312">
        <v>0.032493264607232</v>
      </c>
      <c r="H1312">
        <v>0.166566768302393</v>
      </c>
      <c r="I1312">
        <v>0.8974092092931251</v>
      </c>
    </row>
    <row r="1313" spans="1:9">
      <c r="A1313" s="1" t="s">
        <v>1325</v>
      </c>
      <c r="B1313">
        <f>HYPERLINK("https://www.suredividend.com/sure-analysis-research-database/","Helen of Troy Ltd")</f>
        <v>0</v>
      </c>
      <c r="C1313">
        <v>-0.141932737335036</v>
      </c>
      <c r="D1313">
        <v>-0.27187341955061</v>
      </c>
      <c r="E1313">
        <v>0.07659438094220601</v>
      </c>
      <c r="F1313">
        <v>-0.091335316923631</v>
      </c>
      <c r="G1313">
        <v>0.115193095053668</v>
      </c>
      <c r="H1313">
        <v>-0.555447728275253</v>
      </c>
      <c r="I1313">
        <v>-0.212779253241681</v>
      </c>
    </row>
    <row r="1314" spans="1:9">
      <c r="A1314" s="1" t="s">
        <v>1326</v>
      </c>
      <c r="B1314">
        <f>HYPERLINK("https://www.suredividend.com/sure-analysis-research-database/","Hepion Pharmaceuticals Inc")</f>
        <v>0</v>
      </c>
      <c r="C1314">
        <v>-0.09170305676855801</v>
      </c>
      <c r="D1314">
        <v>-0.478042659974905</v>
      </c>
      <c r="E1314">
        <v>-0.69047619047619</v>
      </c>
      <c r="F1314">
        <v>-0.307359307359307</v>
      </c>
      <c r="G1314">
        <v>-0.6504789111073761</v>
      </c>
      <c r="H1314">
        <v>-0.8613333333333331</v>
      </c>
      <c r="I1314">
        <v>-0.799687010954616</v>
      </c>
    </row>
    <row r="1315" spans="1:9">
      <c r="A1315" s="1" t="s">
        <v>1327</v>
      </c>
      <c r="B1315">
        <f>HYPERLINK("https://www.suredividend.com/sure-analysis-research-database/","Hess Corporation")</f>
        <v>0</v>
      </c>
      <c r="C1315">
        <v>-0.009120171673819</v>
      </c>
      <c r="D1315">
        <v>-0.008743930434969001</v>
      </c>
      <c r="E1315">
        <v>0.08425185814616101</v>
      </c>
      <c r="F1315">
        <v>0.051449585781805</v>
      </c>
      <c r="G1315">
        <v>0.06504977464279001</v>
      </c>
      <c r="H1315">
        <v>0.841021283382216</v>
      </c>
      <c r="I1315">
        <v>1.838438013861781</v>
      </c>
    </row>
    <row r="1316" spans="1:9">
      <c r="A1316" s="1" t="s">
        <v>1328</v>
      </c>
      <c r="B1316">
        <f>HYPERLINK("https://www.suredividend.com/sure-analysis-research-database/","Home Federal Bancorp Inc (Louisiana)")</f>
        <v>0</v>
      </c>
      <c r="C1316">
        <v>-0.130885603807686</v>
      </c>
      <c r="D1316">
        <v>-0.207240579824371</v>
      </c>
      <c r="E1316">
        <v>-0.321620467165756</v>
      </c>
      <c r="F1316">
        <v>-0.26795245026686</v>
      </c>
      <c r="G1316">
        <v>-0.309136907657876</v>
      </c>
      <c r="H1316">
        <v>-0.345859731081688</v>
      </c>
      <c r="I1316">
        <v>-0.213726882462917</v>
      </c>
    </row>
    <row r="1317" spans="1:9">
      <c r="A1317" s="1" t="s">
        <v>1329</v>
      </c>
      <c r="B1317">
        <f>HYPERLINK("https://www.suredividend.com/sure-analysis-research-database/","Heritage Financial Corp.")</f>
        <v>0</v>
      </c>
      <c r="C1317">
        <v>0.080152743789279</v>
      </c>
      <c r="D1317">
        <v>-0.05976025803201201</v>
      </c>
      <c r="E1317">
        <v>0.122185549491846</v>
      </c>
      <c r="F1317">
        <v>-0.390012114494406</v>
      </c>
      <c r="G1317">
        <v>-0.427389905120808</v>
      </c>
      <c r="H1317">
        <v>-0.228481046785412</v>
      </c>
      <c r="I1317">
        <v>-0.351414648887545</v>
      </c>
    </row>
    <row r="1318" spans="1:9">
      <c r="A1318" s="1" t="s">
        <v>1330</v>
      </c>
      <c r="B1318">
        <f>HYPERLINK("https://www.suredividend.com/sure-analysis-research-database/","Hilton Grand Vacations Inc")</f>
        <v>0</v>
      </c>
      <c r="C1318">
        <v>-0.116089108910891</v>
      </c>
      <c r="D1318">
        <v>-0.218770509735287</v>
      </c>
      <c r="E1318">
        <v>-0.187300864815657</v>
      </c>
      <c r="F1318">
        <v>-0.07343020238713001</v>
      </c>
      <c r="G1318">
        <v>-0.039020452099031</v>
      </c>
      <c r="H1318">
        <v>-0.303762916747904</v>
      </c>
      <c r="I1318">
        <v>0.154169360051712</v>
      </c>
    </row>
    <row r="1319" spans="1:9">
      <c r="A1319" s="1" t="s">
        <v>1331</v>
      </c>
      <c r="B1319">
        <f>HYPERLINK("https://www.suredividend.com/sure-analysis-research-database/","Howard Hughes Corporation")</f>
        <v>0</v>
      </c>
      <c r="C1319">
        <v>-0.05332851811725001</v>
      </c>
      <c r="D1319">
        <v>0.03870030379078</v>
      </c>
      <c r="E1319">
        <v>-0.09411358138463301</v>
      </c>
      <c r="F1319">
        <v>0.02904998691442</v>
      </c>
      <c r="G1319">
        <v>0.07153563155743201</v>
      </c>
      <c r="H1319">
        <v>-0.133348027330835</v>
      </c>
      <c r="I1319">
        <v>-0.383215686274509</v>
      </c>
    </row>
    <row r="1320" spans="1:9">
      <c r="A1320" s="1" t="s">
        <v>1332</v>
      </c>
      <c r="B1320">
        <f>HYPERLINK("https://www.suredividend.com/sure-analysis-research-database/","Harte-Hanks, Inc.")</f>
        <v>0</v>
      </c>
      <c r="C1320">
        <v>0.013533834586466</v>
      </c>
      <c r="D1320">
        <v>0.182456140350877</v>
      </c>
      <c r="E1320">
        <v>-0.207058823529411</v>
      </c>
      <c r="F1320">
        <v>-0.423438836612489</v>
      </c>
      <c r="G1320">
        <v>-0.415437987857762</v>
      </c>
      <c r="H1320">
        <v>1.505576208178439</v>
      </c>
      <c r="I1320">
        <v>0.203571428571428</v>
      </c>
    </row>
    <row r="1321" spans="1:9">
      <c r="A1321" s="1" t="s">
        <v>1333</v>
      </c>
      <c r="B1321">
        <f>HYPERLINK("https://www.suredividend.com/sure-analysis-HI/","Hillenbrand Inc")</f>
        <v>0</v>
      </c>
      <c r="C1321">
        <v>-0.088657407407407</v>
      </c>
      <c r="D1321">
        <v>-0.222876678799554</v>
      </c>
      <c r="E1321">
        <v>-0.137058062819192</v>
      </c>
      <c r="F1321">
        <v>-0.06400743658810801</v>
      </c>
      <c r="G1321">
        <v>-0.07685309372625801</v>
      </c>
      <c r="H1321">
        <v>-0.111368925223624</v>
      </c>
      <c r="I1321">
        <v>-0.08874600154614601</v>
      </c>
    </row>
    <row r="1322" spans="1:9">
      <c r="A1322" s="1" t="s">
        <v>1334</v>
      </c>
      <c r="B1322">
        <f>HYPERLINK("https://www.suredividend.com/sure-analysis-research-database/","Hibbett Inc")</f>
        <v>0</v>
      </c>
      <c r="C1322">
        <v>0.017669331089608</v>
      </c>
      <c r="D1322">
        <v>0.087909765103236</v>
      </c>
      <c r="E1322">
        <v>-0.069724513085964</v>
      </c>
      <c r="F1322">
        <v>-0.279201430274135</v>
      </c>
      <c r="G1322">
        <v>-0.193588713575645</v>
      </c>
      <c r="H1322">
        <v>-0.400687264790191</v>
      </c>
      <c r="I1322">
        <v>1.640512602198426</v>
      </c>
    </row>
    <row r="1323" spans="1:9">
      <c r="A1323" s="1" t="s">
        <v>1335</v>
      </c>
      <c r="B1323">
        <f>HYPERLINK("https://www.suredividend.com/sure-analysis-HIFS/","Hingham Institution For Savings")</f>
        <v>0</v>
      </c>
      <c r="C1323">
        <v>-0.106762356397399</v>
      </c>
      <c r="D1323">
        <v>-0.27873692476158</v>
      </c>
      <c r="E1323">
        <v>-0.137850402112217</v>
      </c>
      <c r="F1323">
        <v>-0.416991793055389</v>
      </c>
      <c r="G1323">
        <v>-0.349471760503913</v>
      </c>
      <c r="H1323">
        <v>-0.54864236192743</v>
      </c>
      <c r="I1323">
        <v>-0.18769660813602</v>
      </c>
    </row>
    <row r="1324" spans="1:9">
      <c r="A1324" s="1" t="s">
        <v>1336</v>
      </c>
      <c r="B1324">
        <f>HYPERLINK("https://www.suredividend.com/sure-analysis-HIG/","Hartford Financial Services Group Inc.")</f>
        <v>0</v>
      </c>
      <c r="C1324">
        <v>0.039390088945362</v>
      </c>
      <c r="D1324">
        <v>0.025851113637883</v>
      </c>
      <c r="E1324">
        <v>0.05682175427817501</v>
      </c>
      <c r="F1324">
        <v>-0.011891659732102</v>
      </c>
      <c r="G1324">
        <v>0.04118493124530601</v>
      </c>
      <c r="H1324">
        <v>0.05869867209677501</v>
      </c>
      <c r="I1324">
        <v>0.850911376492772</v>
      </c>
    </row>
    <row r="1325" spans="1:9">
      <c r="A1325" s="1" t="s">
        <v>1337</v>
      </c>
      <c r="B1325">
        <f>HYPERLINK("https://www.suredividend.com/sure-analysis-HII/","Huntington Ingalls Industries Inc")</f>
        <v>0</v>
      </c>
      <c r="C1325">
        <v>0.15761595960596</v>
      </c>
      <c r="D1325">
        <v>0.03228079096943001</v>
      </c>
      <c r="E1325">
        <v>0.202797835838283</v>
      </c>
      <c r="F1325">
        <v>0.031572242259127</v>
      </c>
      <c r="G1325">
        <v>-0.057251843771089</v>
      </c>
      <c r="H1325">
        <v>0.225012572290671</v>
      </c>
      <c r="I1325">
        <v>0.179903347322979</v>
      </c>
    </row>
    <row r="1326" spans="1:9">
      <c r="A1326" s="1" t="s">
        <v>1338</v>
      </c>
      <c r="B1326">
        <f>HYPERLINK("https://www.suredividend.com/sure-analysis-research-database/","Hill International Inc")</f>
        <v>0</v>
      </c>
      <c r="C1326">
        <v>0.005934718100890001</v>
      </c>
      <c r="D1326">
        <v>0.005934718100890001</v>
      </c>
      <c r="E1326">
        <v>1.092592592592592</v>
      </c>
      <c r="F1326">
        <v>0.7384615384615381</v>
      </c>
      <c r="G1326">
        <v>0.7384615384615381</v>
      </c>
      <c r="H1326">
        <v>0.82258064516129</v>
      </c>
      <c r="I1326">
        <v>-0.3836363636363631</v>
      </c>
    </row>
    <row r="1327" spans="1:9">
      <c r="A1327" s="1" t="s">
        <v>1339</v>
      </c>
      <c r="B1327">
        <f>HYPERLINK("https://www.suredividend.com/sure-analysis-HIW/","Highwoods Properties, Inc.")</f>
        <v>0</v>
      </c>
      <c r="C1327">
        <v>-0.032950574138791</v>
      </c>
      <c r="D1327">
        <v>-0.189675368139223</v>
      </c>
      <c r="E1327">
        <v>-0.08041720669011901</v>
      </c>
      <c r="F1327">
        <v>-0.262058692430482</v>
      </c>
      <c r="G1327">
        <v>-0.249140407255079</v>
      </c>
      <c r="H1327">
        <v>-0.5133251425226181</v>
      </c>
      <c r="I1327">
        <v>-0.412608449098291</v>
      </c>
    </row>
    <row r="1328" spans="1:9">
      <c r="A1328" s="1" t="s">
        <v>1340</v>
      </c>
      <c r="B1328">
        <f>HYPERLINK("https://www.suredividend.com/sure-analysis-research-database/","Hecla Mining Co.")</f>
        <v>0</v>
      </c>
      <c r="C1328">
        <v>0.132596685082872</v>
      </c>
      <c r="D1328">
        <v>-0.223764175770082</v>
      </c>
      <c r="E1328">
        <v>-0.313658201784488</v>
      </c>
      <c r="F1328">
        <v>-0.259687263009642</v>
      </c>
      <c r="G1328">
        <v>-0.04648945324309801</v>
      </c>
      <c r="H1328">
        <v>-0.294975410117962</v>
      </c>
      <c r="I1328">
        <v>0.628017789072426</v>
      </c>
    </row>
    <row r="1329" spans="1:9">
      <c r="A1329" s="1" t="s">
        <v>1341</v>
      </c>
      <c r="B1329">
        <f>HYPERLINK("https://www.suredividend.com/sure-analysis-research-database/","Herbalife Ltd")</f>
        <v>0</v>
      </c>
      <c r="C1329">
        <v>0.01609363569861</v>
      </c>
      <c r="D1329">
        <v>-0.134039900249376</v>
      </c>
      <c r="E1329">
        <v>-0.021830985915492</v>
      </c>
      <c r="F1329">
        <v>-0.066532258064516</v>
      </c>
      <c r="G1329">
        <v>-0.208997722095671</v>
      </c>
      <c r="H1329">
        <v>-0.6875843454790821</v>
      </c>
      <c r="I1329">
        <v>-0.7402767389678381</v>
      </c>
    </row>
    <row r="1330" spans="1:9">
      <c r="A1330" s="1" t="s">
        <v>1342</v>
      </c>
      <c r="B1330">
        <f>HYPERLINK("https://www.suredividend.com/sure-analysis-HLI/","Houlihan Lokey Inc")</f>
        <v>0</v>
      </c>
      <c r="C1330">
        <v>-0.015256325215578</v>
      </c>
      <c r="D1330">
        <v>0.04943408115946701</v>
      </c>
      <c r="E1330">
        <v>0.184350436438606</v>
      </c>
      <c r="F1330">
        <v>0.212807301118625</v>
      </c>
      <c r="G1330">
        <v>0.165362101060847</v>
      </c>
      <c r="H1330">
        <v>-0.07782248260268401</v>
      </c>
      <c r="I1330">
        <v>1.834704950095336</v>
      </c>
    </row>
    <row r="1331" spans="1:9">
      <c r="A1331" s="1" t="s">
        <v>1343</v>
      </c>
      <c r="B1331">
        <f>HYPERLINK("https://www.suredividend.com/sure-analysis-research-database/","Helios Technologies Inc")</f>
        <v>0</v>
      </c>
      <c r="C1331">
        <v>-0.03732770043066901</v>
      </c>
      <c r="D1331">
        <v>-0.16679549104171</v>
      </c>
      <c r="E1331">
        <v>-0.13146570506338</v>
      </c>
      <c r="F1331">
        <v>-0.023845737318033</v>
      </c>
      <c r="G1331">
        <v>-0.048319153613036</v>
      </c>
      <c r="H1331">
        <v>-0.405843922105035</v>
      </c>
      <c r="I1331">
        <v>0.065241504487244</v>
      </c>
    </row>
    <row r="1332" spans="1:9">
      <c r="A1332" s="1" t="s">
        <v>1344</v>
      </c>
      <c r="B1332">
        <f>HYPERLINK("https://www.suredividend.com/sure-analysis-research-database/","Harmonic, Inc.")</f>
        <v>0</v>
      </c>
      <c r="C1332">
        <v>0.101694915254237</v>
      </c>
      <c r="D1332">
        <v>-0.08571428571428501</v>
      </c>
      <c r="E1332">
        <v>-0.255547602004294</v>
      </c>
      <c r="F1332">
        <v>-0.206106870229007</v>
      </c>
      <c r="G1332">
        <v>-0.272727272727272</v>
      </c>
      <c r="H1332">
        <v>-0.009523809523809001</v>
      </c>
      <c r="I1332">
        <v>0.6883116883116881</v>
      </c>
    </row>
    <row r="1333" spans="1:9">
      <c r="A1333" s="1" t="s">
        <v>1345</v>
      </c>
      <c r="B1333">
        <f>HYPERLINK("https://www.suredividend.com/sure-analysis-research-database/","Hamilton Lane Inc")</f>
        <v>0</v>
      </c>
      <c r="C1333">
        <v>-0.012331838565022</v>
      </c>
      <c r="D1333">
        <v>-0.017668585242059</v>
      </c>
      <c r="E1333">
        <v>0.264492868030577</v>
      </c>
      <c r="F1333">
        <v>0.4177526448087071</v>
      </c>
      <c r="G1333">
        <v>0.424913833956295</v>
      </c>
      <c r="H1333">
        <v>-0.155374635929078</v>
      </c>
      <c r="I1333">
        <v>1.776499656483016</v>
      </c>
    </row>
    <row r="1334" spans="1:9">
      <c r="A1334" s="1" t="s">
        <v>1346</v>
      </c>
      <c r="B1334">
        <f>HYPERLINK("https://www.suredividend.com/sure-analysis-research-database/","Hilton Worldwide Holdings Inc")</f>
        <v>0</v>
      </c>
      <c r="C1334">
        <v>0.022785149443774</v>
      </c>
      <c r="D1334">
        <v>-0.00304794802419</v>
      </c>
      <c r="E1334">
        <v>0.04776668209048</v>
      </c>
      <c r="F1334">
        <v>0.21154291919766</v>
      </c>
      <c r="G1334">
        <v>0.181425715013364</v>
      </c>
      <c r="H1334">
        <v>0.086839640948403</v>
      </c>
      <c r="I1334">
        <v>1.130930323800322</v>
      </c>
    </row>
    <row r="1335" spans="1:9">
      <c r="A1335" s="1" t="s">
        <v>1347</v>
      </c>
      <c r="B1335">
        <f>HYPERLINK("https://www.suredividend.com/sure-analysis-research-database/","Helix Energy Solutions Group Inc")</f>
        <v>0</v>
      </c>
      <c r="C1335">
        <v>-0.043884220354808</v>
      </c>
      <c r="D1335">
        <v>0.09168443496801701</v>
      </c>
      <c r="E1335">
        <v>0.5081001472754051</v>
      </c>
      <c r="F1335">
        <v>0.3875338753387531</v>
      </c>
      <c r="G1335">
        <v>0.5125553914327911</v>
      </c>
      <c r="H1335">
        <v>1.598984771573604</v>
      </c>
      <c r="I1335">
        <v>0.241212121212121</v>
      </c>
    </row>
    <row r="1336" spans="1:9">
      <c r="A1336" s="1" t="s">
        <v>1348</v>
      </c>
      <c r="B1336">
        <f>HYPERLINK("https://www.suredividend.com/sure-analysis-research-database/","Houghton Mifflin Harcourt Co")</f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</row>
    <row r="1337" spans="1:9">
      <c r="A1337" s="1" t="s">
        <v>1349</v>
      </c>
      <c r="B1337">
        <f>HYPERLINK("https://www.suredividend.com/sure-analysis-HMN/","Horace Mann Educators Corp.")</f>
        <v>0</v>
      </c>
      <c r="C1337">
        <v>0.102413793103448</v>
      </c>
      <c r="D1337">
        <v>0.126842971594533</v>
      </c>
      <c r="E1337">
        <v>0.056464857755615</v>
      </c>
      <c r="F1337">
        <v>-0.116841070067072</v>
      </c>
      <c r="G1337">
        <v>-0.15735593738551</v>
      </c>
      <c r="H1337">
        <v>-0.138648726563405</v>
      </c>
      <c r="I1337">
        <v>-0.07985701375177701</v>
      </c>
    </row>
    <row r="1338" spans="1:9">
      <c r="A1338" s="1" t="s">
        <v>1350</v>
      </c>
      <c r="B1338">
        <f>HYPERLINK("https://www.suredividend.com/sure-analysis-research-database/","HMN Financial Inc.")</f>
        <v>0</v>
      </c>
      <c r="C1338">
        <v>-0.036224489795918</v>
      </c>
      <c r="D1338">
        <v>-0.029350708075555</v>
      </c>
      <c r="E1338">
        <v>0.068052288764248</v>
      </c>
      <c r="F1338">
        <v>-0.09716148335077801</v>
      </c>
      <c r="G1338">
        <v>-0.154964861032204</v>
      </c>
      <c r="H1338">
        <v>-0.176967283469198</v>
      </c>
      <c r="I1338">
        <v>-0.05511259616442701</v>
      </c>
    </row>
    <row r="1339" spans="1:9">
      <c r="A1339" s="1" t="s">
        <v>1351</v>
      </c>
      <c r="B1339">
        <f>HYPERLINK("https://www.suredividend.com/sure-analysis-research-database/","HomeStreet Inc")</f>
        <v>0</v>
      </c>
      <c r="C1339">
        <v>-0.27931488801054</v>
      </c>
      <c r="D1339">
        <v>-0.409344664125516</v>
      </c>
      <c r="E1339">
        <v>-0.161120142318191</v>
      </c>
      <c r="F1339">
        <v>-0.788782701032918</v>
      </c>
      <c r="G1339">
        <v>-0.748223294178296</v>
      </c>
      <c r="H1339">
        <v>-0.8702629369435181</v>
      </c>
      <c r="I1339">
        <v>-0.762763908887462</v>
      </c>
    </row>
    <row r="1340" spans="1:9">
      <c r="A1340" s="1" t="s">
        <v>1352</v>
      </c>
      <c r="B1340">
        <f>HYPERLINK("https://www.suredividend.com/sure-analysis-research-database/","HMS Holdings Corp")</f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</row>
    <row r="1341" spans="1:9">
      <c r="A1341" s="1" t="s">
        <v>1353</v>
      </c>
      <c r="B1341">
        <f>HYPERLINK("https://www.suredividend.com/sure-analysis-research-database/","Hemisphere Media Group Inc")</f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</row>
    <row r="1342" spans="1:9">
      <c r="A1342" s="1" t="s">
        <v>1354</v>
      </c>
      <c r="B1342">
        <f>HYPERLINK("https://www.suredividend.com/sure-analysis-research-database/","Hanger Inc")</f>
        <v>0</v>
      </c>
      <c r="C1342">
        <v>0.003215434083601</v>
      </c>
      <c r="D1342">
        <v>0.277815699658702</v>
      </c>
      <c r="E1342">
        <v>0.026878771256171</v>
      </c>
      <c r="F1342">
        <v>0.03254274682846101</v>
      </c>
      <c r="G1342">
        <v>-0.162041181736795</v>
      </c>
      <c r="H1342">
        <v>0.167810355583281</v>
      </c>
      <c r="I1342">
        <v>0.4534161490683221</v>
      </c>
    </row>
    <row r="1343" spans="1:9">
      <c r="A1343" s="1" t="s">
        <v>1355</v>
      </c>
      <c r="B1343">
        <f>HYPERLINK("https://www.suredividend.com/sure-analysis-HNI/","HNI Corp.")</f>
        <v>0</v>
      </c>
      <c r="C1343">
        <v>0.10424597364568</v>
      </c>
      <c r="D1343">
        <v>0.317315485006846</v>
      </c>
      <c r="E1343">
        <v>0.501523024547572</v>
      </c>
      <c r="F1343">
        <v>0.36945508688468</v>
      </c>
      <c r="G1343">
        <v>0.412878135045822</v>
      </c>
      <c r="H1343">
        <v>0.07159602733692301</v>
      </c>
      <c r="I1343">
        <v>0.168360391622258</v>
      </c>
    </row>
    <row r="1344" spans="1:9">
      <c r="A1344" s="1" t="s">
        <v>1356</v>
      </c>
      <c r="B1344">
        <f>HYPERLINK("https://www.suredividend.com/sure-analysis-research-database/","Hallador Energy Co")</f>
        <v>0</v>
      </c>
      <c r="C1344">
        <v>0.024390243902439</v>
      </c>
      <c r="D1344">
        <v>0.5064239828693791</v>
      </c>
      <c r="E1344">
        <v>0.7946428571428571</v>
      </c>
      <c r="F1344">
        <v>0.408408408408408</v>
      </c>
      <c r="G1344">
        <v>0.8038461538461531</v>
      </c>
      <c r="H1344">
        <v>3.568181818181818</v>
      </c>
      <c r="I1344">
        <v>1.43080750492381</v>
      </c>
    </row>
    <row r="1345" spans="1:9">
      <c r="A1345" s="1" t="s">
        <v>1357</v>
      </c>
      <c r="B1345">
        <f>HYPERLINK("https://www.suredividend.com/sure-analysis-research-database/","Hooker Furnishings Corporation")</f>
        <v>0</v>
      </c>
      <c r="C1345">
        <v>-0.121533030761472</v>
      </c>
      <c r="D1345">
        <v>-0.109206569985068</v>
      </c>
      <c r="E1345">
        <v>0.171076691405829</v>
      </c>
      <c r="F1345">
        <v>-0.013567691227434</v>
      </c>
      <c r="G1345">
        <v>0.243548467694152</v>
      </c>
      <c r="H1345">
        <v>-0.231213949362507</v>
      </c>
      <c r="I1345">
        <v>-0.301487246728979</v>
      </c>
    </row>
    <row r="1346" spans="1:9">
      <c r="A1346" s="1" t="s">
        <v>1358</v>
      </c>
      <c r="B1346">
        <f>HYPERLINK("https://www.suredividend.com/sure-analysis-HOG/","Harley-Davidson, Inc.")</f>
        <v>0</v>
      </c>
      <c r="C1346">
        <v>-0.137770897832817</v>
      </c>
      <c r="D1346">
        <v>-0.26289991318893</v>
      </c>
      <c r="E1346">
        <v>-0.22745971556093</v>
      </c>
      <c r="F1346">
        <v>-0.321297844237245</v>
      </c>
      <c r="G1346">
        <v>-0.348576106660429</v>
      </c>
      <c r="H1346">
        <v>-0.250844649120919</v>
      </c>
      <c r="I1346">
        <v>-0.217443837194599</v>
      </c>
    </row>
    <row r="1347" spans="1:9">
      <c r="A1347" s="1" t="s">
        <v>1359</v>
      </c>
      <c r="B1347">
        <f>HYPERLINK("https://www.suredividend.com/sure-analysis-research-database/","Hologic, Inc.")</f>
        <v>0</v>
      </c>
      <c r="C1347">
        <v>-0.032815449397415</v>
      </c>
      <c r="D1347">
        <v>-0.119730408352054</v>
      </c>
      <c r="E1347">
        <v>-0.206740502560438</v>
      </c>
      <c r="F1347">
        <v>-0.109611014570244</v>
      </c>
      <c r="G1347">
        <v>-0.102895622895622</v>
      </c>
      <c r="H1347">
        <v>-0.060640248201946</v>
      </c>
      <c r="I1347">
        <v>0.659855469723398</v>
      </c>
    </row>
    <row r="1348" spans="1:9">
      <c r="A1348" s="1" t="s">
        <v>1360</v>
      </c>
      <c r="B1348">
        <f>HYPERLINK("https://www.suredividend.com/sure-analysis-HOMB/","Home Bancshares Inc")</f>
        <v>0</v>
      </c>
      <c r="C1348">
        <v>0.023357664233576</v>
      </c>
      <c r="D1348">
        <v>-0.127512601904287</v>
      </c>
      <c r="E1348">
        <v>0.05679454064864901</v>
      </c>
      <c r="F1348">
        <v>-0.05498011548745101</v>
      </c>
      <c r="G1348">
        <v>-0.120297166378033</v>
      </c>
      <c r="H1348">
        <v>-0.09834202978086601</v>
      </c>
      <c r="I1348">
        <v>0.239567124062809</v>
      </c>
    </row>
    <row r="1349" spans="1:9">
      <c r="A1349" s="1" t="s">
        <v>1361</v>
      </c>
      <c r="B1349">
        <f>HYPERLINK("https://www.suredividend.com/sure-analysis-research-database/","At Home Group Inc")</f>
        <v>0</v>
      </c>
      <c r="C1349">
        <v>0.005709624796084001</v>
      </c>
      <c r="D1349">
        <v>0.181411689556052</v>
      </c>
      <c r="E1349">
        <v>0.4754686876745111</v>
      </c>
      <c r="F1349">
        <v>1.392626131953428</v>
      </c>
      <c r="G1349">
        <v>3.28125</v>
      </c>
      <c r="H1349">
        <v>5.124172185430464</v>
      </c>
      <c r="I1349">
        <v>1.466</v>
      </c>
    </row>
    <row r="1350" spans="1:9">
      <c r="A1350" s="1" t="s">
        <v>1362</v>
      </c>
      <c r="B1350">
        <f>HYPERLINK("https://www.suredividend.com/sure-analysis-HON/","Honeywell International Inc")</f>
        <v>0</v>
      </c>
      <c r="C1350">
        <v>0.020918898198346</v>
      </c>
      <c r="D1350">
        <v>-0.02293480135069</v>
      </c>
      <c r="E1350">
        <v>-0.044362337531857</v>
      </c>
      <c r="F1350">
        <v>-0.111207519194875</v>
      </c>
      <c r="G1350">
        <v>-0.040501905563318</v>
      </c>
      <c r="H1350">
        <v>-0.112902995564276</v>
      </c>
      <c r="I1350">
        <v>0.434177315489007</v>
      </c>
    </row>
    <row r="1351" spans="1:9">
      <c r="A1351" s="1" t="s">
        <v>1363</v>
      </c>
      <c r="B1351">
        <f>HYPERLINK("https://www.suredividend.com/sure-analysis-research-database/","HarborOne Bancorp Inc.")</f>
        <v>0</v>
      </c>
      <c r="C1351">
        <v>0.109180954025096</v>
      </c>
      <c r="D1351">
        <v>-0.002909796314258</v>
      </c>
      <c r="E1351">
        <v>0.237674424204481</v>
      </c>
      <c r="F1351">
        <v>-0.237569716387801</v>
      </c>
      <c r="G1351">
        <v>-0.277420080411617</v>
      </c>
      <c r="H1351">
        <v>-0.261313826653061</v>
      </c>
      <c r="I1351">
        <v>0.105435776116995</v>
      </c>
    </row>
    <row r="1352" spans="1:9">
      <c r="A1352" s="1" t="s">
        <v>1364</v>
      </c>
      <c r="B1352">
        <f>HYPERLINK("https://www.suredividend.com/sure-analysis-research-database/","Hope Bancorp Inc")</f>
        <v>0</v>
      </c>
      <c r="C1352">
        <v>0.071020674544903</v>
      </c>
      <c r="D1352">
        <v>-0.113926491573142</v>
      </c>
      <c r="E1352">
        <v>0.212769046016601</v>
      </c>
      <c r="F1352">
        <v>-0.226639289080382</v>
      </c>
      <c r="G1352">
        <v>-0.236768015679891</v>
      </c>
      <c r="H1352">
        <v>-0.300646084302967</v>
      </c>
      <c r="I1352">
        <v>-0.197968302729874</v>
      </c>
    </row>
    <row r="1353" spans="1:9">
      <c r="A1353" s="1" t="s">
        <v>1365</v>
      </c>
      <c r="B1353">
        <f>HYPERLINK("https://www.suredividend.com/sure-analysis-research-database/","Hovnanian Enterprises, Inc.")</f>
        <v>0</v>
      </c>
      <c r="C1353">
        <v>-0.23137178106335</v>
      </c>
      <c r="D1353">
        <v>-0.259014536530111</v>
      </c>
      <c r="E1353">
        <v>0.060094530722484</v>
      </c>
      <c r="F1353">
        <v>0.8654942965779461</v>
      </c>
      <c r="G1353">
        <v>1.070693748351358</v>
      </c>
      <c r="H1353">
        <v>-0.075382803297997</v>
      </c>
      <c r="I1353">
        <v>1.195804195804195</v>
      </c>
    </row>
    <row r="1354" spans="1:9">
      <c r="A1354" s="1" t="s">
        <v>1366</v>
      </c>
      <c r="B1354">
        <f>HYPERLINK("https://www.suredividend.com/sure-analysis-HP/","Helmerich &amp; Payne, Inc.")</f>
        <v>0</v>
      </c>
      <c r="C1354">
        <v>0.018587360594795</v>
      </c>
      <c r="D1354">
        <v>-0.07616159754362301</v>
      </c>
      <c r="E1354">
        <v>0.334848976940565</v>
      </c>
      <c r="F1354">
        <v>-0.154399284016912</v>
      </c>
      <c r="G1354">
        <v>-0.113863189963153</v>
      </c>
      <c r="H1354">
        <v>0.331014582867802</v>
      </c>
      <c r="I1354">
        <v>-0.143362728566872</v>
      </c>
    </row>
    <row r="1355" spans="1:9">
      <c r="A1355" s="1" t="s">
        <v>1367</v>
      </c>
      <c r="B1355">
        <f>HYPERLINK("https://www.suredividend.com/sure-analysis-HPE/","Hewlett Packard Enterprise Co")</f>
        <v>0</v>
      </c>
      <c r="C1355">
        <v>-0.106077981651376</v>
      </c>
      <c r="D1355">
        <v>-0.08931064495966401</v>
      </c>
      <c r="E1355">
        <v>0.109782314668488</v>
      </c>
      <c r="F1355">
        <v>-0.000500070522766</v>
      </c>
      <c r="G1355">
        <v>0.147842733029008</v>
      </c>
      <c r="H1355">
        <v>0.08909023591133501</v>
      </c>
      <c r="I1355">
        <v>0.161041437040126</v>
      </c>
    </row>
    <row r="1356" spans="1:9">
      <c r="A1356" s="1" t="s">
        <v>1368</v>
      </c>
      <c r="B1356">
        <f>HYPERLINK("https://www.suredividend.com/sure-analysis-research-database/","Hudson Pacific Properties Inc")</f>
        <v>0</v>
      </c>
      <c r="C1356">
        <v>-0.224358974358974</v>
      </c>
      <c r="D1356">
        <v>-0.150877192982456</v>
      </c>
      <c r="E1356">
        <v>-0.002555436485038</v>
      </c>
      <c r="F1356">
        <v>-0.47044213705045</v>
      </c>
      <c r="G1356">
        <v>-0.519331035921067</v>
      </c>
      <c r="H1356">
        <v>-0.7810776948024041</v>
      </c>
      <c r="I1356">
        <v>-0.792130150576795</v>
      </c>
    </row>
    <row r="1357" spans="1:9">
      <c r="A1357" s="1" t="s">
        <v>1369</v>
      </c>
      <c r="B1357">
        <f>HYPERLINK("https://www.suredividend.com/sure-analysis-HPQ/","HP Inc")</f>
        <v>0</v>
      </c>
      <c r="C1357">
        <v>0.045578496299181</v>
      </c>
      <c r="D1357">
        <v>-0.16675462724377</v>
      </c>
      <c r="E1357">
        <v>-0.09309311338701301</v>
      </c>
      <c r="F1357">
        <v>0.026025260711336</v>
      </c>
      <c r="G1357">
        <v>0.031169439887508</v>
      </c>
      <c r="H1357">
        <v>-0.076457229371688</v>
      </c>
      <c r="I1357">
        <v>0.280705437749317</v>
      </c>
    </row>
    <row r="1358" spans="1:9">
      <c r="A1358" s="1" t="s">
        <v>1370</v>
      </c>
      <c r="B1358">
        <f>HYPERLINK("https://www.suredividend.com/sure-analysis-research-database/","HighPoint Resources Corp")</f>
        <v>0</v>
      </c>
      <c r="C1358">
        <v>-0.375165125495376</v>
      </c>
      <c r="D1358">
        <v>-0.496272630457933</v>
      </c>
      <c r="E1358">
        <v>-0.557943925233644</v>
      </c>
      <c r="F1358">
        <v>-0.4836244541484711</v>
      </c>
      <c r="G1358">
        <v>-0.412057178371659</v>
      </c>
      <c r="H1358">
        <v>-0.9605833333333331</v>
      </c>
      <c r="I1358">
        <v>-0.184482758620689</v>
      </c>
    </row>
    <row r="1359" spans="1:9">
      <c r="A1359" s="1" t="s">
        <v>1371</v>
      </c>
      <c r="B1359">
        <f>HYPERLINK("https://www.suredividend.com/sure-analysis-research-database/","Healthequity Inc")</f>
        <v>0</v>
      </c>
      <c r="C1359">
        <v>-0.09905149051490501</v>
      </c>
      <c r="D1359">
        <v>-0.017001774098166</v>
      </c>
      <c r="E1359">
        <v>0.28881566194999</v>
      </c>
      <c r="F1359">
        <v>0.078682673588578</v>
      </c>
      <c r="G1359">
        <v>-0.133342022940563</v>
      </c>
      <c r="H1359">
        <v>-0.017727877086718</v>
      </c>
      <c r="I1359">
        <v>-0.292734815445165</v>
      </c>
    </row>
    <row r="1360" spans="1:9">
      <c r="A1360" s="1" t="s">
        <v>1372</v>
      </c>
      <c r="B1360">
        <f>HYPERLINK("https://www.suredividend.com/sure-analysis-HR/","Healthcare Realty Trust Inc")</f>
        <v>0</v>
      </c>
      <c r="C1360">
        <v>0.00807537012113</v>
      </c>
      <c r="D1360">
        <v>-0.217971005413645</v>
      </c>
      <c r="E1360">
        <v>-0.201237069425189</v>
      </c>
      <c r="F1360">
        <v>-0.183873603922636</v>
      </c>
      <c r="G1360">
        <v>-0.195933506170056</v>
      </c>
      <c r="H1360">
        <v>-0.4464910562857251</v>
      </c>
      <c r="I1360">
        <v>-0.159456396099159</v>
      </c>
    </row>
    <row r="1361" spans="1:9">
      <c r="A1361" s="1" t="s">
        <v>1373</v>
      </c>
      <c r="B1361">
        <f>HYPERLINK("https://www.suredividend.com/sure-analysis-HRB/","H&amp;R Block Inc.")</f>
        <v>0</v>
      </c>
      <c r="C1361">
        <v>-0.006364922206506</v>
      </c>
      <c r="D1361">
        <v>0.249492347415196</v>
      </c>
      <c r="E1361">
        <v>0.296352681743109</v>
      </c>
      <c r="F1361">
        <v>0.184427933953038</v>
      </c>
      <c r="G1361">
        <v>0.13065124438698</v>
      </c>
      <c r="H1361">
        <v>0.9835294117647051</v>
      </c>
      <c r="I1361">
        <v>0.9298213484483591</v>
      </c>
    </row>
    <row r="1362" spans="1:9">
      <c r="A1362" s="1" t="s">
        <v>1374</v>
      </c>
      <c r="B1362">
        <f>HYPERLINK("https://www.suredividend.com/sure-analysis-research-database/","Hill-Rom Holdings Inc")</f>
        <v>0</v>
      </c>
      <c r="C1362">
        <v>0.005804204823939001</v>
      </c>
      <c r="D1362">
        <v>0.03538059331902</v>
      </c>
      <c r="E1362">
        <v>0.376051272820958</v>
      </c>
      <c r="F1362">
        <v>0.6013915143499911</v>
      </c>
      <c r="G1362">
        <v>0.6363788978889491</v>
      </c>
      <c r="H1362">
        <v>0.443340376049582</v>
      </c>
      <c r="I1362">
        <v>1.90788406499669</v>
      </c>
    </row>
    <row r="1363" spans="1:9">
      <c r="A1363" s="1" t="s">
        <v>1375</v>
      </c>
      <c r="B1363">
        <f>HYPERLINK("https://www.suredividend.com/sure-analysis-research-database/","Herc Holdings Inc")</f>
        <v>0</v>
      </c>
      <c r="C1363">
        <v>-0.006292606187729001</v>
      </c>
      <c r="D1363">
        <v>-0.137361357582305</v>
      </c>
      <c r="E1363">
        <v>0.162525574028953</v>
      </c>
      <c r="F1363">
        <v>-0.122339809647314</v>
      </c>
      <c r="G1363">
        <v>-0.012942862674047</v>
      </c>
      <c r="H1363">
        <v>-0.3759039649584071</v>
      </c>
      <c r="I1363">
        <v>2.555191455033238</v>
      </c>
    </row>
    <row r="1364" spans="1:9">
      <c r="A1364" s="1" t="s">
        <v>1376</v>
      </c>
      <c r="B1364">
        <f>HYPERLINK("https://www.suredividend.com/sure-analysis-HRL/","Hormel Foods Corp.")</f>
        <v>0</v>
      </c>
      <c r="C1364">
        <v>-0.108639587362991</v>
      </c>
      <c r="D1364">
        <v>-0.191551986277338</v>
      </c>
      <c r="E1364">
        <v>-0.16203233676299</v>
      </c>
      <c r="F1364">
        <v>-0.250740114308425</v>
      </c>
      <c r="G1364">
        <v>-0.263036785969712</v>
      </c>
      <c r="H1364">
        <v>-0.190573770491803</v>
      </c>
      <c r="I1364">
        <v>-0.141926140477914</v>
      </c>
    </row>
    <row r="1365" spans="1:9">
      <c r="A1365" s="1" t="s">
        <v>1377</v>
      </c>
      <c r="B1365">
        <f>HYPERLINK("https://www.suredividend.com/sure-analysis-research-database/","Harrow Inc")</f>
        <v>0</v>
      </c>
      <c r="C1365">
        <v>-0.023021582733812</v>
      </c>
      <c r="D1365">
        <v>-0.357007575757575</v>
      </c>
      <c r="E1365">
        <v>-0.469738383443967</v>
      </c>
      <c r="F1365">
        <v>-0.079945799457994</v>
      </c>
      <c r="G1365">
        <v>0.103168155970755</v>
      </c>
      <c r="H1365">
        <v>0.210338680926916</v>
      </c>
      <c r="I1365">
        <v>2.051685393258426</v>
      </c>
    </row>
    <row r="1366" spans="1:9">
      <c r="A1366" s="1" t="s">
        <v>1378</v>
      </c>
      <c r="B1366">
        <f>HYPERLINK("https://www.suredividend.com/sure-analysis-research-database/","Heritage Insurance Holdings Inc.")</f>
        <v>0</v>
      </c>
      <c r="C1366">
        <v>-0.030864197530864</v>
      </c>
      <c r="D1366">
        <v>0.38021978021978</v>
      </c>
      <c r="E1366">
        <v>0.8635014836795251</v>
      </c>
      <c r="F1366">
        <v>2.488888888888889</v>
      </c>
      <c r="G1366">
        <v>2.694117647058824</v>
      </c>
      <c r="H1366">
        <v>-0.035389530597198</v>
      </c>
      <c r="I1366">
        <v>-0.5752509266022781</v>
      </c>
    </row>
    <row r="1367" spans="1:9">
      <c r="A1367" s="1" t="s">
        <v>1379</v>
      </c>
      <c r="B1367">
        <f>HYPERLINK("https://www.suredividend.com/sure-analysis-research-database/","Heron Therapeutics Inc")</f>
        <v>0</v>
      </c>
      <c r="C1367">
        <v>-0.324605196128374</v>
      </c>
      <c r="D1367">
        <v>-0.569545454545454</v>
      </c>
      <c r="E1367">
        <v>-0.7000452488687781</v>
      </c>
      <c r="F1367">
        <v>-0.734839999999999</v>
      </c>
      <c r="G1367">
        <v>-0.8218010752688171</v>
      </c>
      <c r="H1367">
        <v>-0.9419527145359021</v>
      </c>
      <c r="I1367">
        <v>-0.977954772198204</v>
      </c>
    </row>
    <row r="1368" spans="1:9">
      <c r="A1368" s="1" t="s">
        <v>1380</v>
      </c>
      <c r="B1368">
        <f>HYPERLINK("https://www.suredividend.com/sure-analysis-research-database/","Helius Medical Technologies Inc")</f>
        <v>0</v>
      </c>
      <c r="C1368">
        <v>-0.207818930041152</v>
      </c>
      <c r="D1368">
        <v>-0.212276214833759</v>
      </c>
      <c r="E1368">
        <v>-0.139664804469273</v>
      </c>
      <c r="F1368">
        <v>-0.498207885304659</v>
      </c>
      <c r="G1368">
        <v>-0.445843828715365</v>
      </c>
      <c r="H1368">
        <v>-0.9892081289418361</v>
      </c>
      <c r="I1368">
        <v>-0.9999870397643591</v>
      </c>
    </row>
    <row r="1369" spans="1:9">
      <c r="A1369" s="1" t="s">
        <v>1381</v>
      </c>
      <c r="B1369">
        <f>HYPERLINK("https://www.suredividend.com/sure-analysis-research-database/","Henry Schein Inc.")</f>
        <v>0</v>
      </c>
      <c r="C1369">
        <v>-0.155661664392905</v>
      </c>
      <c r="D1369">
        <v>-0.223560406473466</v>
      </c>
      <c r="E1369">
        <v>-0.230989065606361</v>
      </c>
      <c r="F1369">
        <v>-0.225115813196444</v>
      </c>
      <c r="G1369">
        <v>-0.111796785304248</v>
      </c>
      <c r="H1369">
        <v>-0.208972392638036</v>
      </c>
      <c r="I1369">
        <v>-0.055147681837126</v>
      </c>
    </row>
    <row r="1370" spans="1:9">
      <c r="A1370" s="1" t="s">
        <v>1382</v>
      </c>
      <c r="B1370">
        <f>HYPERLINK("https://www.suredividend.com/sure-analysis-research-database/","Heidrick &amp; Struggles International, Inc.")</f>
        <v>0</v>
      </c>
      <c r="C1370">
        <v>-0.014371257485029</v>
      </c>
      <c r="D1370">
        <v>-0.108747915358125</v>
      </c>
      <c r="E1370">
        <v>-0.003290071251236</v>
      </c>
      <c r="F1370">
        <v>-0.09294636296840501</v>
      </c>
      <c r="G1370">
        <v>-0.067953688359047</v>
      </c>
      <c r="H1370">
        <v>-0.458418423863808</v>
      </c>
      <c r="I1370">
        <v>-0.211416416208602</v>
      </c>
    </row>
    <row r="1371" spans="1:9">
      <c r="A1371" s="1" t="s">
        <v>1383</v>
      </c>
      <c r="B1371">
        <f>HYPERLINK("https://www.suredividend.com/sure-analysis-research-database/","Heska Corp.")</f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</row>
    <row r="1372" spans="1:9">
      <c r="A1372" s="1" t="s">
        <v>1384</v>
      </c>
      <c r="B1372">
        <f>HYPERLINK("https://www.suredividend.com/sure-analysis-research-database/","Hudson Global Inc")</f>
        <v>0</v>
      </c>
      <c r="C1372">
        <v>-0.145534729878721</v>
      </c>
      <c r="D1372">
        <v>-0.292237442922374</v>
      </c>
      <c r="E1372">
        <v>-0.297689170820117</v>
      </c>
      <c r="F1372">
        <v>-0.315068493150684</v>
      </c>
      <c r="G1372">
        <v>-0.554981337927074</v>
      </c>
      <c r="H1372">
        <v>-0.105597230236583</v>
      </c>
      <c r="I1372">
        <v>0.006493506493506</v>
      </c>
    </row>
    <row r="1373" spans="1:9">
      <c r="A1373" s="1" t="s">
        <v>1385</v>
      </c>
      <c r="B1373">
        <f>HYPERLINK("https://www.suredividend.com/sure-analysis-research-database/","Host Hotels &amp; Resorts Inc")</f>
        <v>0</v>
      </c>
      <c r="C1373">
        <v>0.023869346733668</v>
      </c>
      <c r="D1373">
        <v>-0.08142103602182001</v>
      </c>
      <c r="E1373">
        <v>0.052869553983787</v>
      </c>
      <c r="F1373">
        <v>0.05632205509724</v>
      </c>
      <c r="G1373">
        <v>-0.050924038987807</v>
      </c>
      <c r="H1373">
        <v>-0.004111857178642001</v>
      </c>
      <c r="I1373">
        <v>-0.010508040380984</v>
      </c>
    </row>
    <row r="1374" spans="1:9">
      <c r="A1374" s="1" t="s">
        <v>1386</v>
      </c>
      <c r="B1374">
        <f>HYPERLINK("https://www.suredividend.com/sure-analysis-research-database/","Healthstream Inc")</f>
        <v>0</v>
      </c>
      <c r="C1374">
        <v>0.16025641025641</v>
      </c>
      <c r="D1374">
        <v>0.116397920521631</v>
      </c>
      <c r="E1374">
        <v>0.040934951835192</v>
      </c>
      <c r="F1374">
        <v>0.026459484420823</v>
      </c>
      <c r="G1374">
        <v>0.061059049150399</v>
      </c>
      <c r="H1374">
        <v>-0.052497756506132</v>
      </c>
      <c r="I1374">
        <v>-0.029416270874827</v>
      </c>
    </row>
    <row r="1375" spans="1:9">
      <c r="A1375" s="1" t="s">
        <v>1387</v>
      </c>
      <c r="B1375">
        <f>HYPERLINK("https://www.suredividend.com/sure-analysis-HSY/","Hershey Company")</f>
        <v>0</v>
      </c>
      <c r="C1375">
        <v>-0.047535299733681</v>
      </c>
      <c r="D1375">
        <v>-0.182704994230858</v>
      </c>
      <c r="E1375">
        <v>-0.302493654182572</v>
      </c>
      <c r="F1375">
        <v>-0.170167170491135</v>
      </c>
      <c r="G1375">
        <v>-0.178849627027478</v>
      </c>
      <c r="H1375">
        <v>0.120429469393449</v>
      </c>
      <c r="I1375">
        <v>0.9834190146629651</v>
      </c>
    </row>
    <row r="1376" spans="1:9">
      <c r="A1376" s="1" t="s">
        <v>1388</v>
      </c>
      <c r="B1376">
        <f>HYPERLINK("https://www.suredividend.com/sure-analysis-research-database/","Hersha Hospitality Trust")</f>
        <v>0</v>
      </c>
      <c r="C1376">
        <v>0.007099391480730001</v>
      </c>
      <c r="D1376">
        <v>0.625470617122278</v>
      </c>
      <c r="E1376">
        <v>0.6774782079870261</v>
      </c>
      <c r="F1376">
        <v>0.190205079646654</v>
      </c>
      <c r="G1376">
        <v>0.125786520038546</v>
      </c>
      <c r="H1376">
        <v>0.046066977782927</v>
      </c>
      <c r="I1376">
        <v>-0.306375339652559</v>
      </c>
    </row>
    <row r="1377" spans="1:9">
      <c r="A1377" s="1" t="s">
        <v>1389</v>
      </c>
      <c r="B1377">
        <f>HYPERLINK("https://www.suredividend.com/sure-analysis-research-database/","HomeTrust Bancshares Inc")</f>
        <v>0</v>
      </c>
      <c r="C1377">
        <v>0.009887005649717001</v>
      </c>
      <c r="D1377">
        <v>-0.120732272199972</v>
      </c>
      <c r="E1377">
        <v>0.08174349819205101</v>
      </c>
      <c r="F1377">
        <v>-0.100757124770473</v>
      </c>
      <c r="G1377">
        <v>-0.08496397445577701</v>
      </c>
      <c r="H1377">
        <v>-0.276745252481657</v>
      </c>
      <c r="I1377">
        <v>-0.164856215105006</v>
      </c>
    </row>
    <row r="1378" spans="1:9">
      <c r="A1378" s="1" t="s">
        <v>1390</v>
      </c>
      <c r="B1378">
        <f>HYPERLINK("https://www.suredividend.com/sure-analysis-research-database/","Heritage Commerce Corp.")</f>
        <v>0</v>
      </c>
      <c r="C1378">
        <v>0.010739856801909</v>
      </c>
      <c r="D1378">
        <v>-0.121979537043755</v>
      </c>
      <c r="E1378">
        <v>0.180142397347117</v>
      </c>
      <c r="F1378">
        <v>-0.320246541042021</v>
      </c>
      <c r="G1378">
        <v>-0.358479133530258</v>
      </c>
      <c r="H1378">
        <v>-0.225486699768651</v>
      </c>
      <c r="I1378">
        <v>-0.262162986192778</v>
      </c>
    </row>
    <row r="1379" spans="1:9">
      <c r="A1379" s="1" t="s">
        <v>1391</v>
      </c>
      <c r="B1379">
        <f>HYPERLINK("https://www.suredividend.com/sure-analysis-research-database/","Heat Biologics Inc")</f>
        <v>0</v>
      </c>
      <c r="C1379">
        <v>-0.229773462783171</v>
      </c>
      <c r="D1379">
        <v>-0.14388489208633</v>
      </c>
      <c r="E1379">
        <v>-0.5633027522935781</v>
      </c>
      <c r="F1379">
        <v>-0.217105263157894</v>
      </c>
      <c r="G1379">
        <v>-0.653566229985444</v>
      </c>
      <c r="H1379">
        <v>-0.382155188079229</v>
      </c>
      <c r="I1379">
        <v>-0.9557752341311131</v>
      </c>
    </row>
    <row r="1380" spans="1:9">
      <c r="A1380" s="1" t="s">
        <v>1392</v>
      </c>
      <c r="B1380">
        <f>HYPERLINK("https://www.suredividend.com/sure-analysis-research-database/","HTG Molecular Diagnostics Inc")</f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</row>
    <row r="1381" spans="1:9">
      <c r="A1381" s="1" t="s">
        <v>1393</v>
      </c>
      <c r="B1381">
        <f>HYPERLINK("https://www.suredividend.com/sure-analysis-research-database/","Hilltop Holdings Inc")</f>
        <v>0</v>
      </c>
      <c r="C1381">
        <v>0.020487460261391</v>
      </c>
      <c r="D1381">
        <v>-0.038455137891324</v>
      </c>
      <c r="E1381">
        <v>-0.03567566124143801</v>
      </c>
      <c r="F1381">
        <v>-0.022748414376321</v>
      </c>
      <c r="G1381">
        <v>0.06032745730612901</v>
      </c>
      <c r="H1381">
        <v>-0.175259497790414</v>
      </c>
      <c r="I1381">
        <v>0.5838294792934441</v>
      </c>
    </row>
    <row r="1382" spans="1:9">
      <c r="A1382" s="1" t="s">
        <v>1394</v>
      </c>
      <c r="B1382">
        <f>HYPERLINK("https://www.suredividend.com/sure-analysis-research-database/","Heartland Express, Inc.")</f>
        <v>0</v>
      </c>
      <c r="C1382">
        <v>-0.158511371467953</v>
      </c>
      <c r="D1382">
        <v>-0.217262534376983</v>
      </c>
      <c r="E1382">
        <v>-0.155350484583935</v>
      </c>
      <c r="F1382">
        <v>-0.198903002309468</v>
      </c>
      <c r="G1382">
        <v>-0.164705560420315</v>
      </c>
      <c r="H1382">
        <v>-0.245210704284557</v>
      </c>
      <c r="I1382">
        <v>-0.36278475067192</v>
      </c>
    </row>
    <row r="1383" spans="1:9">
      <c r="A1383" s="1" t="s">
        <v>1395</v>
      </c>
      <c r="B1383">
        <f>HYPERLINK("https://www.suredividend.com/sure-analysis-research-database/","Heartland Financial USA, Inc.")</f>
        <v>0</v>
      </c>
      <c r="C1383">
        <v>-0.017531797868683</v>
      </c>
      <c r="D1383">
        <v>-0.120520671456926</v>
      </c>
      <c r="E1383">
        <v>-0.040179470990448</v>
      </c>
      <c r="F1383">
        <v>-0.364578238249811</v>
      </c>
      <c r="G1383">
        <v>-0.391760892651543</v>
      </c>
      <c r="H1383">
        <v>-0.395481552457521</v>
      </c>
      <c r="I1383">
        <v>-0.398186557955603</v>
      </c>
    </row>
    <row r="1384" spans="1:9">
      <c r="A1384" s="1" t="s">
        <v>1396</v>
      </c>
      <c r="B1384">
        <f>HYPERLINK("https://www.suredividend.com/sure-analysis-research-database/","Hertz Global Holdings Inc.")</f>
        <v>0</v>
      </c>
      <c r="C1384">
        <v>-0.217279726261762</v>
      </c>
      <c r="D1384">
        <v>-0.4362292051756</v>
      </c>
      <c r="E1384">
        <v>-0.435533621221468</v>
      </c>
      <c r="F1384">
        <v>-0.405458089668616</v>
      </c>
      <c r="G1384">
        <v>-0.4707923655292071</v>
      </c>
      <c r="H1384">
        <v>-0.6503630110813901</v>
      </c>
      <c r="I1384">
        <v>-0.6503630110813901</v>
      </c>
    </row>
    <row r="1385" spans="1:9">
      <c r="A1385" s="1" t="s">
        <v>1397</v>
      </c>
      <c r="B1385">
        <f>HYPERLINK("https://www.suredividend.com/sure-analysis-HUBB/","Hubbell Inc.")</f>
        <v>0</v>
      </c>
      <c r="C1385">
        <v>-0.09231714415055201</v>
      </c>
      <c r="D1385">
        <v>-0.100630049164019</v>
      </c>
      <c r="E1385">
        <v>0.010659248948872</v>
      </c>
      <c r="F1385">
        <v>0.210232328736884</v>
      </c>
      <c r="G1385">
        <v>0.212125661042667</v>
      </c>
      <c r="H1385">
        <v>0.439167968041047</v>
      </c>
      <c r="I1385">
        <v>1.915364994433273</v>
      </c>
    </row>
    <row r="1386" spans="1:9">
      <c r="A1386" s="1" t="s">
        <v>1398</v>
      </c>
      <c r="B1386">
        <f>HYPERLINK("https://www.suredividend.com/sure-analysis-research-database/","Hub Group, Inc.")</f>
        <v>0</v>
      </c>
      <c r="C1386">
        <v>-0.112976701809189</v>
      </c>
      <c r="D1386">
        <v>-0.234957341715312</v>
      </c>
      <c r="E1386">
        <v>-0.095434032386514</v>
      </c>
      <c r="F1386">
        <v>-0.142659454019373</v>
      </c>
      <c r="G1386">
        <v>-0.109383167799268</v>
      </c>
      <c r="H1386">
        <v>-0.151730146875777</v>
      </c>
      <c r="I1386">
        <v>0.471286701208981</v>
      </c>
    </row>
    <row r="1387" spans="1:9">
      <c r="A1387" s="1" t="s">
        <v>1399</v>
      </c>
      <c r="B1387">
        <f>HYPERLINK("https://www.suredividend.com/sure-analysis-research-database/","HubSpot Inc")</f>
        <v>0</v>
      </c>
      <c r="C1387">
        <v>-0.148687928946306</v>
      </c>
      <c r="D1387">
        <v>-0.23767691556857</v>
      </c>
      <c r="E1387">
        <v>0.01727049061701</v>
      </c>
      <c r="F1387">
        <v>0.4586518175215301</v>
      </c>
      <c r="G1387">
        <v>0.600045526974732</v>
      </c>
      <c r="H1387">
        <v>-0.4643415086431351</v>
      </c>
      <c r="I1387">
        <v>2.058968593602669</v>
      </c>
    </row>
    <row r="1388" spans="1:9">
      <c r="A1388" s="1" t="s">
        <v>1400</v>
      </c>
      <c r="B1388">
        <f>HYPERLINK("https://www.suredividend.com/sure-analysis-HUM/","Humana Inc.")</f>
        <v>0</v>
      </c>
      <c r="C1388">
        <v>-0.021027372188554</v>
      </c>
      <c r="D1388">
        <v>-0.003070311500145</v>
      </c>
      <c r="E1388">
        <v>-0.09348651038630201</v>
      </c>
      <c r="F1388">
        <v>-0.054827096579628</v>
      </c>
      <c r="G1388">
        <v>-0.133548224412809</v>
      </c>
      <c r="H1388">
        <v>0.06769719184992601</v>
      </c>
      <c r="I1388">
        <v>0.5434414319443001</v>
      </c>
    </row>
    <row r="1389" spans="1:9">
      <c r="A1389" s="1" t="s">
        <v>1401</v>
      </c>
      <c r="B1389">
        <f>HYPERLINK("https://www.suredividend.com/sure-analysis-HUN/","Huntsman Corp")</f>
        <v>0</v>
      </c>
      <c r="C1389">
        <v>-0.027196652719665</v>
      </c>
      <c r="D1389">
        <v>-0.16649638098106</v>
      </c>
      <c r="E1389">
        <v>-0.09890007673883201</v>
      </c>
      <c r="F1389">
        <v>-0.130311180270594</v>
      </c>
      <c r="G1389">
        <v>-0.08929956364718801</v>
      </c>
      <c r="H1389">
        <v>-0.265254269425729</v>
      </c>
      <c r="I1389">
        <v>0.15465985955363</v>
      </c>
    </row>
    <row r="1390" spans="1:9">
      <c r="A1390" s="1" t="s">
        <v>1402</v>
      </c>
      <c r="B1390">
        <f>HYPERLINK("https://www.suredividend.com/sure-analysis-research-database/","Hurco Companies, Inc.")</f>
        <v>0</v>
      </c>
      <c r="C1390">
        <v>-0.09090909090909001</v>
      </c>
      <c r="D1390">
        <v>-0.103942652329749</v>
      </c>
      <c r="E1390">
        <v>-0.036163158300562</v>
      </c>
      <c r="F1390">
        <v>-0.206409040588209</v>
      </c>
      <c r="G1390">
        <v>-0.106871728917707</v>
      </c>
      <c r="H1390">
        <v>-0.360826323728683</v>
      </c>
      <c r="I1390">
        <v>-0.44866673833999</v>
      </c>
    </row>
    <row r="1391" spans="1:9">
      <c r="A1391" s="1" t="s">
        <v>1403</v>
      </c>
      <c r="B1391">
        <f>HYPERLINK("https://www.suredividend.com/sure-analysis-research-database/","Huron Consulting Group Inc")</f>
        <v>0</v>
      </c>
      <c r="C1391">
        <v>-0.03677182117282701</v>
      </c>
      <c r="D1391">
        <v>-0.006586826347305</v>
      </c>
      <c r="E1391">
        <v>0.168858619069986</v>
      </c>
      <c r="F1391">
        <v>0.371074380165289</v>
      </c>
      <c r="G1391">
        <v>0.312846214719071</v>
      </c>
      <c r="H1391">
        <v>0.889880387317258</v>
      </c>
      <c r="I1391">
        <v>0.8845134418780761</v>
      </c>
    </row>
    <row r="1392" spans="1:9">
      <c r="A1392" s="1" t="s">
        <v>1404</v>
      </c>
      <c r="B1392">
        <f>HYPERLINK("https://www.suredividend.com/sure-analysis-research-database/","Houston American Energy Corp")</f>
        <v>0</v>
      </c>
      <c r="C1392">
        <v>0.100558659217877</v>
      </c>
      <c r="D1392">
        <v>-0.143478260869565</v>
      </c>
      <c r="E1392">
        <v>-0.075117370892018</v>
      </c>
      <c r="F1392">
        <v>-0.427325581395348</v>
      </c>
      <c r="G1392">
        <v>-0.4690026954177891</v>
      </c>
      <c r="H1392">
        <v>0.036842105263158</v>
      </c>
      <c r="I1392">
        <v>-0.343333333333333</v>
      </c>
    </row>
    <row r="1393" spans="1:9">
      <c r="A1393" s="1" t="s">
        <v>1405</v>
      </c>
      <c r="B1393">
        <f>HYPERLINK("https://www.suredividend.com/sure-analysis-research-database/","Haverty Furniture Cos., Inc.")</f>
        <v>0</v>
      </c>
      <c r="C1393">
        <v>-0.04604810996563501</v>
      </c>
      <c r="D1393">
        <v>-0.144999045207867</v>
      </c>
      <c r="E1393">
        <v>-0.020036995721487</v>
      </c>
      <c r="F1393">
        <v>-0.05479853180521201</v>
      </c>
      <c r="G1393">
        <v>0.055300642836234</v>
      </c>
      <c r="H1393">
        <v>-0.003828942788346</v>
      </c>
      <c r="I1393">
        <v>0.6452320274995551</v>
      </c>
    </row>
    <row r="1394" spans="1:9">
      <c r="A1394" s="1" t="s">
        <v>1406</v>
      </c>
      <c r="B1394">
        <f>HYPERLINK("https://www.suredividend.com/sure-analysis-research-database/","Hawthorn Bancshares Inc")</f>
        <v>0</v>
      </c>
      <c r="C1394">
        <v>0.07788347205707401</v>
      </c>
      <c r="D1394">
        <v>0.05419234794743501</v>
      </c>
      <c r="E1394">
        <v>-0.111252726782519</v>
      </c>
      <c r="F1394">
        <v>-0.127803488786044</v>
      </c>
      <c r="G1394">
        <v>-0.14443600258604</v>
      </c>
      <c r="H1394">
        <v>-0.192920133370727</v>
      </c>
      <c r="I1394">
        <v>-0.053846715861766</v>
      </c>
    </row>
    <row r="1395" spans="1:9">
      <c r="A1395" s="1" t="s">
        <v>1407</v>
      </c>
      <c r="B1395">
        <f>HYPERLINK("https://www.suredividend.com/sure-analysis-research-database/","Hancock Whitney Corp.")</f>
        <v>0</v>
      </c>
      <c r="C1395">
        <v>0.03187028235951801</v>
      </c>
      <c r="D1395">
        <v>-0.14020825083277</v>
      </c>
      <c r="E1395">
        <v>0.09580500549238401</v>
      </c>
      <c r="F1395">
        <v>-0.208817685100435</v>
      </c>
      <c r="G1395">
        <v>-0.28893563817593</v>
      </c>
      <c r="H1395">
        <v>-0.230823733391127</v>
      </c>
      <c r="I1395">
        <v>0.021051758001604</v>
      </c>
    </row>
    <row r="1396" spans="1:9">
      <c r="A1396" s="1" t="s">
        <v>1408</v>
      </c>
      <c r="B1396">
        <f>HYPERLINK("https://www.suredividend.com/sure-analysis-research-database/","Houston Wire &amp; Cable Company")</f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</row>
    <row r="1397" spans="1:9">
      <c r="A1397" s="1" t="s">
        <v>1409</v>
      </c>
      <c r="B1397">
        <f>HYPERLINK("https://www.suredividend.com/sure-analysis-HWKN/","Hawkins Inc")</f>
        <v>0</v>
      </c>
      <c r="C1397">
        <v>-0.09465293922284901</v>
      </c>
      <c r="D1397">
        <v>0.188524590163934</v>
      </c>
      <c r="E1397">
        <v>0.367032746602477</v>
      </c>
      <c r="F1397">
        <v>0.430659462636748</v>
      </c>
      <c r="G1397">
        <v>0.201887042017547</v>
      </c>
      <c r="H1397">
        <v>0.5570336395804111</v>
      </c>
      <c r="I1397">
        <v>2.133891670355064</v>
      </c>
    </row>
    <row r="1398" spans="1:9">
      <c r="A1398" s="1" t="s">
        <v>1410</v>
      </c>
      <c r="B1398">
        <f>HYPERLINK("https://www.suredividend.com/sure-analysis-research-database/","Hexcel Corp.")</f>
        <v>0</v>
      </c>
      <c r="C1398">
        <v>0.002314350059843</v>
      </c>
      <c r="D1398">
        <v>-0.05347985778681801</v>
      </c>
      <c r="E1398">
        <v>-0.130538094312314</v>
      </c>
      <c r="F1398">
        <v>0.102360317767344</v>
      </c>
      <c r="G1398">
        <v>0.172704394727929</v>
      </c>
      <c r="H1398">
        <v>0.111021017964381</v>
      </c>
      <c r="I1398">
        <v>0.125933178313548</v>
      </c>
    </row>
    <row r="1399" spans="1:9">
      <c r="A1399" s="1" t="s">
        <v>1411</v>
      </c>
      <c r="B1399">
        <f>HYPERLINK("https://www.suredividend.com/sure-analysis-research-database/","Hyster-Yale Materials Handling Inc")</f>
        <v>0</v>
      </c>
      <c r="C1399">
        <v>-0.024318181818181</v>
      </c>
      <c r="D1399">
        <v>-0.15651358950328</v>
      </c>
      <c r="E1399">
        <v>-0.200350184405617</v>
      </c>
      <c r="F1399">
        <v>0.7371916009436591</v>
      </c>
      <c r="G1399">
        <v>0.496235884567126</v>
      </c>
      <c r="H1399">
        <v>-0.05661206604814201</v>
      </c>
      <c r="I1399">
        <v>-0.231514183781422</v>
      </c>
    </row>
    <row r="1400" spans="1:9">
      <c r="A1400" s="1" t="s">
        <v>1412</v>
      </c>
      <c r="B1400">
        <f>HYPERLINK("https://www.suredividend.com/sure-analysis-research-database/","Horizon Global Corp")</f>
        <v>0</v>
      </c>
      <c r="C1400">
        <v>0.017341040462427</v>
      </c>
      <c r="D1400">
        <v>1.932844525912348</v>
      </c>
      <c r="E1400">
        <v>0.313432835820895</v>
      </c>
      <c r="F1400">
        <v>3.526748971193416</v>
      </c>
      <c r="G1400">
        <v>-0.7555555555555551</v>
      </c>
      <c r="H1400">
        <v>-0.8232931726907631</v>
      </c>
      <c r="I1400">
        <v>-0.8072289156626501</v>
      </c>
    </row>
    <row r="1401" spans="1:9">
      <c r="A1401" s="1" t="s">
        <v>1413</v>
      </c>
      <c r="B1401">
        <f>HYPERLINK("https://www.suredividend.com/sure-analysis-research-database/","Horizon Therapeutics Plc")</f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</row>
    <row r="1402" spans="1:9">
      <c r="A1402" s="1" t="s">
        <v>1414</v>
      </c>
      <c r="B1402">
        <f>HYPERLINK("https://www.suredividend.com/sure-analysis-research-database/","Marinemax, Inc.")</f>
        <v>0</v>
      </c>
      <c r="C1402">
        <v>-0.12443095599393</v>
      </c>
      <c r="D1402">
        <v>-0.251232805606021</v>
      </c>
      <c r="E1402">
        <v>0.030357142857142</v>
      </c>
      <c r="F1402">
        <v>-0.075912876361306</v>
      </c>
      <c r="G1402">
        <v>-0.086736308958531</v>
      </c>
      <c r="H1402">
        <v>-0.456890060240963</v>
      </c>
      <c r="I1402">
        <v>0.161433172302737</v>
      </c>
    </row>
    <row r="1403" spans="1:9">
      <c r="A1403" s="1" t="s">
        <v>1415</v>
      </c>
      <c r="B1403">
        <f>HYPERLINK("https://www.suredividend.com/sure-analysis-research-database/","IAA Inc")</f>
        <v>0</v>
      </c>
      <c r="C1403">
        <v>-0.03218984962406</v>
      </c>
      <c r="D1403">
        <v>0.08997089177030901</v>
      </c>
      <c r="E1403">
        <v>0.103106588109266</v>
      </c>
      <c r="F1403">
        <v>0.029749999999999</v>
      </c>
      <c r="G1403">
        <v>0.168510638297872</v>
      </c>
      <c r="H1403">
        <v>-0.251090909090909</v>
      </c>
      <c r="I1403">
        <v>0.126333059885151</v>
      </c>
    </row>
    <row r="1404" spans="1:9">
      <c r="A1404" s="1" t="s">
        <v>1416</v>
      </c>
      <c r="B1404">
        <f>HYPERLINK("https://www.suredividend.com/sure-analysis-research-database/","IAC Inc")</f>
        <v>0</v>
      </c>
      <c r="C1404">
        <v>-0.142204568023833</v>
      </c>
      <c r="D1404">
        <v>-0.365692465854016</v>
      </c>
      <c r="E1404">
        <v>-0.165410628019323</v>
      </c>
      <c r="F1404">
        <v>-0.027252252252252</v>
      </c>
      <c r="G1404">
        <v>-0.100957535387177</v>
      </c>
      <c r="H1404">
        <v>-0.7158552631578941</v>
      </c>
      <c r="I1404">
        <v>-0.7279198689681241</v>
      </c>
    </row>
    <row r="1405" spans="1:9">
      <c r="A1405" s="1" t="s">
        <v>1417</v>
      </c>
      <c r="B1405">
        <f>HYPERLINK("https://www.suredividend.com/sure-analysis-research-database/","Integra Lifesciences Holdings Corp")</f>
        <v>0</v>
      </c>
      <c r="C1405">
        <v>-0.005524861878453</v>
      </c>
      <c r="D1405">
        <v>-0.150179856115107</v>
      </c>
      <c r="E1405">
        <v>-0.276555023923445</v>
      </c>
      <c r="F1405">
        <v>-0.325842696629213</v>
      </c>
      <c r="G1405">
        <v>-0.226361031518624</v>
      </c>
      <c r="H1405">
        <v>-0.4839590443686</v>
      </c>
      <c r="I1405">
        <v>-0.295564666418188</v>
      </c>
    </row>
    <row r="1406" spans="1:9">
      <c r="A1406" s="1" t="s">
        <v>1418</v>
      </c>
      <c r="B1406">
        <f>HYPERLINK("https://www.suredividend.com/sure-analysis-research-database/","Independent Bank Corporation (Ionia, MI)")</f>
        <v>0</v>
      </c>
      <c r="C1406">
        <v>0.145839210155148</v>
      </c>
      <c r="D1406">
        <v>0.025343295638125</v>
      </c>
      <c r="E1406">
        <v>0.371611491551521</v>
      </c>
      <c r="F1406">
        <v>-0.076608320072743</v>
      </c>
      <c r="G1406">
        <v>-0.019205416342713</v>
      </c>
      <c r="H1406">
        <v>0.007625407440849</v>
      </c>
      <c r="I1406">
        <v>0.14187726646614</v>
      </c>
    </row>
    <row r="1407" spans="1:9">
      <c r="A1407" s="1" t="s">
        <v>1419</v>
      </c>
      <c r="B1407">
        <f>HYPERLINK("https://www.suredividend.com/sure-analysis-research-database/","iBio Inc")</f>
        <v>0</v>
      </c>
      <c r="C1407">
        <v>-0.131493506493506</v>
      </c>
      <c r="D1407">
        <v>-0.4663873927787751</v>
      </c>
      <c r="E1407">
        <v>-0.7568181818181811</v>
      </c>
      <c r="F1407">
        <v>-0.398064806480648</v>
      </c>
      <c r="G1407">
        <v>-0.8701456310679611</v>
      </c>
      <c r="H1407">
        <v>-0.9865813895159261</v>
      </c>
      <c r="I1407">
        <v>-0.9863694267515921</v>
      </c>
    </row>
    <row r="1408" spans="1:9">
      <c r="A1408" s="1" t="s">
        <v>1420</v>
      </c>
      <c r="B1408">
        <f>HYPERLINK("https://www.suredividend.com/sure-analysis-research-database/","Interactive Brokers Group Inc")</f>
        <v>0</v>
      </c>
      <c r="C1408">
        <v>-0.062098751021361</v>
      </c>
      <c r="D1408">
        <v>-0.095288066584996</v>
      </c>
      <c r="E1408">
        <v>0.08906918808434901</v>
      </c>
      <c r="F1408">
        <v>0.117157650618155</v>
      </c>
      <c r="G1408">
        <v>0.00869600149641</v>
      </c>
      <c r="H1408">
        <v>0.09642539394898601</v>
      </c>
      <c r="I1408">
        <v>0.5050705987689701</v>
      </c>
    </row>
    <row r="1409" spans="1:9">
      <c r="A1409" s="1" t="s">
        <v>1421</v>
      </c>
      <c r="B1409">
        <f>HYPERLINK("https://www.suredividend.com/sure-analysis-IBM/","International Business Machines Corp.")</f>
        <v>0</v>
      </c>
      <c r="C1409">
        <v>0.04410511363636301</v>
      </c>
      <c r="D1409">
        <v>0.031433426553604</v>
      </c>
      <c r="E1409">
        <v>0.204294204625977</v>
      </c>
      <c r="F1409">
        <v>0.08297850397065</v>
      </c>
      <c r="G1409">
        <v>0.128407924722656</v>
      </c>
      <c r="H1409">
        <v>0.286139595269777</v>
      </c>
      <c r="I1409">
        <v>0.624279896318328</v>
      </c>
    </row>
    <row r="1410" spans="1:9">
      <c r="A1410" s="1" t="s">
        <v>1422</v>
      </c>
      <c r="B1410">
        <f>HYPERLINK("https://www.suredividend.com/sure-analysis-IBOC/","International Bancshares Corp.")</f>
        <v>0</v>
      </c>
      <c r="C1410">
        <v>0.05532310553231001</v>
      </c>
      <c r="D1410">
        <v>-0.05177041147733701</v>
      </c>
      <c r="E1410">
        <v>0.12828669416969</v>
      </c>
      <c r="F1410">
        <v>0.033264752471642</v>
      </c>
      <c r="G1410">
        <v>-0.026112623425209</v>
      </c>
      <c r="H1410">
        <v>0.119594381313131</v>
      </c>
      <c r="I1410">
        <v>0.352228794729286</v>
      </c>
    </row>
    <row r="1411" spans="1:9">
      <c r="A1411" s="1" t="s">
        <v>1423</v>
      </c>
      <c r="B1411">
        <f>HYPERLINK("https://www.suredividend.com/sure-analysis-research-database/","Installed Building Products Inc")</f>
        <v>0</v>
      </c>
      <c r="C1411">
        <v>-0.03481373027493</v>
      </c>
      <c r="D1411">
        <v>-0.216251454749849</v>
      </c>
      <c r="E1411">
        <v>-0.01832633989437</v>
      </c>
      <c r="F1411">
        <v>0.397710139464756</v>
      </c>
      <c r="G1411">
        <v>0.518140667900012</v>
      </c>
      <c r="H1411">
        <v>-0.04638524878688501</v>
      </c>
      <c r="I1411">
        <v>2.505434220671604</v>
      </c>
    </row>
    <row r="1412" spans="1:9">
      <c r="A1412" s="1" t="s">
        <v>1424</v>
      </c>
      <c r="B1412">
        <f>HYPERLINK("https://www.suredividend.com/sure-analysis-research-database/","Independent Bank Group Inc")</f>
        <v>0</v>
      </c>
      <c r="C1412">
        <v>-0.039941773397982</v>
      </c>
      <c r="D1412">
        <v>-0.143518464452629</v>
      </c>
      <c r="E1412">
        <v>0.181173378342685</v>
      </c>
      <c r="F1412">
        <v>-0.346824340812702</v>
      </c>
      <c r="G1412">
        <v>-0.369695177918876</v>
      </c>
      <c r="H1412">
        <v>-0.447753439304834</v>
      </c>
      <c r="I1412">
        <v>-0.275618549064151</v>
      </c>
    </row>
    <row r="1413" spans="1:9">
      <c r="A1413" s="1" t="s">
        <v>1425</v>
      </c>
      <c r="B1413">
        <f>HYPERLINK("https://www.suredividend.com/sure-analysis-research-database/","Icad Inc")</f>
        <v>0</v>
      </c>
      <c r="C1413">
        <v>-0.253731343283582</v>
      </c>
      <c r="D1413">
        <v>-0.4252873563218391</v>
      </c>
      <c r="E1413">
        <v>0.07913669064748201</v>
      </c>
      <c r="F1413">
        <v>-0.180327868852459</v>
      </c>
      <c r="G1413">
        <v>-0.23076923076923</v>
      </c>
      <c r="H1413">
        <v>-0.8580889309366131</v>
      </c>
      <c r="I1413">
        <v>-0.480968858131487</v>
      </c>
    </row>
    <row r="1414" spans="1:9">
      <c r="A1414" s="1" t="s">
        <v>1426</v>
      </c>
      <c r="B1414">
        <f>HYPERLINK("https://www.suredividend.com/sure-analysis-research-database/","County Bancorp Inc")</f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</row>
    <row r="1415" spans="1:9">
      <c r="A1415" s="1" t="s">
        <v>1427</v>
      </c>
      <c r="B1415">
        <f>HYPERLINK("https://www.suredividend.com/sure-analysis-research-database/","Immucell Corp.")</f>
        <v>0</v>
      </c>
      <c r="C1415">
        <v>-0.026717557251908</v>
      </c>
      <c r="D1415">
        <v>-0.09090909090909101</v>
      </c>
      <c r="E1415">
        <v>0.013916500994035</v>
      </c>
      <c r="F1415">
        <v>-0.163934426229508</v>
      </c>
      <c r="G1415">
        <v>-0.366341554326893</v>
      </c>
      <c r="H1415">
        <v>-0.431438127090301</v>
      </c>
      <c r="I1415">
        <v>-0.32</v>
      </c>
    </row>
    <row r="1416" spans="1:9">
      <c r="A1416" s="1" t="s">
        <v>1428</v>
      </c>
      <c r="B1416">
        <f>HYPERLINK("https://www.suredividend.com/sure-analysis-research-database/","Independence Contract Drilling Inc")</f>
        <v>0</v>
      </c>
      <c r="C1416">
        <v>-0.09688581314878801</v>
      </c>
      <c r="D1416">
        <v>-0.07773851590106001</v>
      </c>
      <c r="E1416">
        <v>-0.09375000000000001</v>
      </c>
      <c r="F1416">
        <v>-0.201834862385321</v>
      </c>
      <c r="G1416">
        <v>-0.337563451776649</v>
      </c>
      <c r="H1416">
        <v>-0.335877862595419</v>
      </c>
      <c r="I1416">
        <v>-0.969075829383886</v>
      </c>
    </row>
    <row r="1417" spans="1:9">
      <c r="A1417" s="1" t="s">
        <v>1429</v>
      </c>
      <c r="B1417">
        <f>HYPERLINK("https://www.suredividend.com/sure-analysis-ICE/","Intercontinental Exchange Inc")</f>
        <v>0</v>
      </c>
      <c r="C1417">
        <v>-0.027101263504852</v>
      </c>
      <c r="D1417">
        <v>-0.07266481886157501</v>
      </c>
      <c r="E1417">
        <v>-0.000503228658636</v>
      </c>
      <c r="F1417">
        <v>0.048047855526021</v>
      </c>
      <c r="G1417">
        <v>0.164899110046021</v>
      </c>
      <c r="H1417">
        <v>-0.212385398962447</v>
      </c>
      <c r="I1417">
        <v>0.4754788085640531</v>
      </c>
    </row>
    <row r="1418" spans="1:9">
      <c r="A1418" s="1" t="s">
        <v>1430</v>
      </c>
      <c r="B1418">
        <f>HYPERLINK("https://www.suredividend.com/sure-analysis-research-database/","ICF International, Inc")</f>
        <v>0</v>
      </c>
      <c r="C1418">
        <v>0.04101025256314</v>
      </c>
      <c r="D1418">
        <v>0.024759482245789</v>
      </c>
      <c r="E1418">
        <v>0.09343440312875101</v>
      </c>
      <c r="F1418">
        <v>0.268088718488162</v>
      </c>
      <c r="G1418">
        <v>0.06693708155247001</v>
      </c>
      <c r="H1418">
        <v>0.259134243128145</v>
      </c>
      <c r="I1418">
        <v>0.748579253105061</v>
      </c>
    </row>
    <row r="1419" spans="1:9">
      <c r="A1419" s="1" t="s">
        <v>1431</v>
      </c>
      <c r="B1419">
        <f>HYPERLINK("https://www.suredividend.com/sure-analysis-research-database/","Ichor Holdings Ltd")</f>
        <v>0</v>
      </c>
      <c r="C1419">
        <v>-0.163790296320416</v>
      </c>
      <c r="D1419">
        <v>-0.290019353055018</v>
      </c>
      <c r="E1419">
        <v>-0.07791741472172301</v>
      </c>
      <c r="F1419">
        <v>-0.042505592841163</v>
      </c>
      <c r="G1419">
        <v>0.04602851323828901</v>
      </c>
      <c r="H1419">
        <v>-0.433737596471885</v>
      </c>
      <c r="I1419">
        <v>0.323029366306027</v>
      </c>
    </row>
    <row r="1420" spans="1:9">
      <c r="A1420" s="1" t="s">
        <v>1432</v>
      </c>
      <c r="B1420">
        <f>HYPERLINK("https://www.suredividend.com/sure-analysis-research-database/","Iconix Brand Group, Inc.")</f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</row>
    <row r="1421" spans="1:9">
      <c r="A1421" s="1" t="s">
        <v>1433</v>
      </c>
      <c r="B1421">
        <f>HYPERLINK("https://www.suredividend.com/sure-analysis-research-database/","Intercept Pharmaceuticals Inc")</f>
        <v>0</v>
      </c>
      <c r="C1421">
        <v>0.020430107526881</v>
      </c>
      <c r="D1421">
        <v>0.7396883593033911</v>
      </c>
      <c r="E1421">
        <v>0.212779552715654</v>
      </c>
      <c r="F1421">
        <v>0.5343573160873081</v>
      </c>
      <c r="G1421">
        <v>0.223726627981947</v>
      </c>
      <c r="H1421">
        <v>0.08767908309455501</v>
      </c>
      <c r="I1421">
        <v>-0.8267457781834771</v>
      </c>
    </row>
    <row r="1422" spans="1:9">
      <c r="A1422" s="1" t="s">
        <v>1434</v>
      </c>
      <c r="B1422">
        <f>HYPERLINK("https://www.suredividend.com/sure-analysis-research-database/","ICU Medical, Inc.")</f>
        <v>0</v>
      </c>
      <c r="C1422">
        <v>-0.153156202403114</v>
      </c>
      <c r="D1422">
        <v>-0.416443148688046</v>
      </c>
      <c r="E1422">
        <v>-0.466723504023019</v>
      </c>
      <c r="F1422">
        <v>-0.364490728981458</v>
      </c>
      <c r="G1422">
        <v>-0.289960979070592</v>
      </c>
      <c r="H1422">
        <v>-0.576039989833093</v>
      </c>
      <c r="I1422">
        <v>-0.6200311325410981</v>
      </c>
    </row>
    <row r="1423" spans="1:9">
      <c r="A1423" s="1" t="s">
        <v>1435</v>
      </c>
      <c r="B1423">
        <f>HYPERLINK("https://www.suredividend.com/sure-analysis-IDA/","Idacorp, Inc.")</f>
        <v>0</v>
      </c>
      <c r="C1423">
        <v>0.120225938527319</v>
      </c>
      <c r="D1423">
        <v>-0.01567883006398</v>
      </c>
      <c r="E1423">
        <v>-0.08328038063231501</v>
      </c>
      <c r="F1423">
        <v>-0.04941965826923601</v>
      </c>
      <c r="G1423">
        <v>0.004508159860298001</v>
      </c>
      <c r="H1423">
        <v>0.003522424284031</v>
      </c>
      <c r="I1423">
        <v>0.210953156579654</v>
      </c>
    </row>
    <row r="1424" spans="1:9">
      <c r="A1424" s="1" t="s">
        <v>1436</v>
      </c>
      <c r="B1424">
        <f>HYPERLINK("https://www.suredividend.com/sure-analysis-research-database/","Interdigital Inc")</f>
        <v>0</v>
      </c>
      <c r="C1424">
        <v>0.040617361793202</v>
      </c>
      <c r="D1424">
        <v>-0.079471037503361</v>
      </c>
      <c r="E1424">
        <v>0.251771517325363</v>
      </c>
      <c r="F1424">
        <v>0.7221560520741741</v>
      </c>
      <c r="G1424">
        <v>0.801529506161295</v>
      </c>
      <c r="H1424">
        <v>0.252477365458835</v>
      </c>
      <c r="I1424">
        <v>0.258198793890787</v>
      </c>
    </row>
    <row r="1425" spans="1:9">
      <c r="A1425" s="1" t="s">
        <v>1437</v>
      </c>
      <c r="B1425">
        <f>HYPERLINK("https://www.suredividend.com/sure-analysis-research-database/","Intellicheck Inc")</f>
        <v>0</v>
      </c>
      <c r="C1425">
        <v>-0.049327354260089</v>
      </c>
      <c r="D1425">
        <v>-0.175097276264591</v>
      </c>
      <c r="E1425">
        <v>-0.027522935779816</v>
      </c>
      <c r="F1425">
        <v>0.06</v>
      </c>
      <c r="G1425">
        <v>-0.036363636363636</v>
      </c>
      <c r="H1425">
        <v>-0.7617977528089881</v>
      </c>
      <c r="I1425">
        <v>-0.116666666666666</v>
      </c>
    </row>
    <row r="1426" spans="1:9">
      <c r="A1426" s="1" t="s">
        <v>1438</v>
      </c>
      <c r="B1426">
        <f>HYPERLINK("https://www.suredividend.com/sure-analysis-research-database/","IDT Corp.")</f>
        <v>0</v>
      </c>
      <c r="C1426">
        <v>0.310737033666969</v>
      </c>
      <c r="D1426">
        <v>0.261936049058256</v>
      </c>
      <c r="E1426">
        <v>-0.120842233750381</v>
      </c>
      <c r="F1426">
        <v>0.02271920482783</v>
      </c>
      <c r="G1426">
        <v>0.163100524828421</v>
      </c>
      <c r="H1426">
        <v>-0.431755424063116</v>
      </c>
      <c r="I1426">
        <v>3.086524822695035</v>
      </c>
    </row>
    <row r="1427" spans="1:9">
      <c r="A1427" s="1" t="s">
        <v>1439</v>
      </c>
      <c r="B1427">
        <f>HYPERLINK("https://www.suredividend.com/sure-analysis-research-database/","Interpace Biosciences Inc")</f>
        <v>0</v>
      </c>
      <c r="C1427">
        <v>-0.04</v>
      </c>
      <c r="D1427">
        <v>-0.507692307692307</v>
      </c>
      <c r="E1427">
        <v>-0.115207373271889</v>
      </c>
      <c r="F1427">
        <v>-0.07692307692307601</v>
      </c>
      <c r="G1427">
        <v>-0.451428571428571</v>
      </c>
      <c r="H1427">
        <v>-0.8863905325443781</v>
      </c>
      <c r="I1427">
        <v>-0.7046153846153841</v>
      </c>
    </row>
    <row r="1428" spans="1:9">
      <c r="A1428" s="1" t="s">
        <v>1440</v>
      </c>
      <c r="B1428">
        <f>HYPERLINK("https://www.suredividend.com/sure-analysis-research-database/","Idexx Laboratories, Inc.")</f>
        <v>0</v>
      </c>
      <c r="C1428">
        <v>-0.026708434853231</v>
      </c>
      <c r="D1428">
        <v>-0.192110636002927</v>
      </c>
      <c r="E1428">
        <v>-0.102571783131498</v>
      </c>
      <c r="F1428">
        <v>0.028140013726835</v>
      </c>
      <c r="G1428">
        <v>0.125590382138256</v>
      </c>
      <c r="H1428">
        <v>-0.331409898780585</v>
      </c>
      <c r="I1428">
        <v>1.046947440339661</v>
      </c>
    </row>
    <row r="1429" spans="1:9">
      <c r="A1429" s="1" t="s">
        <v>1441</v>
      </c>
      <c r="B1429">
        <f>HYPERLINK("https://www.suredividend.com/sure-analysis-research-database/","IEC Electronics Corp.")</f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</row>
    <row r="1430" spans="1:9">
      <c r="A1430" s="1" t="s">
        <v>1442</v>
      </c>
      <c r="B1430">
        <f>HYPERLINK("https://www.suredividend.com/sure-analysis-research-database/","IES Holdings Inc")</f>
        <v>0</v>
      </c>
      <c r="C1430">
        <v>-0.03691171947093101</v>
      </c>
      <c r="D1430">
        <v>0.091701534170153</v>
      </c>
      <c r="E1430">
        <v>0.41354401805869</v>
      </c>
      <c r="F1430">
        <v>0.760472308124824</v>
      </c>
      <c r="G1430">
        <v>0.9062404870624041</v>
      </c>
      <c r="H1430">
        <v>0.247161919936267</v>
      </c>
      <c r="I1430">
        <v>2.517977528089887</v>
      </c>
    </row>
    <row r="1431" spans="1:9">
      <c r="A1431" s="1" t="s">
        <v>1443</v>
      </c>
      <c r="B1431">
        <f>HYPERLINK("https://www.suredividend.com/sure-analysis-IEX/","Idex Corporation")</f>
        <v>0</v>
      </c>
      <c r="C1431">
        <v>-0.060912388204721</v>
      </c>
      <c r="D1431">
        <v>-0.114969401778015</v>
      </c>
      <c r="E1431">
        <v>-0.054983195307866</v>
      </c>
      <c r="F1431">
        <v>-0.142195905812144</v>
      </c>
      <c r="G1431">
        <v>-0.103276314015875</v>
      </c>
      <c r="H1431">
        <v>-0.145271975172753</v>
      </c>
      <c r="I1431">
        <v>0.529743833691819</v>
      </c>
    </row>
    <row r="1432" spans="1:9">
      <c r="A1432" s="1" t="s">
        <v>1444</v>
      </c>
      <c r="B1432">
        <f>HYPERLINK("https://www.suredividend.com/sure-analysis-IFF/","International Flavors &amp; Fragrances Inc.")</f>
        <v>0</v>
      </c>
      <c r="C1432">
        <v>0.05275125056844</v>
      </c>
      <c r="D1432">
        <v>-0.14667171250516</v>
      </c>
      <c r="E1432">
        <v>-0.261582626724435</v>
      </c>
      <c r="F1432">
        <v>-0.316117279239802</v>
      </c>
      <c r="G1432">
        <v>-0.23337940047951</v>
      </c>
      <c r="H1432">
        <v>-0.485942811970537</v>
      </c>
      <c r="I1432">
        <v>-0.453441391131348</v>
      </c>
    </row>
    <row r="1433" spans="1:9">
      <c r="A1433" s="1" t="s">
        <v>1445</v>
      </c>
      <c r="B1433">
        <f>HYPERLINK("https://www.suredividend.com/sure-analysis-research-database/","Independence Holding Co.")</f>
        <v>0</v>
      </c>
      <c r="C1433">
        <v>0.004932117284973001</v>
      </c>
      <c r="D1433">
        <v>0.012771113017866</v>
      </c>
      <c r="E1433">
        <v>0.330837089759721</v>
      </c>
      <c r="F1433">
        <v>0.006882690483801</v>
      </c>
      <c r="G1433">
        <v>0.410450844513937</v>
      </c>
      <c r="H1433">
        <v>0.36454481264735</v>
      </c>
      <c r="I1433">
        <v>2.24887733935125</v>
      </c>
    </row>
    <row r="1434" spans="1:9">
      <c r="A1434" s="1" t="s">
        <v>1446</v>
      </c>
      <c r="B1434">
        <f>HYPERLINK("https://www.suredividend.com/sure-analysis-research-database/","Information Services Group Inc.")</f>
        <v>0</v>
      </c>
      <c r="C1434">
        <v>-0.037383177570093</v>
      </c>
      <c r="D1434">
        <v>-0.169522273735134</v>
      </c>
      <c r="E1434">
        <v>-0.163859236108292</v>
      </c>
      <c r="F1434">
        <v>-0.072698627053792</v>
      </c>
      <c r="G1434">
        <v>-0.179871008838283</v>
      </c>
      <c r="H1434">
        <v>-0.4350824752163001</v>
      </c>
      <c r="I1434">
        <v>0.07794144580204501</v>
      </c>
    </row>
    <row r="1435" spans="1:9">
      <c r="A1435" s="1" t="s">
        <v>1447</v>
      </c>
      <c r="B1435">
        <f>HYPERLINK("https://www.suredividend.com/sure-analysis-research-database/","Insteel Industries, Inc.")</f>
        <v>0</v>
      </c>
      <c r="C1435">
        <v>-0.129111589302182</v>
      </c>
      <c r="D1435">
        <v>-0.123189818726536</v>
      </c>
      <c r="E1435">
        <v>0.020981843605619</v>
      </c>
      <c r="F1435">
        <v>0.032513421216638</v>
      </c>
      <c r="G1435">
        <v>0.21812787547835</v>
      </c>
      <c r="H1435">
        <v>-0.246728867593919</v>
      </c>
      <c r="I1435">
        <v>0.122527013158885</v>
      </c>
    </row>
    <row r="1436" spans="1:9">
      <c r="A1436" s="1" t="s">
        <v>1448</v>
      </c>
      <c r="B1436">
        <f>HYPERLINK("https://www.suredividend.com/sure-analysis-research-database/","i3 Verticals Inc")</f>
        <v>0</v>
      </c>
      <c r="C1436">
        <v>-0.043648847474252</v>
      </c>
      <c r="D1436">
        <v>-0.178947368421052</v>
      </c>
      <c r="E1436">
        <v>-0.144361562088635</v>
      </c>
      <c r="F1436">
        <v>-0.19884963023829</v>
      </c>
      <c r="G1436">
        <v>-0.05978784956605501</v>
      </c>
      <c r="H1436">
        <v>-0.102623101702715</v>
      </c>
      <c r="I1436">
        <v>-0.081920903954802</v>
      </c>
    </row>
    <row r="1437" spans="1:9">
      <c r="A1437" s="1" t="s">
        <v>1449</v>
      </c>
      <c r="B1437">
        <f>HYPERLINK("https://www.suredividend.com/sure-analysis-research-database/","IntriCon Corporation")</f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</row>
    <row r="1438" spans="1:9">
      <c r="A1438" s="1" t="s">
        <v>1450</v>
      </c>
      <c r="B1438">
        <f>HYPERLINK("https://www.suredividend.com/sure-analysis-IIPR/","Innovative Industrial Properties Inc")</f>
        <v>0</v>
      </c>
      <c r="C1438">
        <v>0.04550350026925101</v>
      </c>
      <c r="D1438">
        <v>0.038481030939139</v>
      </c>
      <c r="E1438">
        <v>0.206792598255853</v>
      </c>
      <c r="F1438">
        <v>-0.176768897425786</v>
      </c>
      <c r="G1438">
        <v>-0.200956465194379</v>
      </c>
      <c r="H1438">
        <v>-0.665054766090396</v>
      </c>
      <c r="I1438">
        <v>1.413952808870017</v>
      </c>
    </row>
    <row r="1439" spans="1:9">
      <c r="A1439" s="1" t="s">
        <v>1451</v>
      </c>
      <c r="B1439">
        <f>HYPERLINK("https://www.suredividend.com/sure-analysis-research-database/","Coherent Corp")</f>
        <v>0</v>
      </c>
      <c r="C1439">
        <v>0.266667261660389</v>
      </c>
      <c r="D1439">
        <v>0.317409319330783</v>
      </c>
      <c r="E1439">
        <v>0.420137585991244</v>
      </c>
      <c r="F1439">
        <v>0.420137585991244</v>
      </c>
      <c r="G1439">
        <v>0.113935575397662</v>
      </c>
      <c r="H1439">
        <v>-0.198757417703974</v>
      </c>
      <c r="I1439">
        <v>0.09561863516642401</v>
      </c>
    </row>
    <row r="1440" spans="1:9">
      <c r="A1440" s="1" t="s">
        <v>1452</v>
      </c>
      <c r="B1440">
        <f>HYPERLINK("https://www.suredividend.com/sure-analysis-research-database/","Illumina Inc")</f>
        <v>0</v>
      </c>
      <c r="C1440">
        <v>-0.177220756376429</v>
      </c>
      <c r="D1440">
        <v>-0.407786452838151</v>
      </c>
      <c r="E1440">
        <v>-0.424779667964746</v>
      </c>
      <c r="F1440">
        <v>-0.444807121661721</v>
      </c>
      <c r="G1440">
        <v>-0.467911650393402</v>
      </c>
      <c r="H1440">
        <v>-0.7309268713597461</v>
      </c>
      <c r="I1440">
        <v>-0.65784821700701</v>
      </c>
    </row>
    <row r="1441" spans="1:9">
      <c r="A1441" s="1" t="s">
        <v>1453</v>
      </c>
      <c r="B1441">
        <f>HYPERLINK("https://www.suredividend.com/sure-analysis-ILPT/","Industrial Logistics Properties Trust")</f>
        <v>0</v>
      </c>
      <c r="C1441">
        <v>-0.010043041606886</v>
      </c>
      <c r="D1441">
        <v>-0.292887886862061</v>
      </c>
      <c r="E1441">
        <v>0.393024781708978</v>
      </c>
      <c r="F1441">
        <v>-0.137122491089851</v>
      </c>
      <c r="G1441">
        <v>-0.393193210799402</v>
      </c>
      <c r="H1441">
        <v>-0.895667951916534</v>
      </c>
      <c r="I1441">
        <v>-0.8380661816475</v>
      </c>
    </row>
    <row r="1442" spans="1:9">
      <c r="A1442" s="1" t="s">
        <v>1454</v>
      </c>
      <c r="B1442">
        <f>HYPERLINK("https://www.suredividend.com/sure-analysis-research-database/","iMedia Brands Inc")</f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</row>
    <row r="1443" spans="1:9">
      <c r="A1443" s="1" t="s">
        <v>1455</v>
      </c>
      <c r="B1443">
        <f>HYPERLINK("https://www.suredividend.com/sure-analysis-research-database/","Immunogen, Inc.")</f>
        <v>0</v>
      </c>
      <c r="C1443">
        <v>-0.017121116043119</v>
      </c>
      <c r="D1443">
        <v>-0.097262667443215</v>
      </c>
      <c r="E1443">
        <v>1.98076923076923</v>
      </c>
      <c r="F1443">
        <v>2.125</v>
      </c>
      <c r="G1443">
        <v>1.818181818181818</v>
      </c>
      <c r="H1443">
        <v>1.344931921331316</v>
      </c>
      <c r="I1443">
        <v>1.7336860670194</v>
      </c>
    </row>
    <row r="1444" spans="1:9">
      <c r="A1444" s="1" t="s">
        <v>1456</v>
      </c>
      <c r="B1444">
        <f>HYPERLINK("https://www.suredividend.com/sure-analysis-research-database/","Impac Mortgage Holdings, Inc.")</f>
        <v>0</v>
      </c>
      <c r="C1444">
        <v>-0.374930516953863</v>
      </c>
      <c r="D1444">
        <v>-0.337164750957854</v>
      </c>
      <c r="E1444">
        <v>-0.100759696121551</v>
      </c>
      <c r="F1444">
        <v>0.318288393903868</v>
      </c>
      <c r="G1444">
        <v>-0.664478591675369</v>
      </c>
      <c r="H1444">
        <v>-0.8934123222748811</v>
      </c>
      <c r="I1444">
        <v>-0.9746734234234231</v>
      </c>
    </row>
    <row r="1445" spans="1:9">
      <c r="A1445" s="1" t="s">
        <v>1457</v>
      </c>
      <c r="B1445">
        <f>HYPERLINK("https://www.suredividend.com/sure-analysis-research-database/","Ingles Markets, Inc.")</f>
        <v>0</v>
      </c>
      <c r="C1445">
        <v>0.077912657606724</v>
      </c>
      <c r="D1445">
        <v>-0.05596479837071001</v>
      </c>
      <c r="E1445">
        <v>-0.119298838115055</v>
      </c>
      <c r="F1445">
        <v>-0.150553915763613</v>
      </c>
      <c r="G1445">
        <v>-0.09431188878096201</v>
      </c>
      <c r="H1445">
        <v>0.182536954279821</v>
      </c>
      <c r="I1445">
        <v>1.624573068581743</v>
      </c>
    </row>
    <row r="1446" spans="1:9">
      <c r="A1446" s="1" t="s">
        <v>1458</v>
      </c>
      <c r="B1446">
        <f>HYPERLINK("https://www.suredividend.com/sure-analysis-research-database/","Immersion Corp")</f>
        <v>0</v>
      </c>
      <c r="C1446">
        <v>-0.001541846923042</v>
      </c>
      <c r="D1446">
        <v>-0.037254081205525</v>
      </c>
      <c r="E1446">
        <v>-0.031817917900481</v>
      </c>
      <c r="F1446">
        <v>-0.031452385792698</v>
      </c>
      <c r="G1446">
        <v>0.220226116863634</v>
      </c>
      <c r="H1446">
        <v>-0.277958799268216</v>
      </c>
      <c r="I1446">
        <v>-0.3318106229087771</v>
      </c>
    </row>
    <row r="1447" spans="1:9">
      <c r="A1447" s="1" t="s">
        <v>1459</v>
      </c>
      <c r="B1447">
        <f>HYPERLINK("https://www.suredividend.com/sure-analysis-research-database/","Immunic Inc")</f>
        <v>0</v>
      </c>
      <c r="C1447">
        <v>-0.241134751773049</v>
      </c>
      <c r="D1447">
        <v>-0.504629629629629</v>
      </c>
      <c r="E1447">
        <v>-0.3705882352941171</v>
      </c>
      <c r="F1447">
        <v>-0.235714285714285</v>
      </c>
      <c r="G1447">
        <v>-0.374269005847953</v>
      </c>
      <c r="H1447">
        <v>-0.8902564102564101</v>
      </c>
      <c r="I1447">
        <v>2.297380585516178</v>
      </c>
    </row>
    <row r="1448" spans="1:9">
      <c r="A1448" s="1" t="s">
        <v>1460</v>
      </c>
      <c r="B1448">
        <f>HYPERLINK("https://www.suredividend.com/sure-analysis-research-database/","International Money Express Inc.")</f>
        <v>0</v>
      </c>
      <c r="C1448">
        <v>-0.028185554903112</v>
      </c>
      <c r="D1448">
        <v>-0.147346728490468</v>
      </c>
      <c r="E1448">
        <v>-0.331313131313131</v>
      </c>
      <c r="F1448">
        <v>-0.320886335658596</v>
      </c>
      <c r="G1448">
        <v>-0.354775828460038</v>
      </c>
      <c r="H1448">
        <v>0.007303712720633001</v>
      </c>
      <c r="I1448">
        <v>0.384937238493724</v>
      </c>
    </row>
    <row r="1449" spans="1:9">
      <c r="A1449" s="1" t="s">
        <v>1461</v>
      </c>
      <c r="B1449">
        <f>HYPERLINK("https://www.suredividend.com/sure-analysis-research-database/","First Internet Bancorp")</f>
        <v>0</v>
      </c>
      <c r="C1449">
        <v>0.05562422744128501</v>
      </c>
      <c r="D1449">
        <v>-0.220884669947952</v>
      </c>
      <c r="E1449">
        <v>0.3869377745657691</v>
      </c>
      <c r="F1449">
        <v>-0.283211280609354</v>
      </c>
      <c r="G1449">
        <v>-0.279622772018321</v>
      </c>
      <c r="H1449">
        <v>-0.555094789816151</v>
      </c>
      <c r="I1449">
        <v>-0.296096799053769</v>
      </c>
    </row>
    <row r="1450" spans="1:9">
      <c r="A1450" s="1" t="s">
        <v>1462</v>
      </c>
      <c r="B1450">
        <f>HYPERLINK("https://www.suredividend.com/sure-analysis-research-database/","Incyte Corp.")</f>
        <v>0</v>
      </c>
      <c r="C1450">
        <v>-0.07044436789528001</v>
      </c>
      <c r="D1450">
        <v>-0.178288672350791</v>
      </c>
      <c r="E1450">
        <v>-0.228559176672384</v>
      </c>
      <c r="F1450">
        <v>-0.328062749003984</v>
      </c>
      <c r="G1450">
        <v>-0.300453661697991</v>
      </c>
      <c r="H1450">
        <v>-0.149810964083175</v>
      </c>
      <c r="I1450">
        <v>-0.199376947040498</v>
      </c>
    </row>
    <row r="1451" spans="1:9">
      <c r="A1451" s="1" t="s">
        <v>1463</v>
      </c>
      <c r="B1451">
        <f>HYPERLINK("https://www.suredividend.com/sure-analysis-research-database/","Independent Bank Corp.")</f>
        <v>0</v>
      </c>
      <c r="C1451">
        <v>0.08152734778121701</v>
      </c>
      <c r="D1451">
        <v>-0.09447526223927201</v>
      </c>
      <c r="E1451">
        <v>0.096957199828338</v>
      </c>
      <c r="F1451">
        <v>-0.344199103154727</v>
      </c>
      <c r="G1451">
        <v>-0.34731946345674</v>
      </c>
      <c r="H1451">
        <v>-0.347729750992098</v>
      </c>
      <c r="I1451">
        <v>-0.229683641067858</v>
      </c>
    </row>
    <row r="1452" spans="1:9">
      <c r="A1452" s="1" t="s">
        <v>1464</v>
      </c>
      <c r="B1452">
        <f>HYPERLINK("https://www.suredividend.com/sure-analysis-research-database/","Infinity Pharmaceuticals Inc.")</f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</row>
    <row r="1453" spans="1:9">
      <c r="A1453" s="1" t="s">
        <v>1465</v>
      </c>
      <c r="B1453">
        <f>HYPERLINK("https://www.suredividend.com/sure-analysis-research-database/","Infinera Corp.")</f>
        <v>0</v>
      </c>
      <c r="C1453">
        <v>-0.256097560975609</v>
      </c>
      <c r="D1453">
        <v>-0.285714285714285</v>
      </c>
      <c r="E1453">
        <v>-0.480408858603066</v>
      </c>
      <c r="F1453">
        <v>-0.5474777448071211</v>
      </c>
      <c r="G1453">
        <v>-0.416826003824091</v>
      </c>
      <c r="H1453">
        <v>-0.6201743462017431</v>
      </c>
      <c r="I1453">
        <v>-0.500818330605564</v>
      </c>
    </row>
    <row r="1454" spans="1:9">
      <c r="A1454" s="1" t="s">
        <v>1466</v>
      </c>
      <c r="B1454">
        <f>HYPERLINK("https://www.suredividend.com/sure-analysis-research-database/","IHS Markit Ltd")</f>
        <v>0</v>
      </c>
      <c r="C1454">
        <v>-0.024694683908045</v>
      </c>
      <c r="D1454">
        <v>-0.145428937864398</v>
      </c>
      <c r="E1454">
        <v>-0.08678064321383201</v>
      </c>
      <c r="F1454">
        <v>-0.181432436710053</v>
      </c>
      <c r="G1454">
        <v>0.213073629917047</v>
      </c>
      <c r="H1454">
        <v>0.5547831663693851</v>
      </c>
      <c r="I1454">
        <v>1.789399204349624</v>
      </c>
    </row>
    <row r="1455" spans="1:9">
      <c r="A1455" s="1" t="s">
        <v>1467</v>
      </c>
      <c r="B1455">
        <f>HYPERLINK("https://www.suredividend.com/sure-analysis-research-database/","InfuSystem Holdings Inc")</f>
        <v>0</v>
      </c>
      <c r="C1455">
        <v>-0.0703933747412</v>
      </c>
      <c r="D1455">
        <v>-0.10379241516966</v>
      </c>
      <c r="E1455">
        <v>0.029816513761467</v>
      </c>
      <c r="F1455">
        <v>0.034562211981566</v>
      </c>
      <c r="G1455">
        <v>0.110012360939431</v>
      </c>
      <c r="H1455">
        <v>-0.441889372280919</v>
      </c>
      <c r="I1455">
        <v>1.85079365079365</v>
      </c>
    </row>
    <row r="1456" spans="1:9">
      <c r="A1456" s="1" t="s">
        <v>1468</v>
      </c>
      <c r="B1456">
        <f>HYPERLINK("https://www.suredividend.com/sure-analysis-research-database/","Inogen Inc")</f>
        <v>0</v>
      </c>
      <c r="C1456">
        <v>-0.009652509652509</v>
      </c>
      <c r="D1456">
        <v>-0.323218997361477</v>
      </c>
      <c r="E1456">
        <v>-0.6160179640718561</v>
      </c>
      <c r="F1456">
        <v>-0.73972602739726</v>
      </c>
      <c r="G1456">
        <v>-0.7598314606741571</v>
      </c>
      <c r="H1456">
        <v>-0.8663366336633661</v>
      </c>
      <c r="I1456">
        <v>-0.9735975295934121</v>
      </c>
    </row>
    <row r="1457" spans="1:9">
      <c r="A1457" s="1" t="s">
        <v>1469</v>
      </c>
      <c r="B1457">
        <f>HYPERLINK("https://www.suredividend.com/sure-analysis-INGR/","Ingredion Inc")</f>
        <v>0</v>
      </c>
      <c r="C1457">
        <v>-0.020035113084787</v>
      </c>
      <c r="D1457">
        <v>-0.14354799840786</v>
      </c>
      <c r="E1457">
        <v>-0.08874573614824301</v>
      </c>
      <c r="F1457">
        <v>-0.009697430160134001</v>
      </c>
      <c r="G1457">
        <v>0.11413646498554</v>
      </c>
      <c r="H1457">
        <v>0.08811694648400201</v>
      </c>
      <c r="I1457">
        <v>0.06438586651710501</v>
      </c>
    </row>
    <row r="1458" spans="1:9">
      <c r="A1458" s="1" t="s">
        <v>1470</v>
      </c>
      <c r="B1458">
        <f>HYPERLINK("https://www.suredividend.com/sure-analysis-research-database/","Summit Hotel Properties Inc")</f>
        <v>0</v>
      </c>
      <c r="C1458">
        <v>0.04778156996587</v>
      </c>
      <c r="D1458">
        <v>0.022276980453531</v>
      </c>
      <c r="E1458">
        <v>-0.033922839700421</v>
      </c>
      <c r="F1458">
        <v>-0.128620694548912</v>
      </c>
      <c r="G1458">
        <v>-0.220436250983977</v>
      </c>
      <c r="H1458">
        <v>-0.378617981621665</v>
      </c>
      <c r="I1458">
        <v>-0.382945580624089</v>
      </c>
    </row>
    <row r="1459" spans="1:9">
      <c r="A1459" s="1" t="s">
        <v>1471</v>
      </c>
      <c r="B1459">
        <f>HYPERLINK("https://www.suredividend.com/sure-analysis-research-database/","Inovio Pharmaceuticals Inc")</f>
        <v>0</v>
      </c>
      <c r="C1459">
        <v>0.00231303006939</v>
      </c>
      <c r="D1459">
        <v>-0.179983179142136</v>
      </c>
      <c r="E1459">
        <v>-0.476720783577083</v>
      </c>
      <c r="F1459">
        <v>-0.75</v>
      </c>
      <c r="G1459">
        <v>-0.816901408450704</v>
      </c>
      <c r="H1459">
        <v>-0.9470108695652171</v>
      </c>
      <c r="I1459">
        <v>-0.9242718446601941</v>
      </c>
    </row>
    <row r="1460" spans="1:9">
      <c r="A1460" s="1" t="s">
        <v>1472</v>
      </c>
      <c r="B1460">
        <f>HYPERLINK("https://www.suredividend.com/sure-analysis-research-database/","Innodata Inc")</f>
        <v>0</v>
      </c>
      <c r="C1460">
        <v>-0.105321507760532</v>
      </c>
      <c r="D1460">
        <v>-0.3379819524200161</v>
      </c>
      <c r="E1460">
        <v>0.270866141732283</v>
      </c>
      <c r="F1460">
        <v>1.721753794266442</v>
      </c>
      <c r="G1460">
        <v>1.521875</v>
      </c>
      <c r="H1460">
        <v>-0.27882037533512</v>
      </c>
      <c r="I1460">
        <v>4.805755395683454</v>
      </c>
    </row>
    <row r="1461" spans="1:9">
      <c r="A1461" s="1" t="s">
        <v>1473</v>
      </c>
      <c r="B1461">
        <f>HYPERLINK("https://www.suredividend.com/sure-analysis-research-database/","Innovator ETFs Trust")</f>
        <v>0</v>
      </c>
      <c r="C1461">
        <v>0.012552201217762</v>
      </c>
      <c r="D1461">
        <v>0.012552201217762</v>
      </c>
      <c r="E1461">
        <v>0.012552201217762</v>
      </c>
      <c r="F1461">
        <v>0.012552201217762</v>
      </c>
      <c r="G1461">
        <v>0.012552201217762</v>
      </c>
      <c r="H1461">
        <v>0.012552201217762</v>
      </c>
      <c r="I1461">
        <v>0.012552201217762</v>
      </c>
    </row>
    <row r="1462" spans="1:9">
      <c r="A1462" s="1" t="s">
        <v>1474</v>
      </c>
      <c r="B1462">
        <f>HYPERLINK("https://www.suredividend.com/sure-analysis-research-database/","Inpixon")</f>
        <v>0</v>
      </c>
      <c r="C1462">
        <v>-0.264811490125673</v>
      </c>
      <c r="D1462">
        <v>-0.575647668393782</v>
      </c>
      <c r="E1462">
        <v>-0.7766566675756751</v>
      </c>
      <c r="F1462">
        <v>-0.8870812077760921</v>
      </c>
      <c r="G1462">
        <v>-0.933349609375</v>
      </c>
      <c r="H1462">
        <v>-0.99713843476924</v>
      </c>
      <c r="I1462">
        <v>-0.9999886927979831</v>
      </c>
    </row>
    <row r="1463" spans="1:9">
      <c r="A1463" s="1" t="s">
        <v>1475</v>
      </c>
      <c r="B1463">
        <f>HYPERLINK("https://www.suredividend.com/sure-analysis-research-database/","CoreCard Corporation")</f>
        <v>0</v>
      </c>
      <c r="C1463">
        <v>-0.029020556227327</v>
      </c>
      <c r="D1463">
        <v>0.024496044909415</v>
      </c>
      <c r="E1463">
        <v>0.303994803507632</v>
      </c>
      <c r="F1463">
        <v>0.00099725754176</v>
      </c>
      <c r="G1463">
        <v>0.021888521252227</v>
      </c>
      <c r="H1463">
        <v>-0.017135862913096</v>
      </c>
      <c r="I1463">
        <v>8.272517321016165</v>
      </c>
    </row>
    <row r="1464" spans="1:9">
      <c r="A1464" s="1" t="s">
        <v>1476</v>
      </c>
      <c r="B1464">
        <f>HYPERLINK("https://www.suredividend.com/sure-analysis-research-database/","Inspired Entertainment Inc")</f>
        <v>0</v>
      </c>
      <c r="C1464">
        <v>-0.122484689413823</v>
      </c>
      <c r="D1464">
        <v>-0.19888178913738</v>
      </c>
      <c r="E1464">
        <v>-0.218238503507404</v>
      </c>
      <c r="F1464">
        <v>-0.208366219415943</v>
      </c>
      <c r="G1464">
        <v>0.017241379310344</v>
      </c>
      <c r="H1464">
        <v>-0.302988186240444</v>
      </c>
      <c r="I1464">
        <v>0.5945945945945941</v>
      </c>
    </row>
    <row r="1465" spans="1:9">
      <c r="A1465" s="1" t="s">
        <v>1477</v>
      </c>
      <c r="B1465">
        <f>HYPERLINK("https://www.suredividend.com/sure-analysis-research-database/","Inseego Corp")</f>
        <v>0</v>
      </c>
      <c r="C1465">
        <v>0.225700164744645</v>
      </c>
      <c r="D1465">
        <v>-0.2940219601464</v>
      </c>
      <c r="E1465">
        <v>-0.078230088495575</v>
      </c>
      <c r="F1465">
        <v>-0.3818397626112761</v>
      </c>
      <c r="G1465">
        <v>-0.7621917808219171</v>
      </c>
      <c r="H1465">
        <v>-0.923298969072164</v>
      </c>
      <c r="I1465">
        <v>-0.8611200000000001</v>
      </c>
    </row>
    <row r="1466" spans="1:9">
      <c r="A1466" s="1" t="s">
        <v>1478</v>
      </c>
      <c r="B1466">
        <f>HYPERLINK("https://www.suredividend.com/sure-analysis-research-database/","Insmed Inc")</f>
        <v>0</v>
      </c>
      <c r="C1466">
        <v>-0.014189988175009</v>
      </c>
      <c r="D1466">
        <v>0.148828663298116</v>
      </c>
      <c r="E1466">
        <v>0.299220779220779</v>
      </c>
      <c r="F1466">
        <v>0.251751751751751</v>
      </c>
      <c r="G1466">
        <v>0.421830585559977</v>
      </c>
      <c r="H1466">
        <v>-0.219169528566968</v>
      </c>
      <c r="I1466">
        <v>0.53153704837722</v>
      </c>
    </row>
    <row r="1467" spans="1:9">
      <c r="A1467" s="1" t="s">
        <v>1479</v>
      </c>
      <c r="B1467">
        <f>HYPERLINK("https://www.suredividend.com/sure-analysis-research-database/","Inspire Medical Systems Inc")</f>
        <v>0</v>
      </c>
      <c r="C1467">
        <v>-0.176884370507291</v>
      </c>
      <c r="D1467">
        <v>-0.422971708300338</v>
      </c>
      <c r="E1467">
        <v>-0.376952973183054</v>
      </c>
      <c r="F1467">
        <v>-0.363546133079244</v>
      </c>
      <c r="G1467">
        <v>-0.224394020029996</v>
      </c>
      <c r="H1467">
        <v>-0.412073202039094</v>
      </c>
      <c r="I1467">
        <v>2.513258820951128</v>
      </c>
    </row>
    <row r="1468" spans="1:9">
      <c r="A1468" s="1" t="s">
        <v>1480</v>
      </c>
      <c r="B1468">
        <f>HYPERLINK("https://www.suredividend.com/sure-analysis-research-database/","Instructure Holdings Inc")</f>
        <v>0</v>
      </c>
      <c r="C1468">
        <v>-0.038170974155069</v>
      </c>
      <c r="D1468">
        <v>-0.10967979389032</v>
      </c>
      <c r="E1468">
        <v>-0.07318007662835201</v>
      </c>
      <c r="F1468">
        <v>0.031996587030716</v>
      </c>
      <c r="G1468">
        <v>0.067048963387737</v>
      </c>
      <c r="H1468">
        <v>-0.07140115163147701</v>
      </c>
      <c r="I1468">
        <v>0.153002859866539</v>
      </c>
    </row>
    <row r="1469" spans="1:9">
      <c r="A1469" s="1" t="s">
        <v>1481</v>
      </c>
      <c r="B1469">
        <f>HYPERLINK("https://www.suredividend.com/sure-analysis-research-database/","International Seaways Inc")</f>
        <v>0</v>
      </c>
      <c r="C1469">
        <v>0.152436194895591</v>
      </c>
      <c r="D1469">
        <v>0.189674953114783</v>
      </c>
      <c r="E1469">
        <v>0.280481359934622</v>
      </c>
      <c r="F1469">
        <v>0.353428121440677</v>
      </c>
      <c r="G1469">
        <v>0.149664729341564</v>
      </c>
      <c r="H1469">
        <v>1.82161400638513</v>
      </c>
      <c r="I1469">
        <v>1.557777869325204</v>
      </c>
    </row>
    <row r="1470" spans="1:9">
      <c r="A1470" s="1" t="s">
        <v>1482</v>
      </c>
      <c r="B1470">
        <f>HYPERLINK("https://www.suredividend.com/sure-analysis-INTC/","Intel Corp.")</f>
        <v>0</v>
      </c>
      <c r="C1470">
        <v>0.06316976875352501</v>
      </c>
      <c r="D1470">
        <v>0.104153609147195</v>
      </c>
      <c r="E1470">
        <v>0.285969627921572</v>
      </c>
      <c r="F1470">
        <v>0.466127401415571</v>
      </c>
      <c r="G1470">
        <v>0.432283751747614</v>
      </c>
      <c r="H1470">
        <v>-0.186370738697675</v>
      </c>
      <c r="I1470">
        <v>-0.07262547844653601</v>
      </c>
    </row>
    <row r="1471" spans="1:9">
      <c r="A1471" s="1" t="s">
        <v>1483</v>
      </c>
      <c r="B1471">
        <f>HYPERLINK("https://www.suredividend.com/sure-analysis-research-database/","Intergroup Corp.")</f>
        <v>0</v>
      </c>
      <c r="C1471">
        <v>-0.131716906946264</v>
      </c>
      <c r="D1471">
        <v>-0.242857142857142</v>
      </c>
      <c r="E1471">
        <v>-0.345679012345679</v>
      </c>
      <c r="F1471">
        <v>-0.4377254402715891</v>
      </c>
      <c r="G1471">
        <v>-0.473265752335519</v>
      </c>
      <c r="H1471">
        <v>-0.4245385450597171</v>
      </c>
      <c r="I1471">
        <v>-0.09432672590567301</v>
      </c>
    </row>
    <row r="1472" spans="1:9">
      <c r="A1472" s="1" t="s">
        <v>1484</v>
      </c>
      <c r="B1472">
        <f>HYPERLINK("https://www.suredividend.com/sure-analysis-research-database/","Northern Lights Fund Trust IV")</f>
        <v>0</v>
      </c>
      <c r="C1472">
        <v>0.007926436225928001</v>
      </c>
      <c r="D1472">
        <v>-0.059374765019926</v>
      </c>
      <c r="E1472">
        <v>0.002052668469009</v>
      </c>
      <c r="F1472">
        <v>0.06190511560785601</v>
      </c>
      <c r="G1472">
        <v>0.03366712974678601</v>
      </c>
      <c r="H1472">
        <v>0.03366712974678601</v>
      </c>
      <c r="I1472">
        <v>0.03366712974678601</v>
      </c>
    </row>
    <row r="1473" spans="1:9">
      <c r="A1473" s="1" t="s">
        <v>1485</v>
      </c>
      <c r="B1473">
        <f>HYPERLINK("https://www.suredividend.com/sure-analysis-research-database/","Intest Corp.")</f>
        <v>0</v>
      </c>
      <c r="C1473">
        <v>-0.09952925353059801</v>
      </c>
      <c r="D1473">
        <v>-0.342337917485265</v>
      </c>
      <c r="E1473">
        <v>-0.309081527347781</v>
      </c>
      <c r="F1473">
        <v>0.3</v>
      </c>
      <c r="G1473">
        <v>0.511286681715575</v>
      </c>
      <c r="H1473">
        <v>0.103874690849134</v>
      </c>
      <c r="I1473">
        <v>0.8966005665722381</v>
      </c>
    </row>
    <row r="1474" spans="1:9">
      <c r="A1474" s="1" t="s">
        <v>1486</v>
      </c>
      <c r="B1474">
        <f>HYPERLINK("https://www.suredividend.com/sure-analysis-INTU/","Intuit Inc")</f>
        <v>0</v>
      </c>
      <c r="C1474">
        <v>-0.030331900326607</v>
      </c>
      <c r="D1474">
        <v>0.008119964563177</v>
      </c>
      <c r="E1474">
        <v>0.154362236493488</v>
      </c>
      <c r="F1474">
        <v>0.299393711490187</v>
      </c>
      <c r="G1474">
        <v>0.313534193236408</v>
      </c>
      <c r="H1474">
        <v>-0.177163241702192</v>
      </c>
      <c r="I1474">
        <v>1.443955344024508</v>
      </c>
    </row>
    <row r="1475" spans="1:9">
      <c r="A1475" s="1" t="s">
        <v>1487</v>
      </c>
      <c r="B1475">
        <f>HYPERLINK("https://www.suredividend.com/sure-analysis-research-database/","Inuvo Inc")</f>
        <v>0</v>
      </c>
      <c r="C1475">
        <v>-0.104265402843601</v>
      </c>
      <c r="D1475">
        <v>-0.23170731707317</v>
      </c>
      <c r="E1475">
        <v>-0.349173553719008</v>
      </c>
      <c r="F1475">
        <v>-0.146726862302483</v>
      </c>
      <c r="G1475">
        <v>-0.502631578947368</v>
      </c>
      <c r="H1475">
        <v>-0.741095890410958</v>
      </c>
      <c r="I1475">
        <v>-0.5432576123731271</v>
      </c>
    </row>
    <row r="1476" spans="1:9">
      <c r="A1476" s="1" t="s">
        <v>1488</v>
      </c>
      <c r="B1476">
        <f>HYPERLINK("https://www.suredividend.com/sure-analysis-research-database/","Innoviva Inc")</f>
        <v>0</v>
      </c>
      <c r="C1476">
        <v>0.023901310717039</v>
      </c>
      <c r="D1476">
        <v>0.007587253414264</v>
      </c>
      <c r="E1476">
        <v>0.16083916083916</v>
      </c>
      <c r="F1476">
        <v>0.002264150943396</v>
      </c>
      <c r="G1476">
        <v>0.009885931558935001</v>
      </c>
      <c r="H1476">
        <v>-0.253093363329583</v>
      </c>
      <c r="I1476">
        <v>-0.163727959697733</v>
      </c>
    </row>
    <row r="1477" spans="1:9">
      <c r="A1477" s="1" t="s">
        <v>1489</v>
      </c>
      <c r="B1477">
        <f>HYPERLINK("https://www.suredividend.com/sure-analysis-research-database/","Identiv Inc")</f>
        <v>0</v>
      </c>
      <c r="C1477">
        <v>-0.267878787878787</v>
      </c>
      <c r="D1477">
        <v>-0.182679296346414</v>
      </c>
      <c r="E1477">
        <v>0.14828897338403</v>
      </c>
      <c r="F1477">
        <v>-0.165745856353591</v>
      </c>
      <c r="G1477">
        <v>-0.485519591141397</v>
      </c>
      <c r="H1477">
        <v>-0.6932453021838491</v>
      </c>
      <c r="I1477">
        <v>0.003322259136212</v>
      </c>
    </row>
    <row r="1478" spans="1:9">
      <c r="A1478" s="1" t="s">
        <v>1490</v>
      </c>
      <c r="B1478">
        <f>HYPERLINK("https://www.suredividend.com/sure-analysis-INVH/","Invitation Homes Inc")</f>
        <v>0</v>
      </c>
      <c r="C1478">
        <v>-0.016299137104506</v>
      </c>
      <c r="D1478">
        <v>-0.124944207375145</v>
      </c>
      <c r="E1478">
        <v>-0.07137275725056301</v>
      </c>
      <c r="F1478">
        <v>0.062716867781863</v>
      </c>
      <c r="G1478">
        <v>0.008386843139824001</v>
      </c>
      <c r="H1478">
        <v>-0.220074343790621</v>
      </c>
      <c r="I1478">
        <v>0.621638708589733</v>
      </c>
    </row>
    <row r="1479" spans="1:9">
      <c r="A1479" s="1" t="s">
        <v>1491</v>
      </c>
      <c r="B1479">
        <f>HYPERLINK("https://www.suredividend.com/sure-analysis-research-database/","ION Geophysical Corp")</f>
        <v>0</v>
      </c>
      <c r="C1479">
        <v>-0.120346761856195</v>
      </c>
      <c r="D1479">
        <v>-0.304154901169826</v>
      </c>
      <c r="E1479">
        <v>-0.7994186046511621</v>
      </c>
      <c r="F1479">
        <v>-0.6079545454545451</v>
      </c>
      <c r="G1479">
        <v>-0.8275</v>
      </c>
      <c r="H1479">
        <v>-0.842465753424657</v>
      </c>
      <c r="I1479">
        <v>-0.9197674418604651</v>
      </c>
    </row>
    <row r="1480" spans="1:9">
      <c r="A1480" s="1" t="s">
        <v>1492</v>
      </c>
      <c r="B1480">
        <f>HYPERLINK("https://www.suredividend.com/sure-analysis-research-database/","Ionis Pharmaceuticals Inc")</f>
        <v>0</v>
      </c>
      <c r="C1480">
        <v>0.006907667510936</v>
      </c>
      <c r="D1480">
        <v>0.08215788171244701</v>
      </c>
      <c r="E1480">
        <v>0.231137387387387</v>
      </c>
      <c r="F1480">
        <v>0.157797193539846</v>
      </c>
      <c r="G1480">
        <v>-0.021262309758281</v>
      </c>
      <c r="H1480">
        <v>0.32635729451016</v>
      </c>
      <c r="I1480">
        <v>-0.154158607350096</v>
      </c>
    </row>
    <row r="1481" spans="1:9">
      <c r="A1481" s="1" t="s">
        <v>1493</v>
      </c>
      <c r="B1481">
        <f>HYPERLINK("https://www.suredividend.com/sure-analysis-research-database/","Income Opportunity Realty Investors, Inc.")</f>
        <v>0</v>
      </c>
      <c r="C1481">
        <v>0.040358744394618</v>
      </c>
      <c r="D1481">
        <v>-0.014443500424808</v>
      </c>
      <c r="E1481">
        <v>0.07906976744186001</v>
      </c>
      <c r="F1481">
        <v>-0.03413821815154</v>
      </c>
      <c r="G1481">
        <v>-0.030910609857978</v>
      </c>
      <c r="H1481">
        <v>-0.075697211155378</v>
      </c>
      <c r="I1481">
        <v>0</v>
      </c>
    </row>
    <row r="1482" spans="1:9">
      <c r="A1482" s="1" t="s">
        <v>1494</v>
      </c>
      <c r="B1482">
        <f>HYPERLINK("https://www.suredividend.com/sure-analysis-research-database/","Innospec Inc")</f>
        <v>0</v>
      </c>
      <c r="C1482">
        <v>-0.021496815286624</v>
      </c>
      <c r="D1482">
        <v>-0.08726327515781601</v>
      </c>
      <c r="E1482">
        <v>0.0007450624346030001</v>
      </c>
      <c r="F1482">
        <v>-0.030583168510123</v>
      </c>
      <c r="G1482">
        <v>0.04094209918382501</v>
      </c>
      <c r="H1482">
        <v>0.087480699208501</v>
      </c>
      <c r="I1482">
        <v>0.5469554148946381</v>
      </c>
    </row>
    <row r="1483" spans="1:9">
      <c r="A1483" s="1" t="s">
        <v>1495</v>
      </c>
      <c r="B1483">
        <f>HYPERLINK("https://www.suredividend.com/sure-analysis-research-database/","Iovance Biotherapeutics Inc")</f>
        <v>0</v>
      </c>
      <c r="C1483">
        <v>-0.124153498871331</v>
      </c>
      <c r="D1483">
        <v>-0.459610027855153</v>
      </c>
      <c r="E1483">
        <v>-0.367047308319739</v>
      </c>
      <c r="F1483">
        <v>-0.392801251956181</v>
      </c>
      <c r="G1483">
        <v>-0.5640449438202241</v>
      </c>
      <c r="H1483">
        <v>-0.842532467532467</v>
      </c>
      <c r="I1483">
        <v>-0.60488798370672</v>
      </c>
    </row>
    <row r="1484" spans="1:9">
      <c r="A1484" s="1" t="s">
        <v>1496</v>
      </c>
      <c r="B1484">
        <f>HYPERLINK("https://www.suredividend.com/sure-analysis-IP/","International Paper Co.")</f>
        <v>0</v>
      </c>
      <c r="C1484">
        <v>-0.04003383140682201</v>
      </c>
      <c r="D1484">
        <v>-0.057105354976988</v>
      </c>
      <c r="E1484">
        <v>0.083394317350217</v>
      </c>
      <c r="F1484">
        <v>0.023170837978418</v>
      </c>
      <c r="G1484">
        <v>0.096745516388373</v>
      </c>
      <c r="H1484">
        <v>-0.237306358692243</v>
      </c>
      <c r="I1484">
        <v>-0.008990392591148</v>
      </c>
    </row>
    <row r="1485" spans="1:9">
      <c r="A1485" s="1" t="s">
        <v>1497</v>
      </c>
      <c r="B1485">
        <f>HYPERLINK("https://www.suredividend.com/sure-analysis-IPAR/","Inter Parfums, Inc.")</f>
        <v>0</v>
      </c>
      <c r="C1485">
        <v>-0.06247708440272701</v>
      </c>
      <c r="D1485">
        <v>-0.131939729390612</v>
      </c>
      <c r="E1485">
        <v>-0.146004221551286</v>
      </c>
      <c r="F1485">
        <v>0.355903083420121</v>
      </c>
      <c r="G1485">
        <v>0.6642649702489041</v>
      </c>
      <c r="H1485">
        <v>0.49513277854961</v>
      </c>
      <c r="I1485">
        <v>1.321556977563427</v>
      </c>
    </row>
    <row r="1486" spans="1:9">
      <c r="A1486" s="1" t="s">
        <v>1498</v>
      </c>
      <c r="B1486">
        <f>HYPERLINK("https://www.suredividend.com/sure-analysis-IPG/","Interpublic Group Of Cos., Inc.")</f>
        <v>0</v>
      </c>
      <c r="C1486">
        <v>0.01500872600349</v>
      </c>
      <c r="D1486">
        <v>-0.131208957988515</v>
      </c>
      <c r="E1486">
        <v>-0.176306636000045</v>
      </c>
      <c r="F1486">
        <v>-0.111024156420618</v>
      </c>
      <c r="G1486">
        <v>0.026966704807108</v>
      </c>
      <c r="H1486">
        <v>-0.132546221445318</v>
      </c>
      <c r="I1486">
        <v>0.544442556084296</v>
      </c>
    </row>
    <row r="1487" spans="1:9">
      <c r="A1487" s="1" t="s">
        <v>1499</v>
      </c>
      <c r="B1487">
        <f>HYPERLINK("https://www.suredividend.com/sure-analysis-research-database/","IPG Photonics Corp")</f>
        <v>0</v>
      </c>
      <c r="C1487">
        <v>-0.124962779156327</v>
      </c>
      <c r="D1487">
        <v>-0.209752599498028</v>
      </c>
      <c r="E1487">
        <v>-0.263430528866237</v>
      </c>
      <c r="F1487">
        <v>-0.06876518432449501</v>
      </c>
      <c r="G1487">
        <v>0.002957906712172</v>
      </c>
      <c r="H1487">
        <v>-0.5028758317356491</v>
      </c>
      <c r="I1487">
        <v>-0.395460467667832</v>
      </c>
    </row>
    <row r="1488" spans="1:9">
      <c r="A1488" s="1" t="s">
        <v>1500</v>
      </c>
      <c r="B1488">
        <f>HYPERLINK("https://www.suredividend.com/sure-analysis-research-database/","Inphi Corp")</f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</row>
    <row r="1489" spans="1:9">
      <c r="A1489" s="1" t="s">
        <v>1501</v>
      </c>
      <c r="B1489">
        <f>HYPERLINK("https://www.suredividend.com/sure-analysis-research-database/","Intrepid Potash Inc")</f>
        <v>0</v>
      </c>
      <c r="C1489">
        <v>-0.127632687447346</v>
      </c>
      <c r="D1489">
        <v>-0.226661687826736</v>
      </c>
      <c r="E1489">
        <v>-0.191015625</v>
      </c>
      <c r="F1489">
        <v>-0.282646345687564</v>
      </c>
      <c r="G1489">
        <v>-0.519154864174599</v>
      </c>
      <c r="H1489">
        <v>-0.5099384761003311</v>
      </c>
      <c r="I1489">
        <v>-0.48225</v>
      </c>
    </row>
    <row r="1490" spans="1:9">
      <c r="A1490" s="1" t="s">
        <v>1502</v>
      </c>
      <c r="B1490">
        <f>HYPERLINK("https://www.suredividend.com/sure-analysis-research-database/","Ideal Power Inc")</f>
        <v>0</v>
      </c>
      <c r="C1490">
        <v>-0.18095238095238</v>
      </c>
      <c r="D1490">
        <v>-0.374798061389337</v>
      </c>
      <c r="E1490">
        <v>-0.197095435684647</v>
      </c>
      <c r="F1490">
        <v>-0.276642274371267</v>
      </c>
      <c r="G1490">
        <v>-0.320444608333772</v>
      </c>
      <c r="H1490">
        <v>-0.4791386271870791</v>
      </c>
      <c r="I1490">
        <v>0.502912621359223</v>
      </c>
    </row>
    <row r="1491" spans="1:9">
      <c r="A1491" s="1" t="s">
        <v>1503</v>
      </c>
      <c r="B1491">
        <f>HYPERLINK("https://www.suredividend.com/sure-analysis-research-database/","IQVIA Holdings Inc")</f>
        <v>0</v>
      </c>
      <c r="C1491">
        <v>-0.017639777181761</v>
      </c>
      <c r="D1491">
        <v>-0.13067689077548</v>
      </c>
      <c r="E1491">
        <v>0.026185344827586</v>
      </c>
      <c r="F1491">
        <v>-0.070428034555127</v>
      </c>
      <c r="G1491">
        <v>-0.06797161732321901</v>
      </c>
      <c r="H1491">
        <v>-0.261296202924407</v>
      </c>
      <c r="I1491">
        <v>0.564867307534302</v>
      </c>
    </row>
    <row r="1492" spans="1:9">
      <c r="A1492" s="1" t="s">
        <v>1504</v>
      </c>
      <c r="B1492">
        <f>HYPERLINK("https://www.suredividend.com/sure-analysis-research-database/","Ingersoll-Rand Inc")</f>
        <v>0</v>
      </c>
      <c r="C1492">
        <v>0.0312893081761</v>
      </c>
      <c r="D1492">
        <v>0.001826779735575</v>
      </c>
      <c r="E1492">
        <v>0.149415215951268</v>
      </c>
      <c r="F1492">
        <v>0.256537481560949</v>
      </c>
      <c r="G1492">
        <v>0.339000455247906</v>
      </c>
      <c r="H1492">
        <v>0.169921303662269</v>
      </c>
      <c r="I1492">
        <v>1.537330754352031</v>
      </c>
    </row>
    <row r="1493" spans="1:9">
      <c r="A1493" s="1" t="s">
        <v>1505</v>
      </c>
      <c r="B1493">
        <f>HYPERLINK("https://www.suredividend.com/sure-analysis-research-database/","Irobot Corp")</f>
        <v>0</v>
      </c>
      <c r="C1493">
        <v>-0.164948453608247</v>
      </c>
      <c r="D1493">
        <v>-0.169869331283628</v>
      </c>
      <c r="E1493">
        <v>-0.152498038189903</v>
      </c>
      <c r="F1493">
        <v>-0.326823187201329</v>
      </c>
      <c r="G1493">
        <v>-0.415689810640216</v>
      </c>
      <c r="H1493">
        <v>-0.6340637000225881</v>
      </c>
      <c r="I1493">
        <v>-0.6624296728485101</v>
      </c>
    </row>
    <row r="1494" spans="1:9">
      <c r="A1494" s="1" t="s">
        <v>1506</v>
      </c>
      <c r="B1494">
        <f>HYPERLINK("https://www.suredividend.com/sure-analysis-research-database/","Iridium Communications Inc")</f>
        <v>0</v>
      </c>
      <c r="C1494">
        <v>-0.146396396396396</v>
      </c>
      <c r="D1494">
        <v>-0.251514744567063</v>
      </c>
      <c r="E1494">
        <v>-0.409968879361209</v>
      </c>
      <c r="F1494">
        <v>-0.255437857546991</v>
      </c>
      <c r="G1494">
        <v>-0.239155964997159</v>
      </c>
      <c r="H1494">
        <v>-0.07559171886280701</v>
      </c>
      <c r="I1494">
        <v>0.8319976024516861</v>
      </c>
    </row>
    <row r="1495" spans="1:9">
      <c r="A1495" s="1" t="s">
        <v>1507</v>
      </c>
      <c r="B1495">
        <f>HYPERLINK("https://www.suredividend.com/sure-analysis-research-database/","Investors Real Estate Trust")</f>
        <v>0</v>
      </c>
      <c r="C1495">
        <v>-0.016755096341804</v>
      </c>
      <c r="D1495">
        <v>0.06946998816931101</v>
      </c>
      <c r="E1495">
        <v>0.020928897419987</v>
      </c>
      <c r="F1495">
        <v>0.004321348603049001</v>
      </c>
      <c r="G1495">
        <v>0.002742519301583</v>
      </c>
      <c r="H1495">
        <v>0.5420224099081831</v>
      </c>
      <c r="I1495">
        <v>0.209012136476558</v>
      </c>
    </row>
    <row r="1496" spans="1:9">
      <c r="A1496" s="1" t="s">
        <v>1508</v>
      </c>
      <c r="B1496">
        <f>HYPERLINK("https://www.suredividend.com/sure-analysis-research-database/","IRIDEX Corp.")</f>
        <v>0</v>
      </c>
      <c r="C1496">
        <v>-0.159695817490494</v>
      </c>
      <c r="D1496">
        <v>0.08333333333333301</v>
      </c>
      <c r="E1496">
        <v>-0.021517754361108</v>
      </c>
      <c r="F1496">
        <v>0.099502487562189</v>
      </c>
      <c r="G1496">
        <v>0.009132420091324001</v>
      </c>
      <c r="H1496">
        <v>-0.728501228501228</v>
      </c>
      <c r="I1496">
        <v>-0.591497227356746</v>
      </c>
    </row>
    <row r="1497" spans="1:9">
      <c r="A1497" s="1" t="s">
        <v>1509</v>
      </c>
      <c r="B1497">
        <f>HYPERLINK("https://www.suredividend.com/sure-analysis-IRM/","Iron Mountain Inc.")</f>
        <v>0</v>
      </c>
      <c r="C1497">
        <v>0.011590250553945</v>
      </c>
      <c r="D1497">
        <v>-0.027122544857273</v>
      </c>
      <c r="E1497">
        <v>0.108875299639218</v>
      </c>
      <c r="F1497">
        <v>0.230768592693361</v>
      </c>
      <c r="G1497">
        <v>0.261584899243261</v>
      </c>
      <c r="H1497">
        <v>0.396033711803129</v>
      </c>
      <c r="I1497">
        <v>1.611270480984143</v>
      </c>
    </row>
    <row r="1498" spans="1:9">
      <c r="A1498" s="1" t="s">
        <v>1510</v>
      </c>
      <c r="B1498">
        <f>HYPERLINK("https://www.suredividend.com/sure-analysis-research-database/","Iradimed Corp")</f>
        <v>0</v>
      </c>
      <c r="C1498">
        <v>-0.069239500567536</v>
      </c>
      <c r="D1498">
        <v>-0.062428538760576</v>
      </c>
      <c r="E1498">
        <v>-0.013711811402453</v>
      </c>
      <c r="F1498">
        <v>0.493711837484152</v>
      </c>
      <c r="G1498">
        <v>0.549584824651248</v>
      </c>
      <c r="H1498">
        <v>0.147716743507702</v>
      </c>
      <c r="I1498">
        <v>0.6765007748704801</v>
      </c>
    </row>
    <row r="1499" spans="1:9">
      <c r="A1499" s="1" t="s">
        <v>1511</v>
      </c>
      <c r="B1499">
        <f>HYPERLINK("https://www.suredividend.com/sure-analysis-research-database/","IF Bancorp Inc")</f>
        <v>0</v>
      </c>
      <c r="C1499">
        <v>-0.042338709677419</v>
      </c>
      <c r="D1499">
        <v>-0.056772374352151</v>
      </c>
      <c r="E1499">
        <v>-0.013581426257424</v>
      </c>
      <c r="F1499">
        <v>-0.139897874189693</v>
      </c>
      <c r="G1499">
        <v>-0.205743173571591</v>
      </c>
      <c r="H1499">
        <v>-0.340467088150623</v>
      </c>
      <c r="I1499">
        <v>-0.283707229781694</v>
      </c>
    </row>
    <row r="1500" spans="1:9">
      <c r="A1500" s="1" t="s">
        <v>1512</v>
      </c>
      <c r="B1500">
        <f>HYPERLINK("https://www.suredividend.com/sure-analysis-IRT/","Independence Realty Trust Inc")</f>
        <v>0</v>
      </c>
      <c r="C1500">
        <v>-0.051486584481508</v>
      </c>
      <c r="D1500">
        <v>-0.207772070937106</v>
      </c>
      <c r="E1500">
        <v>-0.19000761690085</v>
      </c>
      <c r="F1500">
        <v>-0.201128680579731</v>
      </c>
      <c r="G1500">
        <v>-0.16155458548874</v>
      </c>
      <c r="H1500">
        <v>-0.418591729600704</v>
      </c>
      <c r="I1500">
        <v>0.676536183957548</v>
      </c>
    </row>
    <row r="1501" spans="1:9">
      <c r="A1501" s="1" t="s">
        <v>1513</v>
      </c>
      <c r="B1501">
        <f>HYPERLINK("https://www.suredividend.com/sure-analysis-research-database/","iRhythm Technologies Inc")</f>
        <v>0</v>
      </c>
      <c r="C1501">
        <v>-0.140499457111834</v>
      </c>
      <c r="D1501">
        <v>-0.218172839506172</v>
      </c>
      <c r="E1501">
        <v>-0.39271192942079</v>
      </c>
      <c r="F1501">
        <v>-0.154905519376534</v>
      </c>
      <c r="G1501">
        <v>-0.346702979285301</v>
      </c>
      <c r="H1501">
        <v>0.030729166666666</v>
      </c>
      <c r="I1501">
        <v>-0.03815309842041301</v>
      </c>
    </row>
    <row r="1502" spans="1:9">
      <c r="A1502" s="1" t="s">
        <v>1514</v>
      </c>
      <c r="B1502">
        <f>HYPERLINK("https://www.suredividend.com/sure-analysis-research-database/","Ironwood Pharmaceuticals Inc")</f>
        <v>0</v>
      </c>
      <c r="C1502">
        <v>-0.027056277056277</v>
      </c>
      <c r="D1502">
        <v>-0.192998204667863</v>
      </c>
      <c r="E1502">
        <v>-0.138063279002876</v>
      </c>
      <c r="F1502">
        <v>-0.274414850686037</v>
      </c>
      <c r="G1502">
        <v>-0.179744525547445</v>
      </c>
      <c r="H1502">
        <v>-0.294901960784313</v>
      </c>
      <c r="I1502">
        <v>-0.259283672107375</v>
      </c>
    </row>
    <row r="1503" spans="1:9">
      <c r="A1503" s="1" t="s">
        <v>1515</v>
      </c>
      <c r="B1503">
        <f>HYPERLINK("https://www.suredividend.com/sure-analysis-research-database/","Investors Bancorp Inc")</f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</row>
    <row r="1504" spans="1:9">
      <c r="A1504" s="1" t="s">
        <v>1516</v>
      </c>
      <c r="B1504">
        <f>HYPERLINK("https://www.suredividend.com/sure-analysis-research-database/","Issuer Direct Corp")</f>
        <v>0</v>
      </c>
      <c r="C1504">
        <v>0.016338797814207</v>
      </c>
      <c r="D1504">
        <v>-0.181382042253521</v>
      </c>
      <c r="E1504">
        <v>-0.077430555555555</v>
      </c>
      <c r="F1504">
        <v>-0.257228434504792</v>
      </c>
      <c r="G1504">
        <v>-0.171905609973285</v>
      </c>
      <c r="H1504">
        <v>-0.283551617873651</v>
      </c>
      <c r="I1504">
        <v>0.432896764252696</v>
      </c>
    </row>
    <row r="1505" spans="1:9">
      <c r="A1505" s="1" t="s">
        <v>1517</v>
      </c>
      <c r="B1505">
        <f>HYPERLINK("https://www.suredividend.com/sure-analysis-research-database/","IVERIC bio Inc")</f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</row>
    <row r="1506" spans="1:9">
      <c r="A1506" s="1" t="s">
        <v>1518</v>
      </c>
      <c r="B1506">
        <f>HYPERLINK("https://www.suredividend.com/sure-analysis-research-database/","Image Sensing Systems, Inc.")</f>
        <v>0</v>
      </c>
      <c r="C1506">
        <v>-0.055718475073313</v>
      </c>
      <c r="D1506">
        <v>0.513157894736842</v>
      </c>
      <c r="E1506">
        <v>0.433532187694773</v>
      </c>
      <c r="F1506">
        <v>0.455860743754945</v>
      </c>
      <c r="G1506">
        <v>0.8784272546960681</v>
      </c>
      <c r="H1506">
        <v>0.294758640101328</v>
      </c>
      <c r="I1506">
        <v>1.63577947857406</v>
      </c>
    </row>
    <row r="1507" spans="1:9">
      <c r="A1507" s="1" t="s">
        <v>1519</v>
      </c>
      <c r="B1507">
        <f>HYPERLINK("https://www.suredividend.com/sure-analysis-research-database/","Intuitive Surgical Inc")</f>
        <v>0</v>
      </c>
      <c r="C1507">
        <v>-0.05793613126313601</v>
      </c>
      <c r="D1507">
        <v>-0.11463344696849</v>
      </c>
      <c r="E1507">
        <v>-0.07745169643449901</v>
      </c>
      <c r="F1507">
        <v>0.047258338044092</v>
      </c>
      <c r="G1507">
        <v>0.176851734214203</v>
      </c>
      <c r="H1507">
        <v>-0.228875877570275</v>
      </c>
      <c r="I1507">
        <v>0.614951302729708</v>
      </c>
    </row>
    <row r="1508" spans="1:9">
      <c r="A1508" s="1" t="s">
        <v>1520</v>
      </c>
      <c r="B1508">
        <f>HYPERLINK("https://www.suredividend.com/sure-analysis-research-database/","Israel Acquisitions Corp")</f>
        <v>0</v>
      </c>
      <c r="C1508">
        <v>0.005687203791469001</v>
      </c>
      <c r="D1508">
        <v>0.015311004784688</v>
      </c>
      <c r="E1508">
        <v>0.03917727717923501</v>
      </c>
      <c r="F1508">
        <v>0.044291338582677</v>
      </c>
      <c r="G1508">
        <v>0.044291338582677</v>
      </c>
      <c r="H1508">
        <v>0.044291338582677</v>
      </c>
      <c r="I1508">
        <v>0.044291338582677</v>
      </c>
    </row>
    <row r="1509" spans="1:9">
      <c r="A1509" s="1" t="s">
        <v>1521</v>
      </c>
      <c r="B1509">
        <f>HYPERLINK("https://www.suredividend.com/sure-analysis-research-database/","Innovative Solutions And Support Inc")</f>
        <v>0</v>
      </c>
      <c r="C1509">
        <v>-0.041994750656167</v>
      </c>
      <c r="D1509">
        <v>-0.09653465346534601</v>
      </c>
      <c r="E1509">
        <v>0.07511045655375501</v>
      </c>
      <c r="F1509">
        <v>-0.111922141119221</v>
      </c>
      <c r="G1509">
        <v>-0.184357541899441</v>
      </c>
      <c r="H1509">
        <v>0.061046511627906</v>
      </c>
      <c r="I1509">
        <v>2.291104999774581</v>
      </c>
    </row>
    <row r="1510" spans="1:9">
      <c r="A1510" s="1" t="s">
        <v>1522</v>
      </c>
      <c r="B1510">
        <f>HYPERLINK("https://www.suredividend.com/sure-analysis-research-database/","Investar Holding Corp")</f>
        <v>0</v>
      </c>
      <c r="C1510">
        <v>0.026112185686653</v>
      </c>
      <c r="D1510">
        <v>-0.235227125290123</v>
      </c>
      <c r="E1510">
        <v>-0.08575466170337401</v>
      </c>
      <c r="F1510">
        <v>-0.486290592000464</v>
      </c>
      <c r="G1510">
        <v>-0.498470832368248</v>
      </c>
      <c r="H1510">
        <v>-0.386779639465729</v>
      </c>
      <c r="I1510">
        <v>-0.548685402673858</v>
      </c>
    </row>
    <row r="1511" spans="1:9">
      <c r="A1511" s="1" t="s">
        <v>1523</v>
      </c>
      <c r="B1511">
        <f>HYPERLINK("https://www.suredividend.com/sure-analysis-research-database/","Gartner, Inc.")</f>
        <v>0</v>
      </c>
      <c r="C1511">
        <v>-0.024306358381502</v>
      </c>
      <c r="D1511">
        <v>-0.009448079575129002</v>
      </c>
      <c r="E1511">
        <v>0.117884698168813</v>
      </c>
      <c r="F1511">
        <v>0.004313678824299</v>
      </c>
      <c r="G1511">
        <v>0.05990392766318101</v>
      </c>
      <c r="H1511">
        <v>-0.006182107215402</v>
      </c>
      <c r="I1511">
        <v>1.376892205871998</v>
      </c>
    </row>
    <row r="1512" spans="1:9">
      <c r="A1512" s="1" t="s">
        <v>1524</v>
      </c>
      <c r="B1512">
        <f>HYPERLINK("https://www.suredividend.com/sure-analysis-research-database/","Intra-Cellular Therapies Inc")</f>
        <v>0</v>
      </c>
      <c r="C1512">
        <v>-0.00209563726424</v>
      </c>
      <c r="D1512">
        <v>-0.139477575160177</v>
      </c>
      <c r="E1512">
        <v>-0.171988618400252</v>
      </c>
      <c r="F1512">
        <v>-0.010204081632653</v>
      </c>
      <c r="G1512">
        <v>0.142919485053458</v>
      </c>
      <c r="H1512">
        <v>0.118274978650725</v>
      </c>
      <c r="I1512">
        <v>1.829821717990276</v>
      </c>
    </row>
    <row r="1513" spans="1:9">
      <c r="A1513" s="1" t="s">
        <v>1525</v>
      </c>
      <c r="B1513">
        <f>HYPERLINK("https://www.suredividend.com/sure-analysis-research-database/","Integer Holdings Corp")</f>
        <v>0</v>
      </c>
      <c r="C1513">
        <v>0.07278318810866201</v>
      </c>
      <c r="D1513">
        <v>-0.09364512287539201</v>
      </c>
      <c r="E1513">
        <v>0.026231919588134</v>
      </c>
      <c r="F1513">
        <v>0.222903885480572</v>
      </c>
      <c r="G1513">
        <v>0.345980707395498</v>
      </c>
      <c r="H1513">
        <v>-0.065103294249022</v>
      </c>
      <c r="I1513">
        <v>-0.006408734868264001</v>
      </c>
    </row>
    <row r="1514" spans="1:9">
      <c r="A1514" s="1" t="s">
        <v>1526</v>
      </c>
      <c r="B1514">
        <f>HYPERLINK("https://www.suredividend.com/sure-analysis-research-database/","Iteris Inc.")</f>
        <v>0</v>
      </c>
      <c r="C1514">
        <v>0.046099290780141</v>
      </c>
      <c r="D1514">
        <v>0.04363207547169801</v>
      </c>
      <c r="E1514">
        <v>-0.001128668171557</v>
      </c>
      <c r="F1514">
        <v>0.422829581993569</v>
      </c>
      <c r="G1514">
        <v>0.574733096085409</v>
      </c>
      <c r="H1514">
        <v>-0.192518248175182</v>
      </c>
      <c r="I1514">
        <v>-0.014476614699331</v>
      </c>
    </row>
    <row r="1515" spans="1:9">
      <c r="A1515" s="1" t="s">
        <v>1527</v>
      </c>
      <c r="B1515">
        <f>HYPERLINK("https://www.suredividend.com/sure-analysis-research-database/","Investors Title Co.")</f>
        <v>0</v>
      </c>
      <c r="C1515">
        <v>0.002320819112628</v>
      </c>
      <c r="D1515">
        <v>-0.062369299043787</v>
      </c>
      <c r="E1515">
        <v>0.018951640044438</v>
      </c>
      <c r="F1515">
        <v>0.011641036911394</v>
      </c>
      <c r="G1515">
        <v>0.028125722047569</v>
      </c>
      <c r="H1515">
        <v>-0.253644101480818</v>
      </c>
      <c r="I1515">
        <v>-0.154905421807744</v>
      </c>
    </row>
    <row r="1516" spans="1:9">
      <c r="A1516" s="1" t="s">
        <v>1528</v>
      </c>
      <c r="B1516">
        <f>HYPERLINK("https://www.suredividend.com/sure-analysis-research-database/","Itron Inc.")</f>
        <v>0</v>
      </c>
      <c r="C1516">
        <v>0.090136054421768</v>
      </c>
      <c r="D1516">
        <v>-0.164820846905537</v>
      </c>
      <c r="E1516">
        <v>0.179826983250506</v>
      </c>
      <c r="F1516">
        <v>0.265547877591312</v>
      </c>
      <c r="G1516">
        <v>0.378494623655913</v>
      </c>
      <c r="H1516">
        <v>-0.19573400250941</v>
      </c>
      <c r="I1516">
        <v>0.177659379018923</v>
      </c>
    </row>
    <row r="1517" spans="1:9">
      <c r="A1517" s="1" t="s">
        <v>1529</v>
      </c>
      <c r="B1517">
        <f>HYPERLINK("https://www.suredividend.com/sure-analysis-ITT/","ITT Inc")</f>
        <v>0</v>
      </c>
      <c r="C1517">
        <v>0.032071177322574</v>
      </c>
      <c r="D1517">
        <v>0.017955028754984</v>
      </c>
      <c r="E1517">
        <v>0.198001729272744</v>
      </c>
      <c r="F1517">
        <v>0.241657767455522</v>
      </c>
      <c r="G1517">
        <v>0.356562794062454</v>
      </c>
      <c r="H1517">
        <v>0.050284364281066</v>
      </c>
      <c r="I1517">
        <v>0.8543612621404341</v>
      </c>
    </row>
    <row r="1518" spans="1:9">
      <c r="A1518" s="1" t="s">
        <v>1530</v>
      </c>
      <c r="B1518">
        <f>HYPERLINK("https://www.suredividend.com/sure-analysis-ITW/","Illinois Tool Works, Inc.")</f>
        <v>0</v>
      </c>
      <c r="C1518">
        <v>0.007084492350486001</v>
      </c>
      <c r="D1518">
        <v>-0.06761754573889001</v>
      </c>
      <c r="E1518">
        <v>-0.00016267691114</v>
      </c>
      <c r="F1518">
        <v>0.069636962325199</v>
      </c>
      <c r="G1518">
        <v>0.131124749327798</v>
      </c>
      <c r="H1518">
        <v>0.05513034418441901</v>
      </c>
      <c r="I1518">
        <v>1.004349345522111</v>
      </c>
    </row>
    <row r="1519" spans="1:9">
      <c r="A1519" s="1" t="s">
        <v>1531</v>
      </c>
      <c r="B1519">
        <f>HYPERLINK("https://www.suredividend.com/sure-analysis-research-database/","Intevac, Inc.")</f>
        <v>0</v>
      </c>
      <c r="C1519">
        <v>0.09779179810725501</v>
      </c>
      <c r="D1519">
        <v>-0.005714285714285</v>
      </c>
      <c r="E1519">
        <v>-0.450236966824644</v>
      </c>
      <c r="F1519">
        <v>-0.462132921174652</v>
      </c>
      <c r="G1519">
        <v>-0.205479452054794</v>
      </c>
      <c r="H1519">
        <v>-0.333333333333333</v>
      </c>
      <c r="I1519">
        <v>-0.305389221556886</v>
      </c>
    </row>
    <row r="1520" spans="1:9">
      <c r="A1520" s="1" t="s">
        <v>1532</v>
      </c>
      <c r="B1520">
        <f>HYPERLINK("https://www.suredividend.com/sure-analysis-research-database/","Invacare Corp.")</f>
        <v>0</v>
      </c>
      <c r="C1520">
        <v>0.570952380952381</v>
      </c>
      <c r="D1520">
        <v>-0.125165738530893</v>
      </c>
      <c r="E1520">
        <v>-0.371619047619047</v>
      </c>
      <c r="F1520">
        <v>0.570952380952381</v>
      </c>
      <c r="G1520">
        <v>-0.710614035087719</v>
      </c>
      <c r="H1520">
        <v>-0.93441351888668</v>
      </c>
      <c r="I1520">
        <v>-0.9629134159228361</v>
      </c>
    </row>
    <row r="1521" spans="1:9">
      <c r="A1521" s="1" t="s">
        <v>1533</v>
      </c>
      <c r="B1521">
        <f>HYPERLINK("https://www.suredividend.com/sure-analysis-research-database/","Invesco Mortgage Capital Inc")</f>
        <v>0</v>
      </c>
      <c r="C1521">
        <v>-0.184716087488691</v>
      </c>
      <c r="D1521">
        <v>-0.31443709557606</v>
      </c>
      <c r="E1521">
        <v>-0.152120252814274</v>
      </c>
      <c r="F1521">
        <v>-0.290004449058282</v>
      </c>
      <c r="G1521">
        <v>-0.196601814463264</v>
      </c>
      <c r="H1521">
        <v>-0.659123779008966</v>
      </c>
      <c r="I1521">
        <v>-0.8651049838953661</v>
      </c>
    </row>
    <row r="1522" spans="1:9">
      <c r="A1522" s="1" t="s">
        <v>1534</v>
      </c>
      <c r="B1522">
        <f>HYPERLINK("https://www.suredividend.com/sure-analysis-IVZ/","Invesco Ltd")</f>
        <v>0</v>
      </c>
      <c r="C1522">
        <v>-0.047149894440534</v>
      </c>
      <c r="D1522">
        <v>-0.162346419866123</v>
      </c>
      <c r="E1522">
        <v>-0.15521253829308</v>
      </c>
      <c r="F1522">
        <v>-0.221248303310557</v>
      </c>
      <c r="G1522">
        <v>-0.070667691631891</v>
      </c>
      <c r="H1522">
        <v>-0.435414599161044</v>
      </c>
      <c r="I1522">
        <v>-0.192629915625652</v>
      </c>
    </row>
    <row r="1523" spans="1:9">
      <c r="A1523" s="1" t="s">
        <v>1535</v>
      </c>
      <c r="B1523">
        <f>HYPERLINK("https://www.suredividend.com/sure-analysis-research-database/","IZEA Worldwide Inc")</f>
        <v>0</v>
      </c>
      <c r="C1523">
        <v>0.065420560747663</v>
      </c>
      <c r="D1523">
        <v>-0.029787234042553</v>
      </c>
      <c r="E1523">
        <v>-0.05</v>
      </c>
      <c r="F1523">
        <v>0.04972375690607701</v>
      </c>
      <c r="G1523">
        <v>-0.162995594713656</v>
      </c>
      <c r="H1523">
        <v>-0.7233009708737861</v>
      </c>
      <c r="I1523">
        <v>-0.6705202312138721</v>
      </c>
    </row>
    <row r="1524" spans="1:9">
      <c r="A1524" s="1" t="s">
        <v>1536</v>
      </c>
      <c r="B1524">
        <f>HYPERLINK("https://www.suredividend.com/sure-analysis-JACK/","Jack In The Box, Inc.")</f>
        <v>0</v>
      </c>
      <c r="C1524">
        <v>-0.05420094007050501</v>
      </c>
      <c r="D1524">
        <v>-0.321383328309666</v>
      </c>
      <c r="E1524">
        <v>-0.296676937797579</v>
      </c>
      <c r="F1524">
        <v>-0.031242759521323</v>
      </c>
      <c r="G1524">
        <v>-0.228598058736285</v>
      </c>
      <c r="H1524">
        <v>-0.305786157554952</v>
      </c>
      <c r="I1524">
        <v>-0.10248833332404</v>
      </c>
    </row>
    <row r="1525" spans="1:9">
      <c r="A1525" s="1" t="s">
        <v>1537</v>
      </c>
      <c r="B1525">
        <f>HYPERLINK("https://www.suredividend.com/sure-analysis-research-database/","Jaguar Health Inc")</f>
        <v>0</v>
      </c>
      <c r="C1525">
        <v>0.333333333333333</v>
      </c>
      <c r="D1525">
        <v>-0.4877541219785491</v>
      </c>
      <c r="E1525">
        <v>-0.409594095940959</v>
      </c>
      <c r="F1525">
        <v>-0.950901419255849</v>
      </c>
      <c r="G1525">
        <v>-0.968039950062422</v>
      </c>
      <c r="H1525">
        <v>-0.9979388083735911</v>
      </c>
      <c r="I1525">
        <v>-0.999953823953824</v>
      </c>
    </row>
    <row r="1526" spans="1:9">
      <c r="A1526" s="1" t="s">
        <v>1538</v>
      </c>
      <c r="B1526">
        <f>HYPERLINK("https://www.suredividend.com/sure-analysis-research-database/","Jakks Pacific Inc.")</f>
        <v>0</v>
      </c>
      <c r="C1526">
        <v>0.25204137180185</v>
      </c>
      <c r="D1526">
        <v>0.166328600405679</v>
      </c>
      <c r="E1526">
        <v>0.001306051371354</v>
      </c>
      <c r="F1526">
        <v>0.315037164093767</v>
      </c>
      <c r="G1526">
        <v>0.237224314147391</v>
      </c>
      <c r="H1526">
        <v>0.962457337883958</v>
      </c>
      <c r="I1526">
        <v>-0.033613445378151</v>
      </c>
    </row>
    <row r="1527" spans="1:9">
      <c r="A1527" s="1" t="s">
        <v>1539</v>
      </c>
      <c r="B1527">
        <f>HYPERLINK("https://www.suredividend.com/sure-analysis-research-database/","J. Alexanders Holdings Inc")</f>
        <v>0</v>
      </c>
      <c r="C1527">
        <v>0.008645533141210001</v>
      </c>
      <c r="D1527">
        <v>0.218450826805918</v>
      </c>
      <c r="E1527">
        <v>0.473684210526315</v>
      </c>
      <c r="F1527">
        <v>0.920438957475994</v>
      </c>
      <c r="G1527">
        <v>1.676864244741873</v>
      </c>
      <c r="H1527">
        <v>0.199657240788346</v>
      </c>
      <c r="I1527">
        <v>0.450777202072538</v>
      </c>
    </row>
    <row r="1528" spans="1:9">
      <c r="A1528" s="1" t="s">
        <v>1540</v>
      </c>
      <c r="B1528">
        <f>HYPERLINK("https://www.suredividend.com/sure-analysis-research-database/","Jazz Pharmaceuticals plc")</f>
        <v>0</v>
      </c>
      <c r="C1528">
        <v>0.008690205903076001</v>
      </c>
      <c r="D1528">
        <v>-0.01036946001997</v>
      </c>
      <c r="E1528">
        <v>-0.059836544074722</v>
      </c>
      <c r="F1528">
        <v>-0.191262318749607</v>
      </c>
      <c r="G1528">
        <v>-0.100467779096557</v>
      </c>
      <c r="H1528">
        <v>-0.047041420118343</v>
      </c>
      <c r="I1528">
        <v>-0.209909854663641</v>
      </c>
    </row>
    <row r="1529" spans="1:9">
      <c r="A1529" s="1" t="s">
        <v>1541</v>
      </c>
      <c r="B1529">
        <f>HYPERLINK("https://www.suredividend.com/sure-analysis-research-database/","JBG SMITH Properties")</f>
        <v>0</v>
      </c>
      <c r="C1529">
        <v>-0.032005689900426</v>
      </c>
      <c r="D1529">
        <v>-0.169118814178093</v>
      </c>
      <c r="E1529">
        <v>0.007103744265206001</v>
      </c>
      <c r="F1529">
        <v>-0.260856342189299</v>
      </c>
      <c r="G1529">
        <v>-0.259698439981723</v>
      </c>
      <c r="H1529">
        <v>-0.4937622281901161</v>
      </c>
      <c r="I1529">
        <v>-0.5703602218595411</v>
      </c>
    </row>
    <row r="1530" spans="1:9">
      <c r="A1530" s="1" t="s">
        <v>1542</v>
      </c>
      <c r="B1530">
        <f>HYPERLINK("https://www.suredividend.com/sure-analysis-JBHT/","J.B. Hunt Transport Services, Inc.")</f>
        <v>0</v>
      </c>
      <c r="C1530">
        <v>-0.07982072350869601</v>
      </c>
      <c r="D1530">
        <v>-0.154818724151669</v>
      </c>
      <c r="E1530">
        <v>-0.009800369645437</v>
      </c>
      <c r="F1530">
        <v>-0.002342868712579</v>
      </c>
      <c r="G1530">
        <v>0.04025546155228801</v>
      </c>
      <c r="H1530">
        <v>-0.090011122907067</v>
      </c>
      <c r="I1530">
        <v>0.6417131847293831</v>
      </c>
    </row>
    <row r="1531" spans="1:9">
      <c r="A1531" s="1" t="s">
        <v>1543</v>
      </c>
      <c r="B1531">
        <f>HYPERLINK("https://www.suredividend.com/sure-analysis-JBL/","Jabil Inc")</f>
        <v>0</v>
      </c>
      <c r="C1531">
        <v>-0.030495848529525</v>
      </c>
      <c r="D1531">
        <v>0.155587125941793</v>
      </c>
      <c r="E1531">
        <v>0.6038078562708831</v>
      </c>
      <c r="F1531">
        <v>0.8369558345475311</v>
      </c>
      <c r="G1531">
        <v>0.9700347838701231</v>
      </c>
      <c r="H1531">
        <v>1.019806846068538</v>
      </c>
      <c r="I1531">
        <v>3.962879693663132</v>
      </c>
    </row>
    <row r="1532" spans="1:9">
      <c r="A1532" s="1" t="s">
        <v>1544</v>
      </c>
      <c r="B1532">
        <f>HYPERLINK("https://www.suredividend.com/sure-analysis-research-database/","Jetblue Airways Corp")</f>
        <v>0</v>
      </c>
      <c r="C1532">
        <v>-0.155172413793103</v>
      </c>
      <c r="D1532">
        <v>-0.431884057971014</v>
      </c>
      <c r="E1532">
        <v>-0.447887323943661</v>
      </c>
      <c r="F1532">
        <v>-0.395061728395061</v>
      </c>
      <c r="G1532">
        <v>-0.492884864165588</v>
      </c>
      <c r="H1532">
        <v>-0.7331518039482641</v>
      </c>
      <c r="I1532">
        <v>-0.778029445073612</v>
      </c>
    </row>
    <row r="1533" spans="1:9">
      <c r="A1533" s="1" t="s">
        <v>1545</v>
      </c>
      <c r="B1533">
        <f>HYPERLINK("https://www.suredividend.com/sure-analysis-research-database/","Sanfilippo (John B.) &amp; Son, Inc")</f>
        <v>0</v>
      </c>
      <c r="C1533">
        <v>-0.063222434415519</v>
      </c>
      <c r="D1533">
        <v>-0.131331169739007</v>
      </c>
      <c r="E1533">
        <v>-0.080793515846449</v>
      </c>
      <c r="F1533">
        <v>0.199421909526009</v>
      </c>
      <c r="G1533">
        <v>0.222170059980749</v>
      </c>
      <c r="H1533">
        <v>0.172266587509323</v>
      </c>
      <c r="I1533">
        <v>0.7148492699010831</v>
      </c>
    </row>
    <row r="1534" spans="1:9">
      <c r="A1534" s="1" t="s">
        <v>1546</v>
      </c>
      <c r="B1534">
        <f>HYPERLINK("https://www.suredividend.com/sure-analysis-research-database/","John Bean Technologies Corp")</f>
        <v>0</v>
      </c>
      <c r="C1534">
        <v>0.020080707148347</v>
      </c>
      <c r="D1534">
        <v>-0.07230385303657301</v>
      </c>
      <c r="E1534">
        <v>-0.002719343975878</v>
      </c>
      <c r="F1534">
        <v>0.165716920847195</v>
      </c>
      <c r="G1534">
        <v>0.200431463357273</v>
      </c>
      <c r="H1534">
        <v>-0.296504920887449</v>
      </c>
      <c r="I1534">
        <v>0.201873278611138</v>
      </c>
    </row>
    <row r="1535" spans="1:9">
      <c r="A1535" s="1" t="s">
        <v>1547</v>
      </c>
      <c r="B1535">
        <f>HYPERLINK("https://www.suredividend.com/sure-analysis-JCI/","Johnson Controls International plc")</f>
        <v>0</v>
      </c>
      <c r="C1535">
        <v>-0.02901870943108</v>
      </c>
      <c r="D1535">
        <v>-0.194286818684434</v>
      </c>
      <c r="E1535">
        <v>-0.140201577593172</v>
      </c>
      <c r="F1535">
        <v>-0.190515374000678</v>
      </c>
      <c r="G1535">
        <v>-0.08793059234299201</v>
      </c>
      <c r="H1535">
        <v>-0.281249602539226</v>
      </c>
      <c r="I1535">
        <v>0.768151714787324</v>
      </c>
    </row>
    <row r="1536" spans="1:9">
      <c r="A1536" s="1" t="s">
        <v>1548</v>
      </c>
      <c r="B1536">
        <f>HYPERLINK("https://www.suredividend.com/sure-analysis-research-database/","Pineapple Holdings Inc")</f>
        <v>0</v>
      </c>
      <c r="C1536">
        <v>-0.002439024390243</v>
      </c>
      <c r="D1536">
        <v>-0.126068376068376</v>
      </c>
      <c r="E1536">
        <v>-0.623097054812193</v>
      </c>
      <c r="F1536">
        <v>-0.147916666666666</v>
      </c>
      <c r="G1536">
        <v>-0.420581401938006</v>
      </c>
      <c r="H1536">
        <v>-0.24255752581138</v>
      </c>
      <c r="I1536">
        <v>-0.104229177161129</v>
      </c>
    </row>
    <row r="1537" spans="1:9">
      <c r="A1537" s="1" t="s">
        <v>1549</v>
      </c>
      <c r="B1537">
        <f>HYPERLINK("https://www.suredividend.com/sure-analysis-research-database/","Jewett-Cameron Trading Co. Ltd.")</f>
        <v>0</v>
      </c>
      <c r="C1537">
        <v>-0.025531914893617</v>
      </c>
      <c r="D1537">
        <v>-0.096646942800789</v>
      </c>
      <c r="E1537">
        <v>-0.047817047817047</v>
      </c>
      <c r="F1537">
        <v>-0.196491228070175</v>
      </c>
      <c r="G1537">
        <v>-0.139906103286384</v>
      </c>
      <c r="H1537">
        <v>-0.577490774907749</v>
      </c>
      <c r="I1537">
        <v>-0.504864864864864</v>
      </c>
    </row>
    <row r="1538" spans="1:9">
      <c r="A1538" s="1" t="s">
        <v>1550</v>
      </c>
      <c r="B1538">
        <f>HYPERLINK("https://www.suredividend.com/sure-analysis-research-database/","Jefferies Financial Group Inc")</f>
        <v>0</v>
      </c>
      <c r="C1538">
        <v>-0.06564245810055801</v>
      </c>
      <c r="D1538">
        <v>-0.05994435545063601</v>
      </c>
      <c r="E1538">
        <v>0.113029937011489</v>
      </c>
      <c r="F1538">
        <v>0.047577887181029</v>
      </c>
      <c r="G1538">
        <v>0.06761565836298901</v>
      </c>
      <c r="H1538">
        <v>-0.138628088192123</v>
      </c>
      <c r="I1538">
        <v>1.068735195710389</v>
      </c>
    </row>
    <row r="1539" spans="1:9">
      <c r="A1539" s="1" t="s">
        <v>1551</v>
      </c>
      <c r="B1539">
        <f>HYPERLINK("https://www.suredividend.com/sure-analysis-research-database/","JELD-WEN Holding Inc.")</f>
        <v>0</v>
      </c>
      <c r="C1539">
        <v>-0.089675960813865</v>
      </c>
      <c r="D1539">
        <v>-0.339168490153172</v>
      </c>
      <c r="E1539">
        <v>-0.027375201288244</v>
      </c>
      <c r="F1539">
        <v>0.25181347150259</v>
      </c>
      <c r="G1539">
        <v>0.301724137931034</v>
      </c>
      <c r="H1539">
        <v>-0.5325077399380801</v>
      </c>
      <c r="I1539">
        <v>-0.290663534938344</v>
      </c>
    </row>
    <row r="1540" spans="1:9">
      <c r="A1540" s="1" t="s">
        <v>1552</v>
      </c>
      <c r="B1540">
        <f>HYPERLINK("https://www.suredividend.com/sure-analysis-JHG/","Janus Henderson Group plc")</f>
        <v>0</v>
      </c>
      <c r="C1540">
        <v>-0.017002767892447</v>
      </c>
      <c r="D1540">
        <v>-0.08405271670848401</v>
      </c>
      <c r="E1540">
        <v>-0.007446150160701001</v>
      </c>
      <c r="F1540">
        <v>0.103623400722726</v>
      </c>
      <c r="G1540">
        <v>0.179725426736963</v>
      </c>
      <c r="H1540">
        <v>-0.407180602453309</v>
      </c>
      <c r="I1540">
        <v>0.376598925743396</v>
      </c>
    </row>
    <row r="1541" spans="1:9">
      <c r="A1541" s="1" t="s">
        <v>1553</v>
      </c>
      <c r="B1541">
        <f>HYPERLINK("https://www.suredividend.com/sure-analysis-research-database/","J.Jill Inc")</f>
        <v>0</v>
      </c>
      <c r="C1541">
        <v>-0.015970098538905</v>
      </c>
      <c r="D1541">
        <v>0.279151943462897</v>
      </c>
      <c r="E1541">
        <v>0.199171842650103</v>
      </c>
      <c r="F1541">
        <v>0.16774193548387</v>
      </c>
      <c r="G1541">
        <v>0.324794144556267</v>
      </c>
      <c r="H1541">
        <v>0.6768963520555871</v>
      </c>
      <c r="I1541">
        <v>0.282925921660007</v>
      </c>
    </row>
    <row r="1542" spans="1:9">
      <c r="A1542" s="1" t="s">
        <v>1554</v>
      </c>
      <c r="B1542">
        <f>HYPERLINK("https://www.suredividend.com/sure-analysis-JJSF/","J&amp;J Snack Foods Corp.")</f>
        <v>0</v>
      </c>
      <c r="C1542">
        <v>-0.027609055770292</v>
      </c>
      <c r="D1542">
        <v>-0.09779135635277501</v>
      </c>
      <c r="E1542">
        <v>0.019877606965206</v>
      </c>
      <c r="F1542">
        <v>0.08282530705329201</v>
      </c>
      <c r="G1542">
        <v>0.122124595549451</v>
      </c>
      <c r="H1542">
        <v>0.08375529517954901</v>
      </c>
      <c r="I1542">
        <v>0.113270672493033</v>
      </c>
    </row>
    <row r="1543" spans="1:9">
      <c r="A1543" s="1" t="s">
        <v>1555</v>
      </c>
      <c r="B1543">
        <f>HYPERLINK("https://www.suredividend.com/sure-analysis-JKHY/","Jack Henry &amp; Associates, Inc.")</f>
        <v>0</v>
      </c>
      <c r="C1543">
        <v>-0.052979248682191</v>
      </c>
      <c r="D1543">
        <v>-0.158698018053049</v>
      </c>
      <c r="E1543">
        <v>-0.100290394539745</v>
      </c>
      <c r="F1543">
        <v>-0.177641204040352</v>
      </c>
      <c r="G1543">
        <v>-0.240689986127732</v>
      </c>
      <c r="H1543">
        <v>-0.08132711434574401</v>
      </c>
      <c r="I1543">
        <v>0.013833509294009</v>
      </c>
    </row>
    <row r="1544" spans="1:9">
      <c r="A1544" s="1" t="s">
        <v>1556</v>
      </c>
      <c r="B1544">
        <f>HYPERLINK("https://www.suredividend.com/sure-analysis-research-database/","Jones Lang Lasalle Inc.")</f>
        <v>0</v>
      </c>
      <c r="C1544">
        <v>0.009258589511754001</v>
      </c>
      <c r="D1544">
        <v>-0.156969367409824</v>
      </c>
      <c r="E1544">
        <v>0.023772837332159</v>
      </c>
      <c r="F1544">
        <v>-0.124490180084081</v>
      </c>
      <c r="G1544">
        <v>-0.015036001694197</v>
      </c>
      <c r="H1544">
        <v>-0.4592070074803301</v>
      </c>
      <c r="I1544">
        <v>0.024544873126936</v>
      </c>
    </row>
    <row r="1545" spans="1:9">
      <c r="A1545" s="1" t="s">
        <v>1557</v>
      </c>
      <c r="B1545">
        <f>HYPERLINK("https://www.suredividend.com/sure-analysis-research-database/","Jounce Therapeutics Inc")</f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</row>
    <row r="1546" spans="1:9">
      <c r="A1546" s="1" t="s">
        <v>1558</v>
      </c>
      <c r="B1546">
        <f>HYPERLINK("https://www.suredividend.com/sure-analysis-JNJ/","Johnson &amp; Johnson")</f>
        <v>0</v>
      </c>
      <c r="C1546">
        <v>-0.031646793425717</v>
      </c>
      <c r="D1546">
        <v>-0.109347406086956</v>
      </c>
      <c r="E1546">
        <v>-0.076091468420518</v>
      </c>
      <c r="F1546">
        <v>-0.130658186186352</v>
      </c>
      <c r="G1546">
        <v>-0.093114515419286</v>
      </c>
      <c r="H1546">
        <v>-0.041993143976493</v>
      </c>
      <c r="I1546">
        <v>0.220740894819976</v>
      </c>
    </row>
    <row r="1547" spans="1:9">
      <c r="A1547" s="1" t="s">
        <v>1559</v>
      </c>
      <c r="B1547">
        <f>HYPERLINK("https://www.suredividend.com/sure-analysis-JNPR/","Juniper Networks Inc")</f>
        <v>0</v>
      </c>
      <c r="C1547">
        <v>-0.042067736185383</v>
      </c>
      <c r="D1547">
        <v>-0.04280823747760101</v>
      </c>
      <c r="E1547">
        <v>-0.065303524157051</v>
      </c>
      <c r="F1547">
        <v>-0.140487302435232</v>
      </c>
      <c r="G1547">
        <v>-0.08162498034738901</v>
      </c>
      <c r="H1547">
        <v>-0.090515228031221</v>
      </c>
      <c r="I1547">
        <v>0.04821312236435001</v>
      </c>
    </row>
    <row r="1548" spans="1:9">
      <c r="A1548" s="1" t="s">
        <v>1560</v>
      </c>
      <c r="B1548">
        <f>HYPERLINK("https://www.suredividend.com/sure-analysis-research-database/","GEE Group Inc")</f>
        <v>0</v>
      </c>
      <c r="C1548">
        <v>-0.07337739366209101</v>
      </c>
      <c r="D1548">
        <v>0.169625668449197</v>
      </c>
      <c r="E1548">
        <v>0.121181053926594</v>
      </c>
      <c r="F1548">
        <v>0.115918367346938</v>
      </c>
      <c r="G1548">
        <v>-0.158898630979849</v>
      </c>
      <c r="H1548">
        <v>0.134439834024896</v>
      </c>
      <c r="I1548">
        <v>-0.7536936936936931</v>
      </c>
    </row>
    <row r="1549" spans="1:9">
      <c r="A1549" s="1" t="s">
        <v>1561</v>
      </c>
      <c r="B1549">
        <f>HYPERLINK("https://www.suredividend.com/sure-analysis-research-database/","St. Joe Co.")</f>
        <v>0</v>
      </c>
      <c r="C1549">
        <v>-0.097683039851714</v>
      </c>
      <c r="D1549">
        <v>-0.214227835188001</v>
      </c>
      <c r="E1549">
        <v>0.202046541029592</v>
      </c>
      <c r="F1549">
        <v>0.267886629890661</v>
      </c>
      <c r="G1549">
        <v>0.400403896275754</v>
      </c>
      <c r="H1549">
        <v>0.07777086520558001</v>
      </c>
      <c r="I1549">
        <v>2.164038634029664</v>
      </c>
    </row>
    <row r="1550" spans="1:9">
      <c r="A1550" s="1" t="s">
        <v>1562</v>
      </c>
      <c r="B1550">
        <f>HYPERLINK("https://www.suredividend.com/sure-analysis-research-database/","Johnson Outdoors Inc")</f>
        <v>0</v>
      </c>
      <c r="C1550">
        <v>-0.08920995638888</v>
      </c>
      <c r="D1550">
        <v>-0.130154525073579</v>
      </c>
      <c r="E1550">
        <v>-0.121082042482227</v>
      </c>
      <c r="F1550">
        <v>-0.232453227618558</v>
      </c>
      <c r="G1550">
        <v>-0.024973153016886</v>
      </c>
      <c r="H1550">
        <v>-0.5280086326759851</v>
      </c>
      <c r="I1550">
        <v>-0.300992869045738</v>
      </c>
    </row>
    <row r="1551" spans="1:9">
      <c r="A1551" s="1" t="s">
        <v>1563</v>
      </c>
      <c r="B1551">
        <f>HYPERLINK("https://www.suredividend.com/sure-analysis-JPM/","JPMorgan Chase &amp; Co.")</f>
        <v>0</v>
      </c>
      <c r="C1551">
        <v>-0.009087220924781</v>
      </c>
      <c r="D1551">
        <v>-0.08324619785727701</v>
      </c>
      <c r="E1551">
        <v>0.032550682014985</v>
      </c>
      <c r="F1551">
        <v>0.08602163749516101</v>
      </c>
      <c r="G1551">
        <v>0.147007010839062</v>
      </c>
      <c r="H1551">
        <v>-0.118717622594031</v>
      </c>
      <c r="I1551">
        <v>0.518550215133316</v>
      </c>
    </row>
    <row r="1552" spans="1:9">
      <c r="A1552" s="1" t="s">
        <v>1564</v>
      </c>
      <c r="B1552">
        <f>HYPERLINK("https://www.suredividend.com/sure-analysis-research-database/","James River Group Holdings Ltd")</f>
        <v>0</v>
      </c>
      <c r="C1552">
        <v>-0.07363576594345801</v>
      </c>
      <c r="D1552">
        <v>-0.211187808960772</v>
      </c>
      <c r="E1552">
        <v>-0.24906999797478</v>
      </c>
      <c r="F1552">
        <v>-0.316546937072841</v>
      </c>
      <c r="G1552">
        <v>-0.401497742342441</v>
      </c>
      <c r="H1552">
        <v>-0.548941019796655</v>
      </c>
      <c r="I1552">
        <v>-0.5839828987150411</v>
      </c>
    </row>
    <row r="1553" spans="1:9">
      <c r="A1553" s="1" t="s">
        <v>1565</v>
      </c>
      <c r="B1553">
        <f>HYPERLINK("https://www.suredividend.com/sure-analysis-research-database/","Coffee Holding Co Inc")</f>
        <v>0</v>
      </c>
      <c r="C1553">
        <v>-0.156839622641509</v>
      </c>
      <c r="D1553">
        <v>-0.510273972602739</v>
      </c>
      <c r="E1553">
        <v>-0.547153081259104</v>
      </c>
      <c r="F1553">
        <v>-0.6495098039215681</v>
      </c>
      <c r="G1553">
        <v>-0.6822222222222221</v>
      </c>
      <c r="H1553">
        <v>-0.8426288682484481</v>
      </c>
      <c r="I1553">
        <v>-0.837710239008557</v>
      </c>
    </row>
    <row r="1554" spans="1:9">
      <c r="A1554" s="1" t="s">
        <v>1566</v>
      </c>
      <c r="B1554">
        <f>HYPERLINK("https://www.suredividend.com/sure-analysis-JWN/","Nordstrom, Inc.")</f>
        <v>0</v>
      </c>
      <c r="C1554">
        <v>-0.035737921906022</v>
      </c>
      <c r="D1554">
        <v>-0.3631018731012171</v>
      </c>
      <c r="E1554">
        <v>0.003685461371542</v>
      </c>
      <c r="F1554">
        <v>-0.064928730497955</v>
      </c>
      <c r="G1554">
        <v>-0.191139732415477</v>
      </c>
      <c r="H1554">
        <v>-0.491588706778933</v>
      </c>
      <c r="I1554">
        <v>-0.750059182966284</v>
      </c>
    </row>
    <row r="1555" spans="1:9">
      <c r="A1555" s="1" t="s">
        <v>1567</v>
      </c>
      <c r="B1555">
        <f>HYPERLINK("https://www.suredividend.com/sure-analysis-research-database/","Joint Corp")</f>
        <v>0</v>
      </c>
      <c r="C1555">
        <v>-0.142372881355932</v>
      </c>
      <c r="D1555">
        <v>-0.432311144353029</v>
      </c>
      <c r="E1555">
        <v>-0.516868236791852</v>
      </c>
      <c r="F1555">
        <v>-0.457081545064377</v>
      </c>
      <c r="G1555">
        <v>-0.4928165720013361</v>
      </c>
      <c r="H1555">
        <v>-0.910957297043641</v>
      </c>
      <c r="I1555">
        <v>0.025675675675675</v>
      </c>
    </row>
    <row r="1556" spans="1:9">
      <c r="A1556" s="1" t="s">
        <v>1568</v>
      </c>
      <c r="B1556">
        <f>HYPERLINK("https://www.suredividend.com/sure-analysis-K/","Kellanova Co")</f>
        <v>0</v>
      </c>
      <c r="C1556">
        <v>-0.130734330364644</v>
      </c>
      <c r="D1556">
        <v>-0.216118292947186</v>
      </c>
      <c r="E1556">
        <v>-0.259537056785048</v>
      </c>
      <c r="F1556">
        <v>-0.253637668717852</v>
      </c>
      <c r="G1556">
        <v>-0.292961184621461</v>
      </c>
      <c r="H1556">
        <v>-0.112659482862132</v>
      </c>
      <c r="I1556">
        <v>-0.016064791743541</v>
      </c>
    </row>
    <row r="1557" spans="1:9">
      <c r="A1557" s="1" t="s">
        <v>1569</v>
      </c>
      <c r="B1557">
        <f>HYPERLINK("https://www.suredividend.com/sure-analysis-research-database/","Kadant, Inc.")</f>
        <v>0</v>
      </c>
      <c r="C1557">
        <v>0.05535379724918001</v>
      </c>
      <c r="D1557">
        <v>0.144187559926528</v>
      </c>
      <c r="E1557">
        <v>0.27878214708012</v>
      </c>
      <c r="F1557">
        <v>0.345723812704864</v>
      </c>
      <c r="G1557">
        <v>0.416958799051267</v>
      </c>
      <c r="H1557">
        <v>0.08878914975877701</v>
      </c>
      <c r="I1557">
        <v>1.511593310166084</v>
      </c>
    </row>
    <row r="1558" spans="1:9">
      <c r="A1558" s="1" t="s">
        <v>1570</v>
      </c>
      <c r="B1558">
        <f>HYPERLINK("https://www.suredividend.com/sure-analysis-research-database/","Kala Bio Inc.")</f>
        <v>0</v>
      </c>
      <c r="C1558">
        <v>-0.232142857142857</v>
      </c>
      <c r="D1558">
        <v>-0.5458745874587451</v>
      </c>
      <c r="E1558">
        <v>-0.5470704410796571</v>
      </c>
      <c r="F1558">
        <v>-0.819659239842726</v>
      </c>
      <c r="G1558">
        <v>0.203849518810148</v>
      </c>
      <c r="H1558">
        <v>-0.923555555555555</v>
      </c>
      <c r="I1558">
        <v>-0.981894736842105</v>
      </c>
    </row>
    <row r="1559" spans="1:9">
      <c r="A1559" s="1" t="s">
        <v>1571</v>
      </c>
      <c r="B1559">
        <f>HYPERLINK("https://www.suredividend.com/sure-analysis-KALU/","Kaiser Aluminum Corp")</f>
        <v>0</v>
      </c>
      <c r="C1559">
        <v>-0.183083571869562</v>
      </c>
      <c r="D1559">
        <v>-0.252968174801854</v>
      </c>
      <c r="E1559">
        <v>-0.02995929561249</v>
      </c>
      <c r="F1559">
        <v>-0.180131640835133</v>
      </c>
      <c r="G1559">
        <v>-0.207769357737992</v>
      </c>
      <c r="H1559">
        <v>-0.3408598936680881</v>
      </c>
      <c r="I1559">
        <v>-0.303220123558149</v>
      </c>
    </row>
    <row r="1560" spans="1:9">
      <c r="A1560" s="1" t="s">
        <v>1572</v>
      </c>
      <c r="B1560">
        <f>HYPERLINK("https://www.suredividend.com/sure-analysis-research-database/","KalVista Pharmaceuticals Inc")</f>
        <v>0</v>
      </c>
      <c r="C1560">
        <v>-0.035077951002227</v>
      </c>
      <c r="D1560">
        <v>-0.197685185185185</v>
      </c>
      <c r="E1560">
        <v>-0.026404494382022</v>
      </c>
      <c r="F1560">
        <v>0.28180473372781</v>
      </c>
      <c r="G1560">
        <v>0.6349056603773581</v>
      </c>
      <c r="H1560">
        <v>-0.521006080707573</v>
      </c>
      <c r="I1560">
        <v>-0.562152602324406</v>
      </c>
    </row>
    <row r="1561" spans="1:9">
      <c r="A1561" s="1" t="s">
        <v>1573</v>
      </c>
      <c r="B1561">
        <f>HYPERLINK("https://www.suredividend.com/sure-analysis-research-database/","Kaman Corp.")</f>
        <v>0</v>
      </c>
      <c r="C1561">
        <v>-0.014788373278939</v>
      </c>
      <c r="D1561">
        <v>-0.123670423876805</v>
      </c>
      <c r="E1561">
        <v>-0.09457306214265601</v>
      </c>
      <c r="F1561">
        <v>-0.108983494057584</v>
      </c>
      <c r="G1561">
        <v>-0.074996169756396</v>
      </c>
      <c r="H1561">
        <v>-0.434970417835281</v>
      </c>
      <c r="I1561">
        <v>-0.635673796045212</v>
      </c>
    </row>
    <row r="1562" spans="1:9">
      <c r="A1562" s="1" t="s">
        <v>1574</v>
      </c>
      <c r="B1562">
        <f>HYPERLINK("https://www.suredividend.com/sure-analysis-research-database/","Openlane Inc.")</f>
        <v>0</v>
      </c>
      <c r="C1562">
        <v>-0.054812834224598</v>
      </c>
      <c r="D1562">
        <v>-0.09648562300319401</v>
      </c>
      <c r="E1562">
        <v>0.056011949215832</v>
      </c>
      <c r="F1562">
        <v>0.08352490421455901</v>
      </c>
      <c r="G1562">
        <v>0.054436987322893</v>
      </c>
      <c r="H1562">
        <v>-0.040054310930074</v>
      </c>
      <c r="I1562">
        <v>-0.327156880939125</v>
      </c>
    </row>
    <row r="1563" spans="1:9">
      <c r="A1563" s="1" t="s">
        <v>1575</v>
      </c>
      <c r="B1563">
        <f>HYPERLINK("https://www.suredividend.com/sure-analysis-research-database/","Kimball International, Inc.")</f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</row>
    <row r="1564" spans="1:9">
      <c r="A1564" s="1" t="s">
        <v>1576</v>
      </c>
      <c r="B1564">
        <f>HYPERLINK("https://www.suredividend.com/sure-analysis-research-database/","KB Home")</f>
        <v>0</v>
      </c>
      <c r="C1564">
        <v>0.06518421626335201</v>
      </c>
      <c r="D1564">
        <v>-0.101177336276674</v>
      </c>
      <c r="E1564">
        <v>0.121655808230373</v>
      </c>
      <c r="F1564">
        <v>0.551012634118468</v>
      </c>
      <c r="G1564">
        <v>0.782001998643256</v>
      </c>
      <c r="H1564">
        <v>0.240892040360737</v>
      </c>
      <c r="I1564">
        <v>1.551915764843521</v>
      </c>
    </row>
    <row r="1565" spans="1:9">
      <c r="A1565" s="1" t="s">
        <v>1577</v>
      </c>
      <c r="B1565">
        <f>HYPERLINK("https://www.suredividend.com/sure-analysis-research-database/","KBR Inc")</f>
        <v>0</v>
      </c>
      <c r="C1565">
        <v>-0.140003414717432</v>
      </c>
      <c r="D1565">
        <v>-0.181511952330424</v>
      </c>
      <c r="E1565">
        <v>-0.143418333942707</v>
      </c>
      <c r="F1565">
        <v>-0.039398579980509</v>
      </c>
      <c r="G1565">
        <v>0.037087671689791</v>
      </c>
      <c r="H1565">
        <v>0.235321816416021</v>
      </c>
      <c r="I1565">
        <v>1.70008040739748</v>
      </c>
    </row>
    <row r="1566" spans="1:9">
      <c r="A1566" s="1" t="s">
        <v>1578</v>
      </c>
      <c r="B1566">
        <f>HYPERLINK("https://www.suredividend.com/sure-analysis-research-database/","Kadmon Holdings Inc")</f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</row>
    <row r="1567" spans="1:9">
      <c r="A1567" s="1" t="s">
        <v>1579</v>
      </c>
      <c r="B1567">
        <f>HYPERLINK("https://www.suredividend.com/sure-analysis-KDP/","Keurig Dr Pepper Inc")</f>
        <v>0</v>
      </c>
      <c r="C1567">
        <v>-0.011214354373598</v>
      </c>
      <c r="D1567">
        <v>-0.092187398878619</v>
      </c>
      <c r="E1567">
        <v>-0.026052926417446</v>
      </c>
      <c r="F1567">
        <v>-0.101185119167241</v>
      </c>
      <c r="G1567">
        <v>-0.133267799466367</v>
      </c>
      <c r="H1567">
        <v>-0.09027126778333901</v>
      </c>
      <c r="I1567">
        <v>0.3092192624080971</v>
      </c>
    </row>
    <row r="1568" spans="1:9">
      <c r="A1568" s="1" t="s">
        <v>1580</v>
      </c>
      <c r="B1568">
        <f>HYPERLINK("https://www.suredividend.com/sure-analysis-research-database/","Kimball Electronics Inc")</f>
        <v>0</v>
      </c>
      <c r="C1568">
        <v>-0.039535727239753</v>
      </c>
      <c r="D1568">
        <v>-0.101154107264086</v>
      </c>
      <c r="E1568">
        <v>0.309594460929772</v>
      </c>
      <c r="F1568">
        <v>0.172200088534749</v>
      </c>
      <c r="G1568">
        <v>0.282324455205811</v>
      </c>
      <c r="H1568">
        <v>-0.102372881355932</v>
      </c>
      <c r="I1568">
        <v>0.384937238493723</v>
      </c>
    </row>
    <row r="1569" spans="1:9">
      <c r="A1569" s="1" t="s">
        <v>1581</v>
      </c>
      <c r="B1569">
        <f>HYPERLINK("https://www.suredividend.com/sure-analysis-research-database/","Kelly Services, Inc.")</f>
        <v>0</v>
      </c>
      <c r="C1569">
        <v>-0.003257328990228</v>
      </c>
      <c r="D1569">
        <v>0.019518560679678</v>
      </c>
      <c r="E1569">
        <v>0.153548922160579</v>
      </c>
      <c r="F1569">
        <v>0.109332044349113</v>
      </c>
      <c r="G1569">
        <v>0.185043664599079</v>
      </c>
      <c r="H1569">
        <v>0.026374928723963</v>
      </c>
      <c r="I1569">
        <v>-0.203284066549213</v>
      </c>
    </row>
    <row r="1570" spans="1:9">
      <c r="A1570" s="1" t="s">
        <v>1582</v>
      </c>
      <c r="B1570">
        <f>HYPERLINK("https://www.suredividend.com/sure-analysis-research-database/","KraneShares Trust")</f>
        <v>0</v>
      </c>
      <c r="C1570">
        <v>-0.003000317106686</v>
      </c>
      <c r="D1570">
        <v>-0.020493914932878</v>
      </c>
      <c r="E1570">
        <v>-0.020493914932878</v>
      </c>
      <c r="F1570">
        <v>-0.020493914932878</v>
      </c>
      <c r="G1570">
        <v>-0.020493914932878</v>
      </c>
      <c r="H1570">
        <v>-0.020493914932878</v>
      </c>
      <c r="I1570">
        <v>-0.020493914932878</v>
      </c>
    </row>
    <row r="1571" spans="1:9">
      <c r="A1571" s="1" t="s">
        <v>1583</v>
      </c>
      <c r="B1571">
        <f>HYPERLINK("https://www.suredividend.com/sure-analysis-research-database/","Kewaunee Scientific Corporation")</f>
        <v>0</v>
      </c>
      <c r="C1571">
        <v>0.016146993318485</v>
      </c>
      <c r="D1571">
        <v>0.196721311475409</v>
      </c>
      <c r="E1571">
        <v>0.210212201591512</v>
      </c>
      <c r="F1571">
        <v>0.144200626959247</v>
      </c>
      <c r="G1571">
        <v>0.07352941176470501</v>
      </c>
      <c r="H1571">
        <v>0.420233463035019</v>
      </c>
      <c r="I1571">
        <v>-0.347382198016757</v>
      </c>
    </row>
    <row r="1572" spans="1:9">
      <c r="A1572" s="1" t="s">
        <v>1584</v>
      </c>
      <c r="B1572">
        <f>HYPERLINK("https://www.suredividend.com/sure-analysis-research-database/","Kirby Corp.")</f>
        <v>0</v>
      </c>
      <c r="C1572">
        <v>-0.05347922301450701</v>
      </c>
      <c r="D1572">
        <v>-0.051379990142927</v>
      </c>
      <c r="E1572">
        <v>0.060906710762022</v>
      </c>
      <c r="F1572">
        <v>0.196425796425796</v>
      </c>
      <c r="G1572">
        <v>0.13037733078843</v>
      </c>
      <c r="H1572">
        <v>0.376542106204183</v>
      </c>
      <c r="I1572">
        <v>0.038861152341114</v>
      </c>
    </row>
    <row r="1573" spans="1:9">
      <c r="A1573" s="1" t="s">
        <v>1585</v>
      </c>
      <c r="B1573">
        <f>HYPERLINK("https://www.suredividend.com/sure-analysis-KEY/","Keycorp")</f>
        <v>0</v>
      </c>
      <c r="C1573">
        <v>0.05167464114832501</v>
      </c>
      <c r="D1573">
        <v>-0.05873687456105701</v>
      </c>
      <c r="E1573">
        <v>0.177428513268837</v>
      </c>
      <c r="F1573">
        <v>-0.33626447958062</v>
      </c>
      <c r="G1573">
        <v>-0.343363127957554</v>
      </c>
      <c r="H1573">
        <v>-0.484664187677894</v>
      </c>
      <c r="I1573">
        <v>-0.250673303105717</v>
      </c>
    </row>
    <row r="1574" spans="1:9">
      <c r="A1574" s="1" t="s">
        <v>1586</v>
      </c>
      <c r="B1574">
        <f>HYPERLINK("https://www.suredividend.com/sure-analysis-research-database/","Keysight Technologies Inc")</f>
        <v>0</v>
      </c>
      <c r="C1574">
        <v>-0.06454062262718201</v>
      </c>
      <c r="D1574">
        <v>-0.229325659952458</v>
      </c>
      <c r="E1574">
        <v>-0.134952956045499</v>
      </c>
      <c r="F1574">
        <v>-0.27982697141521</v>
      </c>
      <c r="G1574">
        <v>-0.262716935966487</v>
      </c>
      <c r="H1574">
        <v>-0.33329725634504</v>
      </c>
      <c r="I1574">
        <v>1.154599510318293</v>
      </c>
    </row>
    <row r="1575" spans="1:9">
      <c r="A1575" s="1" t="s">
        <v>1587</v>
      </c>
      <c r="B1575">
        <f>HYPERLINK("https://www.suredividend.com/sure-analysis-research-database/","Kentucky First Federal Bancorp")</f>
        <v>0</v>
      </c>
      <c r="C1575">
        <v>-0.085568537107125</v>
      </c>
      <c r="D1575">
        <v>-0.243456655661822</v>
      </c>
      <c r="E1575">
        <v>-0.210471166995222</v>
      </c>
      <c r="F1575">
        <v>-0.272310613500949</v>
      </c>
      <c r="G1575">
        <v>-0.317112135176651</v>
      </c>
      <c r="H1575">
        <v>-0.283141175522051</v>
      </c>
      <c r="I1575">
        <v>-0.241882673942701</v>
      </c>
    </row>
    <row r="1576" spans="1:9">
      <c r="A1576" s="1" t="s">
        <v>1588</v>
      </c>
      <c r="B1576">
        <f>HYPERLINK("https://www.suredividend.com/sure-analysis-research-database/","Kforce Inc.")</f>
        <v>0</v>
      </c>
      <c r="C1576">
        <v>0.031878622570746</v>
      </c>
      <c r="D1576">
        <v>0.010340424466495</v>
      </c>
      <c r="E1576">
        <v>0.08712050460495101</v>
      </c>
      <c r="F1576">
        <v>0.138094289034208</v>
      </c>
      <c r="G1576">
        <v>0.125829539029253</v>
      </c>
      <c r="H1576">
        <v>-0.081024127481523</v>
      </c>
      <c r="I1576">
        <v>1.079904337457864</v>
      </c>
    </row>
    <row r="1577" spans="1:9">
      <c r="A1577" s="1" t="s">
        <v>1589</v>
      </c>
      <c r="B1577">
        <f>HYPERLINK("https://www.suredividend.com/sure-analysis-research-database/","Korn Ferry")</f>
        <v>0</v>
      </c>
      <c r="C1577">
        <v>-0.010945064197011</v>
      </c>
      <c r="D1577">
        <v>-0.103145004599745</v>
      </c>
      <c r="E1577">
        <v>0.018698173540729</v>
      </c>
      <c r="F1577">
        <v>-0.06201593714568501</v>
      </c>
      <c r="G1577">
        <v>-0.109481304603255</v>
      </c>
      <c r="H1577">
        <v>-0.393385461647993</v>
      </c>
      <c r="I1577">
        <v>0.05638235690841201</v>
      </c>
    </row>
    <row r="1578" spans="1:9">
      <c r="A1578" s="1" t="s">
        <v>1590</v>
      </c>
      <c r="B1578">
        <f>HYPERLINK("https://www.suredividend.com/sure-analysis-KHC/","Kraft Heinz Co")</f>
        <v>0</v>
      </c>
      <c r="C1578">
        <v>0.012692656391658</v>
      </c>
      <c r="D1578">
        <v>-0.055050166092346</v>
      </c>
      <c r="E1578">
        <v>-0.13002391071257</v>
      </c>
      <c r="F1578">
        <v>-0.148056623344926</v>
      </c>
      <c r="G1578">
        <v>-0.080736617736214</v>
      </c>
      <c r="H1578">
        <v>-0.014240706475535</v>
      </c>
      <c r="I1578">
        <v>-0.163109904573051</v>
      </c>
    </row>
    <row r="1579" spans="1:9">
      <c r="A1579" s="1" t="s">
        <v>1591</v>
      </c>
      <c r="B1579">
        <f>HYPERLINK("https://www.suredividend.com/sure-analysis-research-database/","OrthoPediatrics corp")</f>
        <v>0</v>
      </c>
      <c r="C1579">
        <v>-0.188287153652392</v>
      </c>
      <c r="D1579">
        <v>-0.360773617654351</v>
      </c>
      <c r="E1579">
        <v>-0.447374062165058</v>
      </c>
      <c r="F1579">
        <v>-0.351120060407752</v>
      </c>
      <c r="G1579">
        <v>-0.338974358974358</v>
      </c>
      <c r="H1579">
        <v>-0.635772817179994</v>
      </c>
      <c r="I1579">
        <v>-0.158890701468189</v>
      </c>
    </row>
    <row r="1580" spans="1:9">
      <c r="A1580" s="1" t="s">
        <v>1592</v>
      </c>
      <c r="B1580">
        <f>HYPERLINK("https://www.suredividend.com/sure-analysis-KIM/","Kimco Realty Corporation")</f>
        <v>0</v>
      </c>
      <c r="C1580">
        <v>0.08362573099415101</v>
      </c>
      <c r="D1580">
        <v>-0.071145353471049</v>
      </c>
      <c r="E1580">
        <v>0.025008435714325</v>
      </c>
      <c r="F1580">
        <v>-0.09521484375</v>
      </c>
      <c r="G1580">
        <v>-0.09521484375</v>
      </c>
      <c r="H1580">
        <v>-0.09521484375</v>
      </c>
      <c r="I1580">
        <v>-0.09521484375</v>
      </c>
    </row>
    <row r="1581" spans="1:9">
      <c r="A1581" s="1" t="s">
        <v>1593</v>
      </c>
      <c r="B1581">
        <f>HYPERLINK("https://www.suredividend.com/sure-analysis-research-database/","Kindred Biosciences Inc")</f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</row>
    <row r="1582" spans="1:9">
      <c r="A1582" s="1" t="s">
        <v>1594</v>
      </c>
      <c r="B1582">
        <f>HYPERLINK("https://www.suredividend.com/sure-analysis-research-database/","Kingstone Cos. Inc")</f>
        <v>0</v>
      </c>
      <c r="C1582">
        <v>0.171428571428571</v>
      </c>
      <c r="D1582">
        <v>0.8141592920353981</v>
      </c>
      <c r="E1582">
        <v>0.5769230769230761</v>
      </c>
      <c r="F1582">
        <v>0.518518518518518</v>
      </c>
      <c r="G1582">
        <v>-0.037558685446009</v>
      </c>
      <c r="H1582">
        <v>-0.6364603653129981</v>
      </c>
      <c r="I1582">
        <v>-0.8696766072688661</v>
      </c>
    </row>
    <row r="1583" spans="1:9">
      <c r="A1583" s="1" t="s">
        <v>1595</v>
      </c>
      <c r="B1583">
        <f>HYPERLINK("https://www.suredividend.com/sure-analysis-research-database/","Kirkland`s Inc")</f>
        <v>0</v>
      </c>
      <c r="C1583">
        <v>-0.04142011834319501</v>
      </c>
      <c r="D1583">
        <v>-0.544943820224719</v>
      </c>
      <c r="E1583">
        <v>-0.429577464788732</v>
      </c>
      <c r="F1583">
        <v>-0.509090909090909</v>
      </c>
      <c r="G1583">
        <v>-0.5537190082644621</v>
      </c>
      <c r="H1583">
        <v>-0.9332234130255561</v>
      </c>
      <c r="I1583">
        <v>-0.845567206863679</v>
      </c>
    </row>
    <row r="1584" spans="1:9">
      <c r="A1584" s="1" t="s">
        <v>1596</v>
      </c>
      <c r="B1584">
        <f>HYPERLINK("https://www.suredividend.com/sure-analysis-KKR/","KKR &amp; Co. Inc")</f>
        <v>0</v>
      </c>
      <c r="C1584">
        <v>-0.037219216264961</v>
      </c>
      <c r="D1584">
        <v>-0.000497028044637</v>
      </c>
      <c r="E1584">
        <v>0.153373992123587</v>
      </c>
      <c r="F1584">
        <v>0.275994697842195</v>
      </c>
      <c r="G1584">
        <v>0.195381333159617</v>
      </c>
      <c r="H1584">
        <v>0.06018231813774701</v>
      </c>
      <c r="I1584">
        <v>0.06018231813774701</v>
      </c>
    </row>
    <row r="1585" spans="1:9">
      <c r="A1585" s="1" t="s">
        <v>1597</v>
      </c>
      <c r="B1585">
        <f>HYPERLINK("https://www.suredividend.com/sure-analysis-KLAC/","KLA Corp.")</f>
        <v>0</v>
      </c>
      <c r="C1585">
        <v>0.06232768165338701</v>
      </c>
      <c r="D1585">
        <v>-0.015137624926715</v>
      </c>
      <c r="E1585">
        <v>0.3044468056861021</v>
      </c>
      <c r="F1585">
        <v>0.313589316906174</v>
      </c>
      <c r="G1585">
        <v>0.590684868274558</v>
      </c>
      <c r="H1585">
        <v>0.29388312745624</v>
      </c>
      <c r="I1585">
        <v>4.721220567585674</v>
      </c>
    </row>
    <row r="1586" spans="1:9">
      <c r="A1586" s="1" t="s">
        <v>1598</v>
      </c>
      <c r="B1586">
        <f>HYPERLINK("https://www.suredividend.com/sure-analysis-KLIC/","Kulicke &amp; Soffa Industries, Inc.")</f>
        <v>0</v>
      </c>
      <c r="C1586">
        <v>-0.092772830813833</v>
      </c>
      <c r="D1586">
        <v>-0.244007364931674</v>
      </c>
      <c r="E1586">
        <v>-0.07494409756900901</v>
      </c>
      <c r="F1586">
        <v>0.004137109066113</v>
      </c>
      <c r="G1586">
        <v>0.09470811948085701</v>
      </c>
      <c r="H1586">
        <v>-0.163814806261177</v>
      </c>
      <c r="I1586">
        <v>1.19760926597543</v>
      </c>
    </row>
    <row r="1587" spans="1:9">
      <c r="A1587" s="1" t="s">
        <v>1599</v>
      </c>
      <c r="B1587">
        <f>HYPERLINK("https://www.suredividend.com/sure-analysis-research-database/","KLX Energy Services Holdings Inc")</f>
        <v>0</v>
      </c>
      <c r="C1587">
        <v>-0.017840375586854</v>
      </c>
      <c r="D1587">
        <v>-0.039485766758494</v>
      </c>
      <c r="E1587">
        <v>0.164810690423162</v>
      </c>
      <c r="F1587">
        <v>-0.395725014442518</v>
      </c>
      <c r="G1587">
        <v>-0.314547837483617</v>
      </c>
      <c r="H1587">
        <v>1.298901098901099</v>
      </c>
      <c r="I1587">
        <v>-0.9269297939224591</v>
      </c>
    </row>
    <row r="1588" spans="1:9">
      <c r="A1588" s="1" t="s">
        <v>1600</v>
      </c>
      <c r="B1588">
        <f>HYPERLINK("https://www.suredividend.com/sure-analysis-KMB/","Kimberly-Clark Corp.")</f>
        <v>0</v>
      </c>
      <c r="C1588">
        <v>0.017141416687673</v>
      </c>
      <c r="D1588">
        <v>-0.056237486668038</v>
      </c>
      <c r="E1588">
        <v>-0.155015112699554</v>
      </c>
      <c r="F1588">
        <v>-0.083221939055654</v>
      </c>
      <c r="G1588">
        <v>0.026561700980088</v>
      </c>
      <c r="H1588">
        <v>-0.011634220562743</v>
      </c>
      <c r="I1588">
        <v>0.356261491249004</v>
      </c>
    </row>
    <row r="1589" spans="1:9">
      <c r="A1589" s="1" t="s">
        <v>1601</v>
      </c>
      <c r="B1589">
        <f>HYPERLINK("https://www.suredividend.com/sure-analysis-KMI/","Kinder Morgan Inc")</f>
        <v>0</v>
      </c>
      <c r="C1589">
        <v>0.064158024318214</v>
      </c>
      <c r="D1589">
        <v>-0.009401889756395001</v>
      </c>
      <c r="E1589">
        <v>0.04760724026779</v>
      </c>
      <c r="F1589">
        <v>-0.002655650634405</v>
      </c>
      <c r="G1589">
        <v>0.00737349713584</v>
      </c>
      <c r="H1589">
        <v>0.130623850142164</v>
      </c>
      <c r="I1589">
        <v>0.3646751023506321</v>
      </c>
    </row>
    <row r="1590" spans="1:9">
      <c r="A1590" s="1" t="s">
        <v>1602</v>
      </c>
      <c r="B1590">
        <f>HYPERLINK("https://www.suredividend.com/sure-analysis-research-database/","Zevra Therapeutics Inc")</f>
        <v>0</v>
      </c>
      <c r="C1590">
        <v>0.043636363636363</v>
      </c>
      <c r="D1590">
        <v>0.205882352941176</v>
      </c>
      <c r="E1590">
        <v>-0.09177215189873401</v>
      </c>
      <c r="F1590">
        <v>0.250544662309368</v>
      </c>
      <c r="G1590">
        <v>-0.020477815699658</v>
      </c>
      <c r="H1590">
        <v>-0.340987370838117</v>
      </c>
      <c r="I1590">
        <v>-0.043333333333333</v>
      </c>
    </row>
    <row r="1591" spans="1:9">
      <c r="A1591" s="1" t="s">
        <v>1603</v>
      </c>
      <c r="B1591">
        <f>HYPERLINK("https://www.suredividend.com/sure-analysis-research-database/","Kemper Corporation")</f>
        <v>0</v>
      </c>
      <c r="C1591">
        <v>-0.011031175059952</v>
      </c>
      <c r="D1591">
        <v>-0.176476461484698</v>
      </c>
      <c r="E1591">
        <v>-0.07945195694585101</v>
      </c>
      <c r="F1591">
        <v>-0.146408353772754</v>
      </c>
      <c r="G1591">
        <v>-0.08388942696439501</v>
      </c>
      <c r="H1591">
        <v>-0.323985404379341</v>
      </c>
      <c r="I1591">
        <v>-0.3964795616720611</v>
      </c>
    </row>
    <row r="1592" spans="1:9">
      <c r="A1592" s="1" t="s">
        <v>1604</v>
      </c>
      <c r="B1592">
        <f>HYPERLINK("https://www.suredividend.com/sure-analysis-research-database/","Kennametal Inc.")</f>
        <v>0</v>
      </c>
      <c r="C1592">
        <v>-0.05846774193548301</v>
      </c>
      <c r="D1592">
        <v>-0.182440144814884</v>
      </c>
      <c r="E1592">
        <v>-0.133243007479722</v>
      </c>
      <c r="F1592">
        <v>-0.008096650042904</v>
      </c>
      <c r="G1592">
        <v>0.048062767065244</v>
      </c>
      <c r="H1592">
        <v>-0.380115375527963</v>
      </c>
      <c r="I1592">
        <v>-0.311540468742168</v>
      </c>
    </row>
    <row r="1593" spans="1:9">
      <c r="A1593" s="1" t="s">
        <v>1605</v>
      </c>
      <c r="B1593">
        <f>HYPERLINK("https://www.suredividend.com/sure-analysis-research-database/","Carmax Inc")</f>
        <v>0</v>
      </c>
      <c r="C1593">
        <v>-0.08746773731000801</v>
      </c>
      <c r="D1593">
        <v>-0.235463719365689</v>
      </c>
      <c r="E1593">
        <v>-0.107808776111033</v>
      </c>
      <c r="F1593">
        <v>0.04516340942683501</v>
      </c>
      <c r="G1593">
        <v>0.020525978191148</v>
      </c>
      <c r="H1593">
        <v>-0.559249255488607</v>
      </c>
      <c r="I1593">
        <v>-0.08812150737928001</v>
      </c>
    </row>
    <row r="1594" spans="1:9">
      <c r="A1594" s="1" t="s">
        <v>1606</v>
      </c>
      <c r="B1594">
        <f>HYPERLINK("https://www.suredividend.com/sure-analysis-research-database/","Knowles Corp")</f>
        <v>0</v>
      </c>
      <c r="C1594">
        <v>-0.092069892473118</v>
      </c>
      <c r="D1594">
        <v>-0.249444444444444</v>
      </c>
      <c r="E1594">
        <v>-0.175716900549115</v>
      </c>
      <c r="F1594">
        <v>-0.177222898903775</v>
      </c>
      <c r="G1594">
        <v>-0.025252525252525</v>
      </c>
      <c r="H1594">
        <v>-0.355131264916467</v>
      </c>
      <c r="I1594">
        <v>-0.165018541409147</v>
      </c>
    </row>
    <row r="1595" spans="1:9">
      <c r="A1595" s="1" t="s">
        <v>1607</v>
      </c>
      <c r="B1595">
        <f>HYPERLINK("https://www.suredividend.com/sure-analysis-research-database/","Knoll Inc")</f>
        <v>0</v>
      </c>
      <c r="C1595">
        <v>-0.013126491646778</v>
      </c>
      <c r="D1595">
        <v>0.4431382585782671</v>
      </c>
      <c r="E1595">
        <v>0.5910271455780211</v>
      </c>
      <c r="F1595">
        <v>0.6994081867499581</v>
      </c>
      <c r="G1595">
        <v>1.010111321763648</v>
      </c>
      <c r="H1595">
        <v>0.11670237473669</v>
      </c>
      <c r="I1595">
        <v>0.127332706280074</v>
      </c>
    </row>
    <row r="1596" spans="1:9">
      <c r="A1596" s="1" t="s">
        <v>1608</v>
      </c>
      <c r="B1596">
        <f>HYPERLINK("https://www.suredividend.com/sure-analysis-research-database/","Kiniksa Pharmaceuticals Ltd")</f>
        <v>0</v>
      </c>
      <c r="C1596">
        <v>-0.056213017751479</v>
      </c>
      <c r="D1596">
        <v>-0.160526315789473</v>
      </c>
      <c r="E1596">
        <v>0.266878474980142</v>
      </c>
      <c r="F1596">
        <v>0.06475300400534001</v>
      </c>
      <c r="G1596">
        <v>0.286290322580645</v>
      </c>
      <c r="H1596">
        <v>0.052805280528052</v>
      </c>
      <c r="I1596">
        <v>-0.251173708920187</v>
      </c>
    </row>
    <row r="1597" spans="1:9">
      <c r="A1597" s="1" t="s">
        <v>1609</v>
      </c>
      <c r="B1597">
        <f>HYPERLINK("https://www.suredividend.com/sure-analysis-research-database/","Kinsale Capital Group Inc")</f>
        <v>0</v>
      </c>
      <c r="C1597">
        <v>-0.158849968244662</v>
      </c>
      <c r="D1597">
        <v>-0.08002389506688601</v>
      </c>
      <c r="E1597">
        <v>0.048951155460744</v>
      </c>
      <c r="F1597">
        <v>0.318390426575014</v>
      </c>
      <c r="G1597">
        <v>0.119035332074181</v>
      </c>
      <c r="H1597">
        <v>0.699350017741145</v>
      </c>
      <c r="I1597">
        <v>4.772967390739447</v>
      </c>
    </row>
    <row r="1598" spans="1:9">
      <c r="A1598" s="1" t="s">
        <v>1610</v>
      </c>
      <c r="B1598">
        <f>HYPERLINK("https://www.suredividend.com/sure-analysis-research-database/","Knight-Swift Transportation Holdings Inc")</f>
        <v>0</v>
      </c>
      <c r="C1598">
        <v>0</v>
      </c>
      <c r="D1598">
        <v>-0.171119562794279</v>
      </c>
      <c r="E1598">
        <v>-0.142981370147184</v>
      </c>
      <c r="F1598">
        <v>-0.056433287064984</v>
      </c>
      <c r="G1598">
        <v>0.047735137339119</v>
      </c>
      <c r="H1598">
        <v>-0.12907381578527</v>
      </c>
      <c r="I1598">
        <v>0.520502620915275</v>
      </c>
    </row>
    <row r="1599" spans="1:9">
      <c r="A1599" s="1" t="s">
        <v>1611</v>
      </c>
      <c r="B1599">
        <f>HYPERLINK("https://www.suredividend.com/sure-analysis-KO/","Coca-Cola Co")</f>
        <v>0</v>
      </c>
      <c r="C1599">
        <v>0.029019466474405</v>
      </c>
      <c r="D1599">
        <v>-0.071289019607205</v>
      </c>
      <c r="E1599">
        <v>-0.094186227314989</v>
      </c>
      <c r="F1599">
        <v>-0.081497212636049</v>
      </c>
      <c r="G1599">
        <v>0.000515241690413</v>
      </c>
      <c r="H1599">
        <v>0.080586912576373</v>
      </c>
      <c r="I1599">
        <v>0.390234993303299</v>
      </c>
    </row>
    <row r="1600" spans="1:9">
      <c r="A1600" s="1" t="s">
        <v>1612</v>
      </c>
      <c r="B1600">
        <f>HYPERLINK("https://www.suredividend.com/sure-analysis-research-database/","Kodiak Sciences Inc")</f>
        <v>0</v>
      </c>
      <c r="C1600">
        <v>0.25595238095238</v>
      </c>
      <c r="D1600">
        <v>-0.332278481012658</v>
      </c>
      <c r="E1600">
        <v>-0.509302325581395</v>
      </c>
      <c r="F1600">
        <v>-0.705307262569832</v>
      </c>
      <c r="G1600">
        <v>-0.6955266955266951</v>
      </c>
      <c r="H1600">
        <v>-0.983299034351749</v>
      </c>
      <c r="I1600">
        <v>-0.784473953013278</v>
      </c>
    </row>
    <row r="1601" spans="1:9">
      <c r="A1601" s="1" t="s">
        <v>1613</v>
      </c>
      <c r="B1601">
        <f>HYPERLINK("https://www.suredividend.com/sure-analysis-research-database/","Eastman Kodak Co.")</f>
        <v>0</v>
      </c>
      <c r="C1601">
        <v>-0.05940594059405901</v>
      </c>
      <c r="D1601">
        <v>-0.277566539923954</v>
      </c>
      <c r="E1601">
        <v>0.155015197568388</v>
      </c>
      <c r="F1601">
        <v>0.245901639344262</v>
      </c>
      <c r="G1601">
        <v>-0.301470588235294</v>
      </c>
      <c r="H1601">
        <v>-0.470013947001394</v>
      </c>
      <c r="I1601">
        <v>0.4503816793893121</v>
      </c>
    </row>
    <row r="1602" spans="1:9">
      <c r="A1602" s="1" t="s">
        <v>1614</v>
      </c>
      <c r="B1602">
        <f>HYPERLINK("https://www.suredividend.com/sure-analysis-research-database/","Koppers Holdings Inc")</f>
        <v>0</v>
      </c>
      <c r="C1602">
        <v>-0.059149257488044</v>
      </c>
      <c r="D1602">
        <v>-0.012138173803426</v>
      </c>
      <c r="E1602">
        <v>0.169352820461484</v>
      </c>
      <c r="F1602">
        <v>0.332458810696742</v>
      </c>
      <c r="G1602">
        <v>0.558487041793135</v>
      </c>
      <c r="H1602">
        <v>0.06182020639875901</v>
      </c>
      <c r="I1602">
        <v>0.337120290746755</v>
      </c>
    </row>
    <row r="1603" spans="1:9">
      <c r="A1603" s="1" t="s">
        <v>1615</v>
      </c>
      <c r="B1603">
        <f>HYPERLINK("https://www.suredividend.com/sure-analysis-research-database/","Kopin Corp.")</f>
        <v>0</v>
      </c>
      <c r="C1603">
        <v>0.079831932773109</v>
      </c>
      <c r="D1603">
        <v>-0.305405405405405</v>
      </c>
      <c r="E1603">
        <v>0.297848702151297</v>
      </c>
      <c r="F1603">
        <v>0.036290322580645</v>
      </c>
      <c r="G1603">
        <v>0.259803921568627</v>
      </c>
      <c r="H1603">
        <v>-0.7833052276559861</v>
      </c>
      <c r="I1603">
        <v>-0.4388646288209601</v>
      </c>
    </row>
    <row r="1604" spans="1:9">
      <c r="A1604" s="1" t="s">
        <v>1616</v>
      </c>
      <c r="B1604">
        <f>HYPERLINK("https://www.suredividend.com/sure-analysis-research-database/","Kosmos Energy Ltd")</f>
        <v>0</v>
      </c>
      <c r="C1604">
        <v>-0.00261780104712</v>
      </c>
      <c r="D1604">
        <v>0.076271186440677</v>
      </c>
      <c r="E1604">
        <v>0.263681592039801</v>
      </c>
      <c r="F1604">
        <v>0.198113207547169</v>
      </c>
      <c r="G1604">
        <v>0.170506912442396</v>
      </c>
      <c r="H1604">
        <v>1.005263157894737</v>
      </c>
      <c r="I1604">
        <v>0.219278033794162</v>
      </c>
    </row>
    <row r="1605" spans="1:9">
      <c r="A1605" s="1" t="s">
        <v>1617</v>
      </c>
      <c r="B1605">
        <f>HYPERLINK("https://www.suredividend.com/sure-analysis-research-database/","Karyopharm Therapeutics Inc")</f>
        <v>0</v>
      </c>
      <c r="C1605">
        <v>-0.375983606557377</v>
      </c>
      <c r="D1605">
        <v>-0.574692737430167</v>
      </c>
      <c r="E1605">
        <v>-0.787346368715083</v>
      </c>
      <c r="F1605">
        <v>-0.7760882352941171</v>
      </c>
      <c r="G1605">
        <v>-0.840063025210084</v>
      </c>
      <c r="H1605">
        <v>-0.8682871972318331</v>
      </c>
      <c r="I1605">
        <v>-0.9322686832740211</v>
      </c>
    </row>
    <row r="1606" spans="1:9">
      <c r="A1606" s="1" t="s">
        <v>1618</v>
      </c>
      <c r="B1606">
        <f>HYPERLINK("https://www.suredividend.com/sure-analysis-KR/","Kroger Co.")</f>
        <v>0</v>
      </c>
      <c r="C1606">
        <v>0.031115148762207</v>
      </c>
      <c r="D1606">
        <v>-0.06833190368111501</v>
      </c>
      <c r="E1606">
        <v>-0.07133345470091401</v>
      </c>
      <c r="F1606">
        <v>0.035905299089133</v>
      </c>
      <c r="G1606">
        <v>-0.002640585937671</v>
      </c>
      <c r="H1606">
        <v>0.162760916890766</v>
      </c>
      <c r="I1606">
        <v>0.6723763215088221</v>
      </c>
    </row>
    <row r="1607" spans="1:9">
      <c r="A1607" s="1" t="s">
        <v>1619</v>
      </c>
      <c r="B1607">
        <f>HYPERLINK("https://www.suredividend.com/sure-analysis-research-database/","Kraton Corp")</f>
        <v>0</v>
      </c>
      <c r="C1607">
        <v>0.008242950108459001</v>
      </c>
      <c r="D1607">
        <v>0.008899500759713</v>
      </c>
      <c r="E1607">
        <v>0.13643031784841</v>
      </c>
      <c r="F1607">
        <v>0.003454231433505</v>
      </c>
      <c r="G1607">
        <v>0.136708241623868</v>
      </c>
      <c r="H1607">
        <v>5.7953216374269</v>
      </c>
      <c r="I1607">
        <v>0.6558603491271811</v>
      </c>
    </row>
    <row r="1608" spans="1:9">
      <c r="A1608" s="1" t="s">
        <v>1620</v>
      </c>
      <c r="B1608">
        <f>HYPERLINK("https://www.suredividend.com/sure-analysis-KRC/","Kilroy Realty Corp.")</f>
        <v>0</v>
      </c>
      <c r="C1608">
        <v>-0.021907216494845</v>
      </c>
      <c r="D1608">
        <v>-0.123032528098488</v>
      </c>
      <c r="E1608">
        <v>0.141516457238252</v>
      </c>
      <c r="F1608">
        <v>-0.172212967027573</v>
      </c>
      <c r="G1608">
        <v>-0.240276363235982</v>
      </c>
      <c r="H1608">
        <v>-0.505834441516417</v>
      </c>
      <c r="I1608">
        <v>-0.460319435432979</v>
      </c>
    </row>
    <row r="1609" spans="1:9">
      <c r="A1609" s="1" t="s">
        <v>1621</v>
      </c>
      <c r="B1609">
        <f>HYPERLINK("https://www.suredividend.com/sure-analysis-KREF/","KKR Real Estate Finance Trust Inc")</f>
        <v>0</v>
      </c>
      <c r="C1609">
        <v>0.013357079252003</v>
      </c>
      <c r="D1609">
        <v>-0.015877408419523</v>
      </c>
      <c r="E1609">
        <v>0.174079461863051</v>
      </c>
      <c r="F1609">
        <v>-0.090044058499452</v>
      </c>
      <c r="G1609">
        <v>-0.229696616892523</v>
      </c>
      <c r="H1609">
        <v>-0.3378138547030921</v>
      </c>
      <c r="I1609">
        <v>-0.05661159422692701</v>
      </c>
    </row>
    <row r="1610" spans="1:9">
      <c r="A1610" s="1" t="s">
        <v>1622</v>
      </c>
      <c r="B1610">
        <f>HYPERLINK("https://www.suredividend.com/sure-analysis-KRG/","Kite Realty Group Trust")</f>
        <v>0</v>
      </c>
      <c r="C1610">
        <v>0.052326564122377</v>
      </c>
      <c r="D1610">
        <v>-0.076017589164938</v>
      </c>
      <c r="E1610">
        <v>0.09490884971760401</v>
      </c>
      <c r="F1610">
        <v>0.08280286428440001</v>
      </c>
      <c r="G1610">
        <v>0.159357059627877</v>
      </c>
      <c r="H1610">
        <v>0.132012738390245</v>
      </c>
      <c r="I1610">
        <v>0.7876774140618591</v>
      </c>
    </row>
    <row r="1611" spans="1:9">
      <c r="A1611" s="1" t="s">
        <v>1623</v>
      </c>
      <c r="B1611">
        <f>HYPERLINK("https://www.suredividend.com/sure-analysis-research-database/","Kearny Financial Corp.")</f>
        <v>0</v>
      </c>
      <c r="C1611">
        <v>0.08957415565345</v>
      </c>
      <c r="D1611">
        <v>-0.09114293063534201</v>
      </c>
      <c r="E1611">
        <v>0.046219790756041</v>
      </c>
      <c r="F1611">
        <v>-0.227895651450036</v>
      </c>
      <c r="G1611">
        <v>-0.179784223558542</v>
      </c>
      <c r="H1611">
        <v>-0.394310436308722</v>
      </c>
      <c r="I1611">
        <v>-0.320985394780189</v>
      </c>
    </row>
    <row r="1612" spans="1:9">
      <c r="A1612" s="1" t="s">
        <v>1624</v>
      </c>
      <c r="B1612">
        <f>HYPERLINK("https://www.suredividend.com/sure-analysis-KRO/","Kronos Worldwide, Inc.")</f>
        <v>0</v>
      </c>
      <c r="C1612">
        <v>-0.018817204301075</v>
      </c>
      <c r="D1612">
        <v>-0.192084642967816</v>
      </c>
      <c r="E1612">
        <v>-0.16441554873861</v>
      </c>
      <c r="F1612">
        <v>-0.174198803153881</v>
      </c>
      <c r="G1612">
        <v>-0.155757043067955</v>
      </c>
      <c r="H1612">
        <v>-0.377090586388149</v>
      </c>
      <c r="I1612">
        <v>-0.34403838723301</v>
      </c>
    </row>
    <row r="1613" spans="1:9">
      <c r="A1613" s="1" t="s">
        <v>1625</v>
      </c>
      <c r="B1613">
        <f>HYPERLINK("https://www.suredividend.com/sure-analysis-research-database/","Krystal Biotech Inc")</f>
        <v>0</v>
      </c>
      <c r="C1613">
        <v>0.06704311194765601</v>
      </c>
      <c r="D1613">
        <v>-0.057253721887868</v>
      </c>
      <c r="E1613">
        <v>0.437454721081864</v>
      </c>
      <c r="F1613">
        <v>0.502777076495834</v>
      </c>
      <c r="G1613">
        <v>0.609218707758853</v>
      </c>
      <c r="H1613">
        <v>1.271079740557039</v>
      </c>
      <c r="I1613">
        <v>4.251433612704013</v>
      </c>
    </row>
    <row r="1614" spans="1:9">
      <c r="A1614" s="1" t="s">
        <v>1626</v>
      </c>
      <c r="B1614">
        <f>HYPERLINK("https://www.suredividend.com/sure-analysis-KSS/","Kohl`s Corp.")</f>
        <v>0</v>
      </c>
      <c r="C1614">
        <v>0.145560407569141</v>
      </c>
      <c r="D1614">
        <v>-0.152332432170438</v>
      </c>
      <c r="E1614">
        <v>0.18555639803763</v>
      </c>
      <c r="F1614">
        <v>-0.001023939883727</v>
      </c>
      <c r="G1614">
        <v>-0.051769147355315</v>
      </c>
      <c r="H1614">
        <v>-0.488325321936778</v>
      </c>
      <c r="I1614">
        <v>-0.611363782264954</v>
      </c>
    </row>
    <row r="1615" spans="1:9">
      <c r="A1615" s="1" t="s">
        <v>1627</v>
      </c>
      <c r="B1615">
        <f>HYPERLINK("https://www.suredividend.com/sure-analysis-research-database/","Kansas City Southern")</f>
        <v>0</v>
      </c>
      <c r="C1615">
        <v>-0.055828911400546</v>
      </c>
      <c r="D1615">
        <v>0.043096710012079</v>
      </c>
      <c r="E1615">
        <v>-0.0005126972573760001</v>
      </c>
      <c r="F1615">
        <v>0.447523275300595</v>
      </c>
      <c r="G1615">
        <v>0.5065121925938241</v>
      </c>
      <c r="H1615">
        <v>0.97498225751659</v>
      </c>
      <c r="I1615">
        <v>2.622229103924256</v>
      </c>
    </row>
    <row r="1616" spans="1:9">
      <c r="A1616" s="1" t="s">
        <v>1628</v>
      </c>
      <c r="B1616">
        <f>HYPERLINK("https://www.suredividend.com/sure-analysis-KTB/","Kontoor Brands Inc")</f>
        <v>0</v>
      </c>
      <c r="C1616">
        <v>0.090160183066361</v>
      </c>
      <c r="D1616">
        <v>0.185564188197116</v>
      </c>
      <c r="E1616">
        <v>0.06793396025510201</v>
      </c>
      <c r="F1616">
        <v>0.229511369883165</v>
      </c>
      <c r="G1616">
        <v>0.45127977042728</v>
      </c>
      <c r="H1616">
        <v>-0.054041174227983</v>
      </c>
      <c r="I1616">
        <v>0.176296296296296</v>
      </c>
    </row>
    <row r="1617" spans="1:9">
      <c r="A1617" s="1" t="s">
        <v>1629</v>
      </c>
      <c r="B1617">
        <f>HYPERLINK("https://www.suredividend.com/sure-analysis-research-database/","Key Tronic Corp.")</f>
        <v>0</v>
      </c>
      <c r="C1617">
        <v>-0.117472035794183</v>
      </c>
      <c r="D1617">
        <v>-0.332504230118443</v>
      </c>
      <c r="E1617">
        <v>-0.42071953010279</v>
      </c>
      <c r="F1617">
        <v>-0.088937644341801</v>
      </c>
      <c r="G1617">
        <v>-0.188292181069958</v>
      </c>
      <c r="H1617">
        <v>-0.391219135802469</v>
      </c>
      <c r="I1617">
        <v>-0.456625344352617</v>
      </c>
    </row>
    <row r="1618" spans="1:9">
      <c r="A1618" s="1" t="s">
        <v>1630</v>
      </c>
      <c r="B1618">
        <f>HYPERLINK("https://www.suredividend.com/sure-analysis-research-database/","Kratos Defense &amp; Security Solutions Inc")</f>
        <v>0</v>
      </c>
      <c r="C1618">
        <v>0.191108161911081</v>
      </c>
      <c r="D1618">
        <v>0.221919673247106</v>
      </c>
      <c r="E1618">
        <v>0.370229007633587</v>
      </c>
      <c r="F1618">
        <v>0.739341085271317</v>
      </c>
      <c r="G1618">
        <v>0.665120593692022</v>
      </c>
      <c r="H1618">
        <v>-0.208902600264433</v>
      </c>
      <c r="I1618">
        <v>0.382896764252696</v>
      </c>
    </row>
    <row r="1619" spans="1:9">
      <c r="A1619" s="1" t="s">
        <v>1631</v>
      </c>
      <c r="B1619">
        <f>HYPERLINK("https://www.suredividend.com/sure-analysis-research-database/","Kura Oncology Inc")</f>
        <v>0</v>
      </c>
      <c r="C1619">
        <v>-0.020930232558139</v>
      </c>
      <c r="D1619">
        <v>-0.180136319376825</v>
      </c>
      <c r="E1619">
        <v>-0.175318315377081</v>
      </c>
      <c r="F1619">
        <v>-0.321514907332796</v>
      </c>
      <c r="G1619">
        <v>-0.459910198845413</v>
      </c>
      <c r="H1619">
        <v>-0.511317469529889</v>
      </c>
      <c r="I1619">
        <v>-0.231751824817518</v>
      </c>
    </row>
    <row r="1620" spans="1:9">
      <c r="A1620" s="1" t="s">
        <v>1632</v>
      </c>
      <c r="B1620">
        <f>HYPERLINK("https://www.suredividend.com/sure-analysis-research-database/","KVH Industries, Inc.")</f>
        <v>0</v>
      </c>
      <c r="C1620">
        <v>-0.084778420038535</v>
      </c>
      <c r="D1620">
        <v>-0.4411764705882351</v>
      </c>
      <c r="E1620">
        <v>-0.540174249757986</v>
      </c>
      <c r="F1620">
        <v>-0.5352250489236791</v>
      </c>
      <c r="G1620">
        <v>-0.566605839416058</v>
      </c>
      <c r="H1620">
        <v>-0.542389210019267</v>
      </c>
      <c r="I1620">
        <v>-0.593669803250641</v>
      </c>
    </row>
    <row r="1621" spans="1:9">
      <c r="A1621" s="1" t="s">
        <v>1633</v>
      </c>
      <c r="B1621">
        <f>HYPERLINK("https://www.suredividend.com/sure-analysis-research-database/","Kennedy-Wilson Holdings Inc")</f>
        <v>0</v>
      </c>
      <c r="C1621">
        <v>-0.142262317834837</v>
      </c>
      <c r="D1621">
        <v>-0.232588894890755</v>
      </c>
      <c r="E1621">
        <v>-0.215282936213168</v>
      </c>
      <c r="F1621">
        <v>-0.177261532317113</v>
      </c>
      <c r="G1621">
        <v>-0.200346775184871</v>
      </c>
      <c r="H1621">
        <v>-0.386353819649586</v>
      </c>
      <c r="I1621">
        <v>-0.178573802086794</v>
      </c>
    </row>
    <row r="1622" spans="1:9">
      <c r="A1622" s="1" t="s">
        <v>1634</v>
      </c>
      <c r="B1622">
        <f>HYPERLINK("https://www.suredividend.com/sure-analysis-KWR/","Quaker Houghton")</f>
        <v>0</v>
      </c>
      <c r="C1622">
        <v>-0.07667881931513501</v>
      </c>
      <c r="D1622">
        <v>-0.232853990492128</v>
      </c>
      <c r="E1622">
        <v>-0.203140846943047</v>
      </c>
      <c r="F1622">
        <v>-0.122373898731726</v>
      </c>
      <c r="G1622">
        <v>-0.05236617710377101</v>
      </c>
      <c r="H1622">
        <v>-0.42241073430376</v>
      </c>
      <c r="I1622">
        <v>-0.256494904550021</v>
      </c>
    </row>
    <row r="1623" spans="1:9">
      <c r="A1623" s="1" t="s">
        <v>1635</v>
      </c>
      <c r="B1623">
        <f>HYPERLINK("https://www.suredividend.com/sure-analysis-research-database/","Kezar Life Sciences Inc")</f>
        <v>0</v>
      </c>
      <c r="C1623">
        <v>-0.308869565217391</v>
      </c>
      <c r="D1623">
        <v>-0.6370776255707761</v>
      </c>
      <c r="E1623">
        <v>-0.68208</v>
      </c>
      <c r="F1623">
        <v>-0.887102272727272</v>
      </c>
      <c r="G1623">
        <v>-0.892010869565217</v>
      </c>
      <c r="H1623">
        <v>-0.8993924050632911</v>
      </c>
      <c r="I1623">
        <v>-0.9681570512820511</v>
      </c>
    </row>
    <row r="1624" spans="1:9">
      <c r="A1624" s="1" t="s">
        <v>1636</v>
      </c>
      <c r="B1624">
        <f>HYPERLINK("https://www.suredividend.com/sure-analysis-research-database/","Loews Corp.")</f>
        <v>0</v>
      </c>
      <c r="C1624">
        <v>0.045585874799358</v>
      </c>
      <c r="D1624">
        <v>0.037135633267311</v>
      </c>
      <c r="E1624">
        <v>0.105968562920001</v>
      </c>
      <c r="F1624">
        <v>0.120189025449305</v>
      </c>
      <c r="G1624">
        <v>0.178394532423035</v>
      </c>
      <c r="H1624">
        <v>0.144545924158458</v>
      </c>
      <c r="I1624">
        <v>0.442015013426191</v>
      </c>
    </row>
    <row r="1625" spans="1:9">
      <c r="A1625" s="1" t="s">
        <v>1637</v>
      </c>
      <c r="B1625">
        <f>HYPERLINK("https://www.suredividend.com/sure-analysis-LAD/","Lithia Motors, Inc.")</f>
        <v>0</v>
      </c>
      <c r="C1625">
        <v>-0.118256111919107</v>
      </c>
      <c r="D1625">
        <v>-0.160335852468671</v>
      </c>
      <c r="E1625">
        <v>0.142830213660732</v>
      </c>
      <c r="F1625">
        <v>0.250601652210642</v>
      </c>
      <c r="G1625">
        <v>0.270190456236967</v>
      </c>
      <c r="H1625">
        <v>-0.208480262208981</v>
      </c>
      <c r="I1625">
        <v>1.964540311717402</v>
      </c>
    </row>
    <row r="1626" spans="1:9">
      <c r="A1626" s="1" t="s">
        <v>1638</v>
      </c>
      <c r="B1626">
        <f>HYPERLINK("https://www.suredividend.com/sure-analysis-LADR/","Ladder Capital Corp")</f>
        <v>0</v>
      </c>
      <c r="C1626">
        <v>0.05846774193548301</v>
      </c>
      <c r="D1626">
        <v>-0.003615452500925</v>
      </c>
      <c r="E1626">
        <v>0.20339701786758</v>
      </c>
      <c r="F1626">
        <v>0.120274840760933</v>
      </c>
      <c r="G1626">
        <v>0.07786275214289301</v>
      </c>
      <c r="H1626">
        <v>0.036259202968635</v>
      </c>
      <c r="I1626">
        <v>-0.08319362950544801</v>
      </c>
    </row>
    <row r="1627" spans="1:9">
      <c r="A1627" s="1" t="s">
        <v>1639</v>
      </c>
      <c r="B1627">
        <f>HYPERLINK("https://www.suredividend.com/sure-analysis-research-database/","Lakeland Industries, Inc.")</f>
        <v>0</v>
      </c>
      <c r="C1627">
        <v>-0.041032428855062</v>
      </c>
      <c r="D1627">
        <v>-0.045969897683728</v>
      </c>
      <c r="E1627">
        <v>0.225898696266465</v>
      </c>
      <c r="F1627">
        <v>0.09903445765038701</v>
      </c>
      <c r="G1627">
        <v>0.175010947306962</v>
      </c>
      <c r="H1627">
        <v>-0.302285268540721</v>
      </c>
      <c r="I1627">
        <v>0.101515819561218</v>
      </c>
    </row>
    <row r="1628" spans="1:9">
      <c r="A1628" s="1" t="s">
        <v>1640</v>
      </c>
      <c r="B1628">
        <f>HYPERLINK("https://www.suredividend.com/sure-analysis-LAMR/","Lamar Advertising Co")</f>
        <v>0</v>
      </c>
      <c r="C1628">
        <v>0.141141512937972</v>
      </c>
      <c r="D1628">
        <v>-0.016138656453381</v>
      </c>
      <c r="E1628">
        <v>-0.059434129775027</v>
      </c>
      <c r="F1628">
        <v>0.031339656167896</v>
      </c>
      <c r="G1628">
        <v>0.09034599587379101</v>
      </c>
      <c r="H1628">
        <v>-0.125585701993307</v>
      </c>
      <c r="I1628">
        <v>0.556704791887637</v>
      </c>
    </row>
    <row r="1629" spans="1:9">
      <c r="A1629" s="1" t="s">
        <v>1641</v>
      </c>
      <c r="B1629">
        <f>HYPERLINK("https://www.suredividend.com/sure-analysis-LANC/","Lancaster Colony Corp.")</f>
        <v>0</v>
      </c>
      <c r="C1629">
        <v>0.029630540357779</v>
      </c>
      <c r="D1629">
        <v>-0.130453291911019</v>
      </c>
      <c r="E1629">
        <v>-0.185055507115498</v>
      </c>
      <c r="F1629">
        <v>-0.131028042231964</v>
      </c>
      <c r="G1629">
        <v>-0.024232520339412</v>
      </c>
      <c r="H1629">
        <v>0.039537040140318</v>
      </c>
      <c r="I1629">
        <v>0.106451625689179</v>
      </c>
    </row>
    <row r="1630" spans="1:9">
      <c r="A1630" s="1" t="s">
        <v>1642</v>
      </c>
      <c r="B1630">
        <f>HYPERLINK("https://www.suredividend.com/sure-analysis-LAND/","Gladstone Land Corp")</f>
        <v>0</v>
      </c>
      <c r="C1630">
        <v>0.034074672747478</v>
      </c>
      <c r="D1630">
        <v>-0.120902041617589</v>
      </c>
      <c r="E1630">
        <v>-0.036262878971296</v>
      </c>
      <c r="F1630">
        <v>-0.187084110983157</v>
      </c>
      <c r="G1630">
        <v>-0.241935313224076</v>
      </c>
      <c r="H1630">
        <v>-0.335044059711465</v>
      </c>
      <c r="I1630">
        <v>0.388135461872287</v>
      </c>
    </row>
    <row r="1631" spans="1:9">
      <c r="A1631" s="1" t="s">
        <v>1643</v>
      </c>
      <c r="B1631">
        <f>HYPERLINK("https://www.suredividend.com/sure-analysis-LARK/","Landmark Bancorp Inc")</f>
        <v>0</v>
      </c>
      <c r="C1631">
        <v>-0.05634647418101001</v>
      </c>
      <c r="D1631">
        <v>-0.1688982346325</v>
      </c>
      <c r="E1631">
        <v>-0.138401638513171</v>
      </c>
      <c r="F1631">
        <v>-0.210348288294985</v>
      </c>
      <c r="G1631">
        <v>-0.270930212605316</v>
      </c>
      <c r="H1631">
        <v>-0.292694803167957</v>
      </c>
      <c r="I1631">
        <v>-0.043154652989297</v>
      </c>
    </row>
    <row r="1632" spans="1:9">
      <c r="A1632" s="1" t="s">
        <v>1644</v>
      </c>
      <c r="B1632">
        <f>HYPERLINK("https://www.suredividend.com/sure-analysis-research-database/","nLIGHT Inc")</f>
        <v>0</v>
      </c>
      <c r="C1632">
        <v>-0.159068865179437</v>
      </c>
      <c r="D1632">
        <v>-0.357777777777777</v>
      </c>
      <c r="E1632">
        <v>-0.04515418502202601</v>
      </c>
      <c r="F1632">
        <v>-0.144970414201183</v>
      </c>
      <c r="G1632">
        <v>-0.185150375939849</v>
      </c>
      <c r="H1632">
        <v>-0.728808257741632</v>
      </c>
      <c r="I1632">
        <v>-0.5770731707317071</v>
      </c>
    </row>
    <row r="1633" spans="1:9">
      <c r="A1633" s="1" t="s">
        <v>1645</v>
      </c>
      <c r="B1633">
        <f>HYPERLINK("https://www.suredividend.com/sure-analysis-research-database/","Laureate Education Inc")</f>
        <v>0</v>
      </c>
      <c r="C1633">
        <v>-0.074257425742574</v>
      </c>
      <c r="D1633">
        <v>0.024256651017214</v>
      </c>
      <c r="E1633">
        <v>0.09356725146198801</v>
      </c>
      <c r="F1633">
        <v>0.36070686070686</v>
      </c>
      <c r="G1633">
        <v>0.160460992907801</v>
      </c>
      <c r="H1633">
        <v>0.303655014440792</v>
      </c>
      <c r="I1633">
        <v>0.303655014440792</v>
      </c>
    </row>
    <row r="1634" spans="1:9">
      <c r="A1634" s="1" t="s">
        <v>1646</v>
      </c>
      <c r="B1634">
        <f>HYPERLINK("https://www.suredividend.com/sure-analysis-LAZ/","Lazard Ltd.")</f>
        <v>0</v>
      </c>
      <c r="C1634">
        <v>-0.068121693121693</v>
      </c>
      <c r="D1634">
        <v>-0.168599127884677</v>
      </c>
      <c r="E1634">
        <v>-0.037203311364622</v>
      </c>
      <c r="F1634">
        <v>-0.14952179463577</v>
      </c>
      <c r="G1634">
        <v>-0.188758927826029</v>
      </c>
      <c r="H1634">
        <v>-0.344550558922997</v>
      </c>
      <c r="I1634">
        <v>-0.125024063390733</v>
      </c>
    </row>
    <row r="1635" spans="1:9">
      <c r="A1635" s="1" t="s">
        <v>1647</v>
      </c>
      <c r="B1635">
        <f>HYPERLINK("https://www.suredividend.com/sure-analysis-research-database/","L Brands Inc")</f>
        <v>0</v>
      </c>
      <c r="C1635">
        <v>0.079270762997974</v>
      </c>
      <c r="D1635">
        <v>0.215420880541403</v>
      </c>
      <c r="E1635">
        <v>0.8158312676510751</v>
      </c>
      <c r="F1635">
        <v>1.153701877213123</v>
      </c>
      <c r="G1635">
        <v>2.281286566514618</v>
      </c>
      <c r="H1635">
        <v>2.471989921150379</v>
      </c>
      <c r="I1635">
        <v>0.3623996781518271</v>
      </c>
    </row>
    <row r="1636" spans="1:9">
      <c r="A1636" s="1" t="s">
        <v>1648</v>
      </c>
      <c r="B1636">
        <f>HYPERLINK("https://www.suredividend.com/sure-analysis-research-database/","Lakeland Bancorp, Inc.")</f>
        <v>0</v>
      </c>
      <c r="C1636">
        <v>-0.028685258964143</v>
      </c>
      <c r="D1636">
        <v>-0.164141033201223</v>
      </c>
      <c r="E1636">
        <v>-0.006584737751409</v>
      </c>
      <c r="F1636">
        <v>-0.272025846366997</v>
      </c>
      <c r="G1636">
        <v>-0.289929109411497</v>
      </c>
      <c r="H1636">
        <v>-0.272707746646938</v>
      </c>
      <c r="I1636">
        <v>-0.105301401131768</v>
      </c>
    </row>
    <row r="1637" spans="1:9">
      <c r="A1637" s="1" t="s">
        <v>1649</v>
      </c>
      <c r="B1637">
        <f>HYPERLINK("https://www.suredividend.com/sure-analysis-research-database/","Luther Burbank Corp")</f>
        <v>0</v>
      </c>
      <c r="C1637">
        <v>0.037081339712918</v>
      </c>
      <c r="D1637">
        <v>-0.144126357354392</v>
      </c>
      <c r="E1637">
        <v>0.034606205250596</v>
      </c>
      <c r="F1637">
        <v>-0.219621962196219</v>
      </c>
      <c r="G1637">
        <v>-0.29740680713128</v>
      </c>
      <c r="H1637">
        <v>-0.365114235500878</v>
      </c>
      <c r="I1637">
        <v>0.012093761673515</v>
      </c>
    </row>
    <row r="1638" spans="1:9">
      <c r="A1638" s="1" t="s">
        <v>1650</v>
      </c>
      <c r="B1638">
        <f>HYPERLINK("https://www.suredividend.com/sure-analysis-research-database/","Liberty Broadband Corp")</f>
        <v>0</v>
      </c>
      <c r="C1638">
        <v>-0.047163515016685</v>
      </c>
      <c r="D1638">
        <v>-0.064336428181321</v>
      </c>
      <c r="E1638">
        <v>0.053758149833927</v>
      </c>
      <c r="F1638">
        <v>0.129334212261041</v>
      </c>
      <c r="G1638">
        <v>0.044252102889186</v>
      </c>
      <c r="H1638">
        <v>-0.472991263688938</v>
      </c>
      <c r="I1638">
        <v>0.04680435048270801</v>
      </c>
    </row>
    <row r="1639" spans="1:9">
      <c r="A1639" s="1" t="s">
        <v>1651</v>
      </c>
      <c r="B1639">
        <f>HYPERLINK("https://www.suredividend.com/sure-analysis-research-database/","Liberty Broadband Corp")</f>
        <v>0</v>
      </c>
      <c r="C1639">
        <v>-0.051378584874321</v>
      </c>
      <c r="D1639">
        <v>-0.06104778605874601</v>
      </c>
      <c r="E1639">
        <v>0.050006128201985</v>
      </c>
      <c r="F1639">
        <v>0.123246361610069</v>
      </c>
      <c r="G1639">
        <v>0.05830759728227301</v>
      </c>
      <c r="H1639">
        <v>-0.479083059710568</v>
      </c>
      <c r="I1639">
        <v>0.04437400950871601</v>
      </c>
    </row>
    <row r="1640" spans="1:9">
      <c r="A1640" s="1" t="s">
        <v>1652</v>
      </c>
      <c r="B1640">
        <f>HYPERLINK("https://www.suredividend.com/sure-analysis-research-database/","Liberty Energy Inc")</f>
        <v>0</v>
      </c>
      <c r="C1640">
        <v>0.133893557422968</v>
      </c>
      <c r="D1640">
        <v>0.247788319862891</v>
      </c>
      <c r="E1640">
        <v>0.683370066952218</v>
      </c>
      <c r="F1640">
        <v>0.271924036473552</v>
      </c>
      <c r="G1640">
        <v>0.213720316622691</v>
      </c>
      <c r="H1640">
        <v>0.60968355084739</v>
      </c>
      <c r="I1640">
        <v>0.05968031580986401</v>
      </c>
    </row>
    <row r="1641" spans="1:9">
      <c r="A1641" s="1" t="s">
        <v>1653</v>
      </c>
      <c r="B1641">
        <f>HYPERLINK("https://www.suredividend.com/sure-analysis-research-database/","Liberty Global plc")</f>
        <v>0</v>
      </c>
      <c r="C1641">
        <v>-0.05384150030248001</v>
      </c>
      <c r="D1641">
        <v>-0.146288209606986</v>
      </c>
      <c r="E1641">
        <v>-0.163188871054039</v>
      </c>
      <c r="F1641">
        <v>-0.173798203909138</v>
      </c>
      <c r="G1641">
        <v>-0.120854412591343</v>
      </c>
      <c r="H1641">
        <v>-0.462358198693709</v>
      </c>
      <c r="I1641">
        <v>-0.388823759280969</v>
      </c>
    </row>
    <row r="1642" spans="1:9">
      <c r="A1642" s="1" t="s">
        <v>1654</v>
      </c>
      <c r="B1642">
        <f>HYPERLINK("https://www.suredividend.com/sure-analysis-research-database/","Liberty Global plc")</f>
        <v>0</v>
      </c>
      <c r="C1642">
        <v>-0.05298382598996</v>
      </c>
      <c r="D1642">
        <v>-0.127889060092449</v>
      </c>
      <c r="E1642">
        <v>-0.129677088672475</v>
      </c>
      <c r="F1642">
        <v>-0.126093669583118</v>
      </c>
      <c r="G1642">
        <v>-0.08905579399141601</v>
      </c>
      <c r="H1642">
        <v>-0.416895604395604</v>
      </c>
      <c r="I1642">
        <v>-0.3226964499401671</v>
      </c>
    </row>
    <row r="1643" spans="1:9">
      <c r="A1643" s="1" t="s">
        <v>1655</v>
      </c>
      <c r="B1643">
        <f>HYPERLINK("https://www.suredividend.com/sure-analysis-research-database/","LendingClub Corp")</f>
        <v>0</v>
      </c>
      <c r="C1643">
        <v>-0.077943615257048</v>
      </c>
      <c r="D1643">
        <v>-0.280724450194049</v>
      </c>
      <c r="E1643">
        <v>-0.16390977443609</v>
      </c>
      <c r="F1643">
        <v>-0.3681818181818181</v>
      </c>
      <c r="G1643">
        <v>-0.433808553971486</v>
      </c>
      <c r="H1643">
        <v>-0.8797837837837831</v>
      </c>
      <c r="I1643">
        <v>-0.684985835694051</v>
      </c>
    </row>
    <row r="1644" spans="1:9">
      <c r="A1644" s="1" t="s">
        <v>1656</v>
      </c>
      <c r="B1644">
        <f>HYPERLINK("https://www.suredividend.com/sure-analysis-research-database/","Lannett Co., Inc.")</f>
        <v>0</v>
      </c>
      <c r="C1644">
        <v>-0.584545454545454</v>
      </c>
      <c r="D1644">
        <v>-0.7277601270849881</v>
      </c>
      <c r="E1644">
        <v>-0.5761192184021761</v>
      </c>
      <c r="F1644">
        <v>-0.670938940092165</v>
      </c>
      <c r="G1644">
        <v>-0.7599117399831881</v>
      </c>
      <c r="H1644">
        <v>-0.9652383367139961</v>
      </c>
      <c r="I1644">
        <v>-0.9897072072072071</v>
      </c>
    </row>
    <row r="1645" spans="1:9">
      <c r="A1645" s="1" t="s">
        <v>1657</v>
      </c>
      <c r="B1645">
        <f>HYPERLINK("https://www.suredividend.com/sure-analysis-research-database/","LCI Industries")</f>
        <v>0</v>
      </c>
      <c r="C1645">
        <v>-0.036655893859499</v>
      </c>
      <c r="D1645">
        <v>-0.159274037919138</v>
      </c>
      <c r="E1645">
        <v>0.015706825062052</v>
      </c>
      <c r="F1645">
        <v>0.259210344934921</v>
      </c>
      <c r="G1645">
        <v>0.285239993918172</v>
      </c>
      <c r="H1645">
        <v>-0.14701186818483</v>
      </c>
      <c r="I1645">
        <v>0.669570395526193</v>
      </c>
    </row>
    <row r="1646" spans="1:9">
      <c r="A1646" s="1" t="s">
        <v>1658</v>
      </c>
      <c r="B1646">
        <f>HYPERLINK("https://www.suredividend.com/sure-analysis-research-database/","LCNB Corp")</f>
        <v>0</v>
      </c>
      <c r="C1646">
        <v>0.02372393961179</v>
      </c>
      <c r="D1646">
        <v>-0.153685686946909</v>
      </c>
      <c r="E1646">
        <v>0.001216365387725</v>
      </c>
      <c r="F1646">
        <v>-0.153283109068314</v>
      </c>
      <c r="G1646">
        <v>-0.130965458318076</v>
      </c>
      <c r="H1646">
        <v>-0.068818498077476</v>
      </c>
      <c r="I1646">
        <v>0.09203291436284</v>
      </c>
    </row>
    <row r="1647" spans="1:9">
      <c r="A1647" s="1" t="s">
        <v>1659</v>
      </c>
      <c r="B1647">
        <f>HYPERLINK("https://www.suredividend.com/sure-analysis-research-database/","Lineage Cell Therapeutics Inc")</f>
        <v>0</v>
      </c>
      <c r="C1647">
        <v>0</v>
      </c>
      <c r="D1647">
        <v>-0.18705035971223</v>
      </c>
      <c r="E1647">
        <v>-0.169117647058823</v>
      </c>
      <c r="F1647">
        <v>-0.034188034188034</v>
      </c>
      <c r="G1647">
        <v>-0.13076923076923</v>
      </c>
      <c r="H1647">
        <v>-0.548</v>
      </c>
      <c r="I1647">
        <v>-0.42075046134919</v>
      </c>
    </row>
    <row r="1648" spans="1:9">
      <c r="A1648" s="1" t="s">
        <v>1660</v>
      </c>
      <c r="B1648">
        <f>HYPERLINK("https://www.suredividend.com/sure-analysis-research-database/","Lifetime Brands, Inc.")</f>
        <v>0</v>
      </c>
      <c r="C1648">
        <v>0.023968880498827</v>
      </c>
      <c r="D1648">
        <v>-0.007687190479710001</v>
      </c>
      <c r="E1648">
        <v>0.110651499482936</v>
      </c>
      <c r="F1648">
        <v>-0.25964733293811</v>
      </c>
      <c r="G1648">
        <v>-0.300216320467043</v>
      </c>
      <c r="H1648">
        <v>-0.668229755527959</v>
      </c>
      <c r="I1648">
        <v>-0.431372964272856</v>
      </c>
    </row>
    <row r="1649" spans="1:9">
      <c r="A1649" s="1" t="s">
        <v>1661</v>
      </c>
      <c r="B1649">
        <f>HYPERLINK("https://www.suredividend.com/sure-analysis-research-database/","Lydall, Inc.")</f>
        <v>0</v>
      </c>
      <c r="C1649">
        <v>0.001774766053565</v>
      </c>
      <c r="D1649">
        <v>0.02594183740912</v>
      </c>
      <c r="E1649">
        <v>0.8402489626556011</v>
      </c>
      <c r="F1649">
        <v>1.067599067599067</v>
      </c>
      <c r="G1649">
        <v>2.753929866989117</v>
      </c>
      <c r="H1649">
        <v>1.492573263749498</v>
      </c>
      <c r="I1649">
        <v>0.214355564247995</v>
      </c>
    </row>
    <row r="1650" spans="1:9">
      <c r="A1650" s="1" t="s">
        <v>1662</v>
      </c>
      <c r="B1650">
        <f>HYPERLINK("https://www.suredividend.com/sure-analysis-research-database/","Leidos Holdings Inc")</f>
        <v>0</v>
      </c>
      <c r="C1650">
        <v>0.107081545064377</v>
      </c>
      <c r="D1650">
        <v>0.050962193677318</v>
      </c>
      <c r="E1650">
        <v>0.290404880476842</v>
      </c>
      <c r="F1650">
        <v>-0.007251738367824</v>
      </c>
      <c r="G1650">
        <v>0.004036385858247</v>
      </c>
      <c r="H1650">
        <v>0.08355946870090401</v>
      </c>
      <c r="I1650">
        <v>0.787158715559782</v>
      </c>
    </row>
    <row r="1651" spans="1:9">
      <c r="A1651" s="1" t="s">
        <v>1663</v>
      </c>
      <c r="B1651">
        <f>HYPERLINK("https://www.suredividend.com/sure-analysis-research-database/","Lands` End, Inc.")</f>
        <v>0</v>
      </c>
      <c r="C1651">
        <v>-0.111111111111111</v>
      </c>
      <c r="D1651">
        <v>-0.285252960172228</v>
      </c>
      <c r="E1651">
        <v>-0.05278174037089801</v>
      </c>
      <c r="F1651">
        <v>-0.125164690382081</v>
      </c>
      <c r="G1651">
        <v>-0.355339805825242</v>
      </c>
      <c r="H1651">
        <v>-0.7377567140600311</v>
      </c>
      <c r="I1651">
        <v>-0.6250705815923201</v>
      </c>
    </row>
    <row r="1652" spans="1:9">
      <c r="A1652" s="1" t="s">
        <v>1664</v>
      </c>
      <c r="B1652">
        <f>HYPERLINK("https://www.suredividend.com/sure-analysis-research-database/","Lear Corp.")</f>
        <v>0</v>
      </c>
      <c r="C1652">
        <v>-0.037290944703932</v>
      </c>
      <c r="D1652">
        <v>-0.154247986218061</v>
      </c>
      <c r="E1652">
        <v>0.035649219717451</v>
      </c>
      <c r="F1652">
        <v>0.047500229517226</v>
      </c>
      <c r="G1652">
        <v>0.014337569066474</v>
      </c>
      <c r="H1652">
        <v>-0.232023865614092</v>
      </c>
      <c r="I1652">
        <v>0.003006114263737</v>
      </c>
    </row>
    <row r="1653" spans="1:9">
      <c r="A1653" s="1" t="s">
        <v>1665</v>
      </c>
      <c r="B1653">
        <f>HYPERLINK("https://www.suredividend.com/sure-analysis-research-database/","Leaf Group Ltd")</f>
        <v>0</v>
      </c>
      <c r="C1653">
        <v>0.013126491646777</v>
      </c>
      <c r="D1653">
        <v>0.403305785123967</v>
      </c>
      <c r="E1653">
        <v>0.732653061224489</v>
      </c>
      <c r="F1653">
        <v>0.8258064516129031</v>
      </c>
      <c r="G1653">
        <v>2.087272727272727</v>
      </c>
      <c r="H1653">
        <v>0.205965909090909</v>
      </c>
      <c r="I1653">
        <v>0.6421663442940041</v>
      </c>
    </row>
    <row r="1654" spans="1:9">
      <c r="A1654" s="1" t="s">
        <v>1666</v>
      </c>
      <c r="B1654">
        <f>HYPERLINK("https://www.suredividend.com/sure-analysis-LECO/","Lincoln Electric Holdings, Inc.")</f>
        <v>0</v>
      </c>
      <c r="C1654">
        <v>0.008999944099726001</v>
      </c>
      <c r="D1654">
        <v>-0.08061925005017101</v>
      </c>
      <c r="E1654">
        <v>0.07528675306292901</v>
      </c>
      <c r="F1654">
        <v>0.271347008002794</v>
      </c>
      <c r="G1654">
        <v>0.3297157207759051</v>
      </c>
      <c r="H1654">
        <v>0.302878459124263</v>
      </c>
      <c r="I1654">
        <v>1.376441499383178</v>
      </c>
    </row>
    <row r="1655" spans="1:9">
      <c r="A1655" s="1" t="s">
        <v>1667</v>
      </c>
      <c r="B1655">
        <f>HYPERLINK("https://www.suredividend.com/sure-analysis-research-database/","Lee Enterprises, Inc.")</f>
        <v>0</v>
      </c>
      <c r="C1655">
        <v>-0.107648725212464</v>
      </c>
      <c r="D1655">
        <v>-0.318673395818312</v>
      </c>
      <c r="E1655">
        <v>-0.148648648648648</v>
      </c>
      <c r="F1655">
        <v>-0.4908405172413791</v>
      </c>
      <c r="G1655">
        <v>-0.497741163964921</v>
      </c>
      <c r="H1655">
        <v>-0.5405930967428291</v>
      </c>
      <c r="I1655">
        <v>-0.6576086956521741</v>
      </c>
    </row>
    <row r="1656" spans="1:9">
      <c r="A1656" s="1" t="s">
        <v>1668</v>
      </c>
      <c r="B1656">
        <f>HYPERLINK("https://www.suredividend.com/sure-analysis-LEG/","Leggett &amp; Platt, Inc.")</f>
        <v>0</v>
      </c>
      <c r="C1656">
        <v>-0.053009166998804</v>
      </c>
      <c r="D1656">
        <v>-0.205024140365434</v>
      </c>
      <c r="E1656">
        <v>-0.240664099327271</v>
      </c>
      <c r="F1656">
        <v>-0.227711379880841</v>
      </c>
      <c r="G1656">
        <v>-0.218233325765726</v>
      </c>
      <c r="H1656">
        <v>-0.393552668521401</v>
      </c>
      <c r="I1656">
        <v>-0.220052784306516</v>
      </c>
    </row>
    <row r="1657" spans="1:9">
      <c r="A1657" s="1" t="s">
        <v>1669</v>
      </c>
      <c r="B1657">
        <f>HYPERLINK("https://www.suredividend.com/sure-analysis-research-database/","Legacy Housing Corp")</f>
        <v>0</v>
      </c>
      <c r="C1657">
        <v>-0.018401682439537</v>
      </c>
      <c r="D1657">
        <v>-0.204516403919897</v>
      </c>
      <c r="E1657">
        <v>-0.162404665769403</v>
      </c>
      <c r="F1657">
        <v>-0.015295358649789</v>
      </c>
      <c r="G1657">
        <v>0.06930126002290901</v>
      </c>
      <c r="H1657">
        <v>0.032061912658927</v>
      </c>
      <c r="I1657">
        <v>0.55195344970906</v>
      </c>
    </row>
    <row r="1658" spans="1:9">
      <c r="A1658" s="1" t="s">
        <v>1670</v>
      </c>
      <c r="B1658">
        <f>HYPERLINK("https://www.suredividend.com/sure-analysis-LEN/","Lennar Corp.")</f>
        <v>0</v>
      </c>
      <c r="C1658">
        <v>0.045843435811426</v>
      </c>
      <c r="D1658">
        <v>-0.071447119129824</v>
      </c>
      <c r="E1658">
        <v>0.031469340806871</v>
      </c>
      <c r="F1658">
        <v>0.297604594590962</v>
      </c>
      <c r="G1658">
        <v>0.4679145502943811</v>
      </c>
      <c r="H1658">
        <v>0.196242151790388</v>
      </c>
      <c r="I1658">
        <v>1.829214212979807</v>
      </c>
    </row>
    <row r="1659" spans="1:9">
      <c r="A1659" s="1" t="s">
        <v>1671</v>
      </c>
      <c r="B1659">
        <f>HYPERLINK("https://www.suredividend.com/sure-analysis-research-database/","Centrus Energy Corp")</f>
        <v>0</v>
      </c>
      <c r="C1659">
        <v>-0.006553795740032</v>
      </c>
      <c r="D1659">
        <v>0.561373390557939</v>
      </c>
      <c r="E1659">
        <v>1.004039662137348</v>
      </c>
      <c r="F1659">
        <v>0.680110837438423</v>
      </c>
      <c r="G1659">
        <v>0.246174925782142</v>
      </c>
      <c r="H1659">
        <v>-0.169532795617105</v>
      </c>
      <c r="I1659">
        <v>24.5</v>
      </c>
    </row>
    <row r="1660" spans="1:9">
      <c r="A1660" s="1" t="s">
        <v>1672</v>
      </c>
      <c r="B1660">
        <f>HYPERLINK("https://www.suredividend.com/sure-analysis-research-database/","Levi Strauss &amp; Co.")</f>
        <v>0</v>
      </c>
      <c r="C1660">
        <v>0.04652722908809</v>
      </c>
      <c r="D1660">
        <v>-0.031497040685402</v>
      </c>
      <c r="E1660">
        <v>0.00250626566416</v>
      </c>
      <c r="F1660">
        <v>-0.066327955630627</v>
      </c>
      <c r="G1660">
        <v>-0.012234502845805</v>
      </c>
      <c r="H1660">
        <v>-0.4401646011770891</v>
      </c>
      <c r="I1660">
        <v>-0.318502841998475</v>
      </c>
    </row>
    <row r="1661" spans="1:9">
      <c r="A1661" s="1" t="s">
        <v>1673</v>
      </c>
      <c r="B1661">
        <f>HYPERLINK("https://www.suredividend.com/sure-analysis-LFUS/","Littelfuse, Inc.")</f>
        <v>0</v>
      </c>
      <c r="C1661">
        <v>-0.071806561914841</v>
      </c>
      <c r="D1661">
        <v>-0.133635951562338</v>
      </c>
      <c r="E1661">
        <v>-0.05446037852270701</v>
      </c>
      <c r="F1661">
        <v>0.04783498597954301</v>
      </c>
      <c r="G1661">
        <v>0.109518885712547</v>
      </c>
      <c r="H1661">
        <v>-0.256656093418397</v>
      </c>
      <c r="I1661">
        <v>0.251916829502236</v>
      </c>
    </row>
    <row r="1662" spans="1:9">
      <c r="A1662" s="1" t="s">
        <v>1674</v>
      </c>
      <c r="B1662">
        <f>HYPERLINK("https://www.suredividend.com/sure-analysis-research-database/","Lifevantage Corporation")</f>
        <v>0</v>
      </c>
      <c r="C1662">
        <v>0.162686567164179</v>
      </c>
      <c r="D1662">
        <v>0.6763864081430631</v>
      </c>
      <c r="E1662">
        <v>1.696061466048314</v>
      </c>
      <c r="F1662">
        <v>1.388618035752614</v>
      </c>
      <c r="G1662">
        <v>1.369149356771387</v>
      </c>
      <c r="H1662">
        <v>0.317503002012616</v>
      </c>
      <c r="I1662">
        <v>-0.194798751369565</v>
      </c>
    </row>
    <row r="1663" spans="1:9">
      <c r="A1663" s="1" t="s">
        <v>1675</v>
      </c>
      <c r="B1663">
        <f>HYPERLINK("https://www.suredividend.com/sure-analysis-research-database/","LGI Homes Inc")</f>
        <v>0</v>
      </c>
      <c r="C1663">
        <v>0.068243310953001</v>
      </c>
      <c r="D1663">
        <v>-0.236389684813753</v>
      </c>
      <c r="E1663">
        <v>-0.07441173916818601</v>
      </c>
      <c r="F1663">
        <v>0.151187904967602</v>
      </c>
      <c r="G1663">
        <v>0.277717847297135</v>
      </c>
      <c r="H1663">
        <v>-0.215541982485834</v>
      </c>
      <c r="I1663">
        <v>1.409039548022598</v>
      </c>
    </row>
    <row r="1664" spans="1:9">
      <c r="A1664" s="1" t="s">
        <v>1676</v>
      </c>
      <c r="B1664">
        <f>HYPERLINK("https://www.suredividend.com/sure-analysis-research-database/","LGL Group Inc")</f>
        <v>0</v>
      </c>
      <c r="C1664">
        <v>0.05324074074074001</v>
      </c>
      <c r="D1664">
        <v>-0.07142857142857101</v>
      </c>
      <c r="E1664">
        <v>0.043577981651375</v>
      </c>
      <c r="F1664">
        <v>0.123456790123456</v>
      </c>
      <c r="G1664">
        <v>-0.129186602870813</v>
      </c>
      <c r="H1664">
        <v>-0.143174585240005</v>
      </c>
      <c r="I1664">
        <v>0.682132426337387</v>
      </c>
    </row>
    <row r="1665" spans="1:9">
      <c r="A1665" s="1" t="s">
        <v>1677</v>
      </c>
      <c r="B1665">
        <f>HYPERLINK("https://www.suredividend.com/sure-analysis-research-database/","Ligand Pharmaceuticals, Inc.")</f>
        <v>0</v>
      </c>
      <c r="C1665">
        <v>-0.124387358458678</v>
      </c>
      <c r="D1665">
        <v>-0.217489805165382</v>
      </c>
      <c r="E1665">
        <v>-0.30614704700683</v>
      </c>
      <c r="F1665">
        <v>-0.22440119760479</v>
      </c>
      <c r="G1665">
        <v>-0.387661032974825</v>
      </c>
      <c r="H1665">
        <v>-0.6719432660039251</v>
      </c>
      <c r="I1665">
        <v>-0.6873642288196951</v>
      </c>
    </row>
    <row r="1666" spans="1:9">
      <c r="A1666" s="1" t="s">
        <v>1678</v>
      </c>
      <c r="B1666">
        <f>HYPERLINK("https://www.suredividend.com/sure-analysis-research-database/","Laboratory Corp. Of America Holdings")</f>
        <v>0</v>
      </c>
      <c r="C1666">
        <v>0.028061735818801</v>
      </c>
      <c r="D1666">
        <v>-0.042297440493695</v>
      </c>
      <c r="E1666">
        <v>-0.08593934479547601</v>
      </c>
      <c r="F1666">
        <v>-0.120371025409169</v>
      </c>
      <c r="G1666">
        <v>-0.07496832546542401</v>
      </c>
      <c r="H1666">
        <v>-0.270089612901297</v>
      </c>
      <c r="I1666">
        <v>0.285878588642325</v>
      </c>
    </row>
    <row r="1667" spans="1:9">
      <c r="A1667" s="1" t="s">
        <v>1679</v>
      </c>
      <c r="B1667">
        <f>HYPERLINK("https://www.suredividend.com/sure-analysis-research-database/","LHC Group Inc")</f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</row>
    <row r="1668" spans="1:9">
      <c r="A1668" s="1" t="s">
        <v>1680</v>
      </c>
      <c r="B1668">
        <f>HYPERLINK("https://www.suredividend.com/sure-analysis-LHX/","L3Harris Technologies Inc")</f>
        <v>0</v>
      </c>
      <c r="C1668">
        <v>0.06703194217766301</v>
      </c>
      <c r="D1668">
        <v>-0.009039684425747001</v>
      </c>
      <c r="E1668">
        <v>-0.021780428020491</v>
      </c>
      <c r="F1668">
        <v>-0.104445630515577</v>
      </c>
      <c r="G1668">
        <v>-0.215229671571945</v>
      </c>
      <c r="H1668">
        <v>-0.125875211117897</v>
      </c>
      <c r="I1668">
        <v>0.275067232527379</v>
      </c>
    </row>
    <row r="1669" spans="1:9">
      <c r="A1669" s="1" t="s">
        <v>1681</v>
      </c>
      <c r="B1669">
        <f>HYPERLINK("https://www.suredividend.com/sure-analysis-research-database/","Atyr Pharma Inc")</f>
        <v>0</v>
      </c>
      <c r="C1669">
        <v>-0.14569536423841</v>
      </c>
      <c r="D1669">
        <v>-0.355</v>
      </c>
      <c r="E1669">
        <v>-0.348484848484848</v>
      </c>
      <c r="F1669">
        <v>-0.410958904109589</v>
      </c>
      <c r="G1669">
        <v>-0.4691358024691351</v>
      </c>
      <c r="H1669">
        <v>-0.8527397260273971</v>
      </c>
      <c r="I1669">
        <v>-0.8606851267873341</v>
      </c>
    </row>
    <row r="1670" spans="1:9">
      <c r="A1670" s="1" t="s">
        <v>1682</v>
      </c>
      <c r="B1670">
        <f>HYPERLINK("https://www.suredividend.com/sure-analysis-LII/","Lennox International Inc")</f>
        <v>0</v>
      </c>
      <c r="C1670">
        <v>0.036791020496692</v>
      </c>
      <c r="D1670">
        <v>0.02896110741734</v>
      </c>
      <c r="E1670">
        <v>0.366650036667004</v>
      </c>
      <c r="F1670">
        <v>0.6157388452924031</v>
      </c>
      <c r="G1670">
        <v>0.677548071418513</v>
      </c>
      <c r="H1670">
        <v>0.290361112826373</v>
      </c>
      <c r="I1670">
        <v>0.9246012872950951</v>
      </c>
    </row>
    <row r="1671" spans="1:9">
      <c r="A1671" s="1" t="s">
        <v>1683</v>
      </c>
      <c r="B1671">
        <f>HYPERLINK("https://www.suredividend.com/sure-analysis-research-database/","Liberty Latin America Ltd")</f>
        <v>0</v>
      </c>
      <c r="C1671">
        <v>-0.178048780487804</v>
      </c>
      <c r="D1671">
        <v>-0.183030303030303</v>
      </c>
      <c r="E1671">
        <v>-0.196662693682956</v>
      </c>
      <c r="F1671">
        <v>-0.104913678618857</v>
      </c>
      <c r="G1671">
        <v>-0.124675324675324</v>
      </c>
      <c r="H1671">
        <v>-0.4734375</v>
      </c>
      <c r="I1671">
        <v>-0.6122113160650381</v>
      </c>
    </row>
    <row r="1672" spans="1:9">
      <c r="A1672" s="1" t="s">
        <v>1684</v>
      </c>
      <c r="B1672">
        <f>HYPERLINK("https://www.suredividend.com/sure-analysis-research-database/","Liberty Latin America Ltd")</f>
        <v>0</v>
      </c>
      <c r="C1672">
        <v>-0.170552147239263</v>
      </c>
      <c r="D1672">
        <v>-0.17156862745098</v>
      </c>
      <c r="E1672">
        <v>-0.194278903456495</v>
      </c>
      <c r="F1672">
        <v>-0.110526315789473</v>
      </c>
      <c r="G1672">
        <v>-0.123216601815823</v>
      </c>
      <c r="H1672">
        <v>-0.4693877551020401</v>
      </c>
      <c r="I1672">
        <v>-0.6130930236551261</v>
      </c>
    </row>
    <row r="1673" spans="1:9">
      <c r="A1673" s="1" t="s">
        <v>1685</v>
      </c>
      <c r="B1673">
        <f>HYPERLINK("https://www.suredividend.com/sure-analysis-LIN/","Linde Plc.")</f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</row>
    <row r="1674" spans="1:9">
      <c r="A1674" s="1" t="s">
        <v>1686</v>
      </c>
      <c r="B1674">
        <f>HYPERLINK("https://www.suredividend.com/sure-analysis-research-database/","Lincoln Educational Services Corp")</f>
        <v>0</v>
      </c>
      <c r="C1674">
        <v>0.005747126436781</v>
      </c>
      <c r="D1674">
        <v>0.218662952646239</v>
      </c>
      <c r="E1674">
        <v>0.5432098765432091</v>
      </c>
      <c r="F1674">
        <v>0.5112262521588941</v>
      </c>
      <c r="G1674">
        <v>0.415857605177993</v>
      </c>
      <c r="H1674">
        <v>0.218662952646239</v>
      </c>
      <c r="I1674">
        <v>2.73931623931624</v>
      </c>
    </row>
    <row r="1675" spans="1:9">
      <c r="A1675" s="1" t="s">
        <v>1687</v>
      </c>
      <c r="B1675">
        <f>HYPERLINK("https://www.suredividend.com/sure-analysis-research-database/","Lindblad Expeditions Holdings Inc")</f>
        <v>0</v>
      </c>
      <c r="C1675">
        <v>-0.16083916083916</v>
      </c>
      <c r="D1675">
        <v>-0.43342776203966</v>
      </c>
      <c r="E1675">
        <v>-0.478260869565217</v>
      </c>
      <c r="F1675">
        <v>-0.22077922077922</v>
      </c>
      <c r="G1675">
        <v>-0.3562231759656651</v>
      </c>
      <c r="H1675">
        <v>-0.623824451410658</v>
      </c>
      <c r="I1675">
        <v>-0.550224887556221</v>
      </c>
    </row>
    <row r="1676" spans="1:9">
      <c r="A1676" s="1" t="s">
        <v>1688</v>
      </c>
      <c r="B1676">
        <f>HYPERLINK("https://www.suredividend.com/sure-analysis-research-database/","LiqTech International Inc")</f>
        <v>0</v>
      </c>
      <c r="C1676">
        <v>0.002652519893899</v>
      </c>
      <c r="D1676">
        <v>-0.007874015748031</v>
      </c>
      <c r="E1676">
        <v>0.210917478216299</v>
      </c>
      <c r="F1676">
        <v>0.243421052631578</v>
      </c>
      <c r="G1676">
        <v>0.158372150036773</v>
      </c>
      <c r="H1676">
        <v>-0.908430232558139</v>
      </c>
      <c r="I1676">
        <v>-0.909828244274809</v>
      </c>
    </row>
    <row r="1677" spans="1:9">
      <c r="A1677" s="1" t="s">
        <v>1689</v>
      </c>
      <c r="B1677">
        <f>HYPERLINK("https://www.suredividend.com/sure-analysis-research-database/","Lumentum Holdings Inc")</f>
        <v>0</v>
      </c>
      <c r="C1677">
        <v>-0.114492119089316</v>
      </c>
      <c r="D1677">
        <v>-0.199168481488814</v>
      </c>
      <c r="E1677">
        <v>-0.142826870099597</v>
      </c>
      <c r="F1677">
        <v>-0.22465018209699</v>
      </c>
      <c r="G1677">
        <v>-0.447555312756077</v>
      </c>
      <c r="H1677">
        <v>-0.533878773911039</v>
      </c>
      <c r="I1677">
        <v>-0.22716851356515</v>
      </c>
    </row>
    <row r="1678" spans="1:9">
      <c r="A1678" s="1" t="s">
        <v>1690</v>
      </c>
      <c r="B1678">
        <f>HYPERLINK("https://www.suredividend.com/sure-analysis-research-database/","Live Ventures Inc")</f>
        <v>0</v>
      </c>
      <c r="C1678">
        <v>-0.033747779751332</v>
      </c>
      <c r="D1678">
        <v>-0.032028469750889</v>
      </c>
      <c r="E1678">
        <v>-0.123767798466593</v>
      </c>
      <c r="F1678">
        <v>-0.130990415335463</v>
      </c>
      <c r="G1678">
        <v>0.090180360721442</v>
      </c>
      <c r="H1678">
        <v>-0.144654088050314</v>
      </c>
      <c r="I1678">
        <v>2.809577164946288</v>
      </c>
    </row>
    <row r="1679" spans="1:9">
      <c r="A1679" s="1" t="s">
        <v>1691</v>
      </c>
      <c r="B1679">
        <f>HYPERLINK("https://www.suredividend.com/sure-analysis-research-database/","LivaNova PLC")</f>
        <v>0</v>
      </c>
      <c r="C1679">
        <v>-0.07576908469426501</v>
      </c>
      <c r="D1679">
        <v>-0.152975983292725</v>
      </c>
      <c r="E1679">
        <v>0.03267557818799</v>
      </c>
      <c r="F1679">
        <v>-0.123694634497659</v>
      </c>
      <c r="G1679">
        <v>0.009751037344398</v>
      </c>
      <c r="H1679">
        <v>-0.377462266564338</v>
      </c>
      <c r="I1679">
        <v>-0.567646797548192</v>
      </c>
    </row>
    <row r="1680" spans="1:9">
      <c r="A1680" s="1" t="s">
        <v>1692</v>
      </c>
      <c r="B1680">
        <f>HYPERLINK("https://www.suredividend.com/sure-analysis-research-database/","LiveXLive Media Inc")</f>
        <v>0</v>
      </c>
      <c r="C1680">
        <v>-0.06969696969696901</v>
      </c>
      <c r="D1680">
        <v>-0.310112359550561</v>
      </c>
      <c r="E1680">
        <v>-0.270783847980997</v>
      </c>
      <c r="F1680">
        <v>-0.06402439024390201</v>
      </c>
      <c r="G1680">
        <v>0.329004329004328</v>
      </c>
      <c r="H1680">
        <v>0.6775956284153001</v>
      </c>
      <c r="I1680">
        <v>-0.6588888888888881</v>
      </c>
    </row>
    <row r="1681" spans="1:9">
      <c r="A1681" s="1" t="s">
        <v>1693</v>
      </c>
      <c r="B1681">
        <f>HYPERLINK("https://www.suredividend.com/sure-analysis-research-database/","La Jolla Pharmaceutical Co.")</f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</row>
    <row r="1682" spans="1:9">
      <c r="A1682" s="1" t="s">
        <v>1694</v>
      </c>
      <c r="B1682">
        <f>HYPERLINK("https://www.suredividend.com/sure-analysis-research-database/","Lakeland Financial Corp.")</f>
        <v>0</v>
      </c>
      <c r="C1682">
        <v>0.130172254447192</v>
      </c>
      <c r="D1682">
        <v>-0.05184222477394401</v>
      </c>
      <c r="E1682">
        <v>0.099519816404167</v>
      </c>
      <c r="F1682">
        <v>-0.253904797322424</v>
      </c>
      <c r="G1682">
        <v>-0.320317555684069</v>
      </c>
      <c r="H1682">
        <v>-0.227665688717392</v>
      </c>
      <c r="I1682">
        <v>0.369815517641442</v>
      </c>
    </row>
    <row r="1683" spans="1:9">
      <c r="A1683" s="1" t="s">
        <v>1695</v>
      </c>
      <c r="B1683">
        <f>HYPERLINK("https://www.suredividend.com/sure-analysis-research-database/","LKQ Corp")</f>
        <v>0</v>
      </c>
      <c r="C1683">
        <v>-0.115611642580907</v>
      </c>
      <c r="D1683">
        <v>-0.204136657703664</v>
      </c>
      <c r="E1683">
        <v>-0.232906797734559</v>
      </c>
      <c r="F1683">
        <v>-0.174018755192085</v>
      </c>
      <c r="G1683">
        <v>-0.149621586498848</v>
      </c>
      <c r="H1683">
        <v>-0.200318032322243</v>
      </c>
      <c r="I1683">
        <v>0.627584656877434</v>
      </c>
    </row>
    <row r="1684" spans="1:9">
      <c r="A1684" s="1" t="s">
        <v>1696</v>
      </c>
      <c r="B1684">
        <f>HYPERLINK("https://www.suredividend.com/sure-analysis-research-database/","LL Flooring Holdings Inc")</f>
        <v>0</v>
      </c>
      <c r="C1684">
        <v>0.077419354838709</v>
      </c>
      <c r="D1684">
        <v>-0.134715025906735</v>
      </c>
      <c r="E1684">
        <v>-0.017647058823529</v>
      </c>
      <c r="F1684">
        <v>-0.405693950177936</v>
      </c>
      <c r="G1684">
        <v>-0.571245186136071</v>
      </c>
      <c r="H1684">
        <v>-0.8196544276457881</v>
      </c>
      <c r="I1684">
        <v>-0.7342879872712801</v>
      </c>
    </row>
    <row r="1685" spans="1:9">
      <c r="A1685" s="1" t="s">
        <v>1697</v>
      </c>
      <c r="B1685">
        <f>HYPERLINK("https://www.suredividend.com/sure-analysis-LLY/","Lilly(Eli) &amp; Co")</f>
        <v>0</v>
      </c>
      <c r="C1685">
        <v>0.07802485648999601</v>
      </c>
      <c r="D1685">
        <v>0.279558746385674</v>
      </c>
      <c r="E1685">
        <v>0.44247046277676</v>
      </c>
      <c r="F1685">
        <v>0.5988764964411081</v>
      </c>
      <c r="G1685">
        <v>0.652480942605269</v>
      </c>
      <c r="H1685">
        <v>1.315953736001468</v>
      </c>
      <c r="I1685">
        <v>4.911036501763257</v>
      </c>
    </row>
    <row r="1686" spans="1:9">
      <c r="A1686" s="1" t="s">
        <v>1698</v>
      </c>
      <c r="B1686">
        <f>HYPERLINK("https://www.suredividend.com/sure-analysis-research-database/","Lemaitre Vascular Inc")</f>
        <v>0</v>
      </c>
      <c r="C1686">
        <v>-0.154278462654097</v>
      </c>
      <c r="D1686">
        <v>-0.277204757898455</v>
      </c>
      <c r="E1686">
        <v>-0.142135228175478</v>
      </c>
      <c r="F1686">
        <v>0.023524610665718</v>
      </c>
      <c r="G1686">
        <v>0.07510526352178201</v>
      </c>
      <c r="H1686">
        <v>-0.096016075992783</v>
      </c>
      <c r="I1686">
        <v>0.814412620377428</v>
      </c>
    </row>
    <row r="1687" spans="1:9">
      <c r="A1687" s="1" t="s">
        <v>1699</v>
      </c>
      <c r="B1687">
        <f>HYPERLINK("https://www.suredividend.com/sure-analysis-research-database/","LM Funding America Inc")</f>
        <v>0</v>
      </c>
      <c r="C1687">
        <v>-0.216300940438871</v>
      </c>
      <c r="D1687">
        <v>-0.420289855072463</v>
      </c>
      <c r="E1687">
        <v>-0.453103636860814</v>
      </c>
      <c r="F1687">
        <v>-0.275362318840579</v>
      </c>
      <c r="G1687">
        <v>-0.555555555555555</v>
      </c>
      <c r="H1687">
        <v>-0.9405646359583951</v>
      </c>
      <c r="I1687">
        <v>-0.9589743589743591</v>
      </c>
    </row>
    <row r="1688" spans="1:9">
      <c r="A1688" s="1" t="s">
        <v>1700</v>
      </c>
      <c r="B1688">
        <f>HYPERLINK("https://www.suredividend.com/sure-analysis-research-database/","Limoneira Co")</f>
        <v>0</v>
      </c>
      <c r="C1688">
        <v>-0.035361153008211</v>
      </c>
      <c r="D1688">
        <v>-0.06873499394904201</v>
      </c>
      <c r="E1688">
        <v>-0.126375094101362</v>
      </c>
      <c r="F1688">
        <v>0.21295390943727</v>
      </c>
      <c r="G1688">
        <v>0.165824097478773</v>
      </c>
      <c r="H1688">
        <v>-0.03347572606861701</v>
      </c>
      <c r="I1688">
        <v>-0.375661651134135</v>
      </c>
    </row>
    <row r="1689" spans="1:9">
      <c r="A1689" s="1" t="s">
        <v>1701</v>
      </c>
      <c r="B1689">
        <f>HYPERLINK("https://www.suredividend.com/sure-analysis-research-database/","Luminex Corp")</f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</row>
    <row r="1690" spans="1:9">
      <c r="A1690" s="1" t="s">
        <v>1702</v>
      </c>
      <c r="B1690">
        <f>HYPERLINK("https://www.suredividend.com/sure-analysis-research-database/","Limestone Bancorp Inc")</f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</row>
    <row r="1691" spans="1:9">
      <c r="A1691" s="1" t="s">
        <v>1703</v>
      </c>
      <c r="B1691">
        <f>HYPERLINK("https://www.suredividend.com/sure-analysis-LMT/","Lockheed Martin Corp.")</f>
        <v>0</v>
      </c>
      <c r="C1691">
        <v>0.123142562895395</v>
      </c>
      <c r="D1691">
        <v>0.027950864648872</v>
      </c>
      <c r="E1691">
        <v>0.011585172339846</v>
      </c>
      <c r="F1691">
        <v>-0.039797343657335</v>
      </c>
      <c r="G1691">
        <v>-0.024930644136725</v>
      </c>
      <c r="H1691">
        <v>0.4812951080458671</v>
      </c>
      <c r="I1691">
        <v>0.749099464280054</v>
      </c>
    </row>
    <row r="1692" spans="1:9">
      <c r="A1692" s="1" t="s">
        <v>1704</v>
      </c>
      <c r="B1692">
        <f>HYPERLINK("https://www.suredividend.com/sure-analysis-LNC/","Lincoln National Corp.")</f>
        <v>0</v>
      </c>
      <c r="C1692">
        <v>-0.026173688156553</v>
      </c>
      <c r="D1692">
        <v>-0.154061747638178</v>
      </c>
      <c r="E1692">
        <v>0.167777031361278</v>
      </c>
      <c r="F1692">
        <v>-0.190345783984815</v>
      </c>
      <c r="G1692">
        <v>-0.5226000949844101</v>
      </c>
      <c r="H1692">
        <v>-0.6534481311381051</v>
      </c>
      <c r="I1692">
        <v>-0.5538273010604321</v>
      </c>
    </row>
    <row r="1693" spans="1:9">
      <c r="A1693" s="1" t="s">
        <v>1705</v>
      </c>
      <c r="B1693">
        <f>HYPERLINK("https://www.suredividend.com/sure-analysis-research-database/","Cheniere Energy Inc.")</f>
        <v>0</v>
      </c>
      <c r="C1693">
        <v>0.08853750076908801</v>
      </c>
      <c r="D1693">
        <v>0.117162513299929</v>
      </c>
      <c r="E1693">
        <v>0.197187435080731</v>
      </c>
      <c r="F1693">
        <v>0.195031554317804</v>
      </c>
      <c r="G1693">
        <v>0.005598658595503</v>
      </c>
      <c r="H1693">
        <v>0.714017215739273</v>
      </c>
      <c r="I1693">
        <v>2.011737468826338</v>
      </c>
    </row>
    <row r="1694" spans="1:9">
      <c r="A1694" s="1" t="s">
        <v>1706</v>
      </c>
      <c r="B1694">
        <f>HYPERLINK("https://www.suredividend.com/sure-analysis-LNN/","Lindsay Corporation")</f>
        <v>0</v>
      </c>
      <c r="C1694">
        <v>0.091721825840281</v>
      </c>
      <c r="D1694">
        <v>-0.040681886336666</v>
      </c>
      <c r="E1694">
        <v>0.060523313976695</v>
      </c>
      <c r="F1694">
        <v>-0.214016499464664</v>
      </c>
      <c r="G1694">
        <v>-0.219416012543431</v>
      </c>
      <c r="H1694">
        <v>-0.133257851694276</v>
      </c>
      <c r="I1694">
        <v>0.307824912107987</v>
      </c>
    </row>
    <row r="1695" spans="1:9">
      <c r="A1695" s="1" t="s">
        <v>1707</v>
      </c>
      <c r="B1695">
        <f>HYPERLINK("https://www.suredividend.com/sure-analysis-LNT/","Alliant Energy Corp.")</f>
        <v>0</v>
      </c>
      <c r="C1695">
        <v>0.107316750754588</v>
      </c>
      <c r="D1695">
        <v>-0.038994711220396</v>
      </c>
      <c r="E1695">
        <v>-0.045423121044754</v>
      </c>
      <c r="F1695">
        <v>-0.033169630061383</v>
      </c>
      <c r="G1695">
        <v>0.024150888032146</v>
      </c>
      <c r="H1695">
        <v>-0.0362878097886</v>
      </c>
      <c r="I1695">
        <v>0.4131553346192121</v>
      </c>
    </row>
    <row r="1696" spans="1:9">
      <c r="A1696" s="1" t="s">
        <v>1708</v>
      </c>
      <c r="B1696">
        <f>HYPERLINK("https://www.suredividend.com/sure-analysis-research-database/","Lantheus Holdings Inc")</f>
        <v>0</v>
      </c>
      <c r="C1696">
        <v>-0.081152993348115</v>
      </c>
      <c r="D1696">
        <v>-0.24028354925446</v>
      </c>
      <c r="E1696">
        <v>-0.248367593712212</v>
      </c>
      <c r="F1696">
        <v>0.219780219780219</v>
      </c>
      <c r="G1696">
        <v>-0.09769197271011701</v>
      </c>
      <c r="H1696">
        <v>1.567534076827756</v>
      </c>
      <c r="I1696">
        <v>3.124751161247511</v>
      </c>
    </row>
    <row r="1697" spans="1:9">
      <c r="A1697" s="1" t="s">
        <v>1709</v>
      </c>
      <c r="B1697">
        <f>HYPERLINK("https://www.suredividend.com/sure-analysis-research-database/","Manhattan Bridge Capital Inc")</f>
        <v>0</v>
      </c>
      <c r="C1697">
        <v>0.014061062683428</v>
      </c>
      <c r="D1697">
        <v>-0.012730025374757</v>
      </c>
      <c r="E1697">
        <v>0.010409619623333</v>
      </c>
      <c r="F1697">
        <v>-0.025878392594151</v>
      </c>
      <c r="G1697">
        <v>-0.011275305372853</v>
      </c>
      <c r="H1697">
        <v>-0.09012302008410901</v>
      </c>
      <c r="I1697">
        <v>0.192960758547834</v>
      </c>
    </row>
    <row r="1698" spans="1:9">
      <c r="A1698" s="1" t="s">
        <v>1710</v>
      </c>
      <c r="B1698">
        <f>HYPERLINK("https://www.suredividend.com/sure-analysis-research-database/","Live Oak Bancshares Inc")</f>
        <v>0</v>
      </c>
      <c r="C1698">
        <v>0.081769911504424</v>
      </c>
      <c r="D1698">
        <v>-0.183003478116737</v>
      </c>
      <c r="E1698">
        <v>0.396020245948069</v>
      </c>
      <c r="F1698">
        <v>0.015066563919963</v>
      </c>
      <c r="G1698">
        <v>0.003371933822104</v>
      </c>
      <c r="H1698">
        <v>-0.6669823215124401</v>
      </c>
      <c r="I1698">
        <v>0.6591833299852861</v>
      </c>
    </row>
    <row r="1699" spans="1:9">
      <c r="A1699" s="1" t="s">
        <v>1711</v>
      </c>
      <c r="B1699">
        <f>HYPERLINK("https://www.suredividend.com/sure-analysis-research-database/","El Pollo Loco Holdings Inc")</f>
        <v>0</v>
      </c>
      <c r="C1699">
        <v>-0.035437430786267</v>
      </c>
      <c r="D1699">
        <v>-0.141871921182266</v>
      </c>
      <c r="E1699">
        <v>-0.147749510763209</v>
      </c>
      <c r="F1699">
        <v>-0.125502008032128</v>
      </c>
      <c r="G1699">
        <v>-0.115736040609136</v>
      </c>
      <c r="H1699">
        <v>-0.312581882468075</v>
      </c>
      <c r="I1699">
        <v>-0.347800041932488</v>
      </c>
    </row>
    <row r="1700" spans="1:9">
      <c r="A1700" s="1" t="s">
        <v>1712</v>
      </c>
      <c r="B1700">
        <f>HYPERLINK("https://www.suredividend.com/sure-analysis-research-database/","Comstock Inc")</f>
        <v>0</v>
      </c>
      <c r="C1700">
        <v>0.06642156862745001</v>
      </c>
      <c r="D1700">
        <v>-0.191263940520446</v>
      </c>
      <c r="E1700">
        <v>-0.250989843346531</v>
      </c>
      <c r="F1700">
        <v>0.582181818181817</v>
      </c>
      <c r="G1700">
        <v>0.09020295665246801</v>
      </c>
      <c r="H1700">
        <v>-0.806622222222222</v>
      </c>
      <c r="I1700">
        <v>-0.519226519337016</v>
      </c>
    </row>
    <row r="1701" spans="1:9">
      <c r="A1701" s="1" t="s">
        <v>1713</v>
      </c>
      <c r="B1701">
        <f>HYPERLINK("https://www.suredividend.com/sure-analysis-research-database/","Lonestar Resources US Inc")</f>
        <v>0</v>
      </c>
      <c r="C1701">
        <v>0.5888778550148951</v>
      </c>
      <c r="D1701">
        <v>0.5238095238095231</v>
      </c>
      <c r="E1701">
        <v>1.61437908496732</v>
      </c>
      <c r="F1701">
        <v>2.137254901960784</v>
      </c>
      <c r="G1701">
        <v>2.137254901960784</v>
      </c>
      <c r="H1701">
        <v>2.137254901960784</v>
      </c>
      <c r="I1701">
        <v>2.137254901960784</v>
      </c>
    </row>
    <row r="1702" spans="1:9">
      <c r="A1702" s="1" t="s">
        <v>1714</v>
      </c>
      <c r="B1702">
        <f>HYPERLINK("https://www.suredividend.com/sure-analysis-research-database/","Loop Industries Inc")</f>
        <v>0</v>
      </c>
      <c r="C1702">
        <v>-0.065753424657534</v>
      </c>
      <c r="D1702">
        <v>0.132890365448505</v>
      </c>
      <c r="E1702">
        <v>0.132890365448505</v>
      </c>
      <c r="F1702">
        <v>0.426778242677824</v>
      </c>
      <c r="G1702">
        <v>0.306513409961686</v>
      </c>
      <c r="H1702">
        <v>-0.8004681100058511</v>
      </c>
      <c r="I1702">
        <v>-0.6025641025641021</v>
      </c>
    </row>
    <row r="1703" spans="1:9">
      <c r="A1703" s="1" t="s">
        <v>1715</v>
      </c>
      <c r="B1703">
        <f>HYPERLINK("https://www.suredividend.com/sure-analysis-research-database/","Grand Canyon Education Inc")</f>
        <v>0</v>
      </c>
      <c r="C1703">
        <v>0.032028469750889</v>
      </c>
      <c r="D1703">
        <v>0.123098201936376</v>
      </c>
      <c r="E1703">
        <v>0.032465881156226</v>
      </c>
      <c r="F1703">
        <v>0.152754116978989</v>
      </c>
      <c r="G1703">
        <v>0.209653391597973</v>
      </c>
      <c r="H1703">
        <v>0.5305353103794921</v>
      </c>
      <c r="I1703">
        <v>-0.034023316678562</v>
      </c>
    </row>
    <row r="1704" spans="1:9">
      <c r="A1704" s="1" t="s">
        <v>1716</v>
      </c>
      <c r="B1704">
        <f>HYPERLINK("https://www.suredividend.com/sure-analysis-research-database/","Loral Space &amp; Communications Inc")</f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</row>
    <row r="1705" spans="1:9">
      <c r="A1705" s="1" t="s">
        <v>1717</v>
      </c>
      <c r="B1705">
        <f>HYPERLINK("https://www.suredividend.com/sure-analysis-research-database/","Lovesac Company")</f>
        <v>0</v>
      </c>
      <c r="C1705">
        <v>-0.07068062827225101</v>
      </c>
      <c r="D1705">
        <v>-0.368102527589889</v>
      </c>
      <c r="E1705">
        <v>-0.351716581446311</v>
      </c>
      <c r="F1705">
        <v>-0.193548387096774</v>
      </c>
      <c r="G1705">
        <v>-0.228931364031277</v>
      </c>
      <c r="H1705">
        <v>-0.7735969387755101</v>
      </c>
      <c r="I1705">
        <v>-0.09438775510204001</v>
      </c>
    </row>
    <row r="1706" spans="1:9">
      <c r="A1706" s="1" t="s">
        <v>1718</v>
      </c>
      <c r="B1706">
        <f>HYPERLINK("https://www.suredividend.com/sure-analysis-LOW/","Lowe`s Cos., Inc.")</f>
        <v>0</v>
      </c>
      <c r="C1706">
        <v>-0.049959274190788</v>
      </c>
      <c r="D1706">
        <v>-0.14827926727121</v>
      </c>
      <c r="E1706">
        <v>-0.046538180915356</v>
      </c>
      <c r="F1706">
        <v>-0.004306201463001</v>
      </c>
      <c r="G1706">
        <v>0.06823581668475201</v>
      </c>
      <c r="H1706">
        <v>-0.132728046062887</v>
      </c>
      <c r="I1706">
        <v>1.197464186038096</v>
      </c>
    </row>
    <row r="1707" spans="1:9">
      <c r="A1707" s="1" t="s">
        <v>1719</v>
      </c>
      <c r="B1707">
        <f>HYPERLINK("https://www.suredividend.com/sure-analysis-research-database/","Lipocine Inc")</f>
        <v>0</v>
      </c>
      <c r="C1707">
        <v>-0.08833922261484001</v>
      </c>
      <c r="D1707">
        <v>-0.4777327935222671</v>
      </c>
      <c r="E1707">
        <v>-0.426437241563292</v>
      </c>
      <c r="F1707">
        <v>-0.6184899299086151</v>
      </c>
      <c r="G1707">
        <v>-0.623038485140703</v>
      </c>
      <c r="H1707">
        <v>-0.863275039745628</v>
      </c>
      <c r="I1707">
        <v>-0.89745627980922</v>
      </c>
    </row>
    <row r="1708" spans="1:9">
      <c r="A1708" s="1" t="s">
        <v>1720</v>
      </c>
      <c r="B1708">
        <f>HYPERLINK("https://www.suredividend.com/sure-analysis-research-database/","Dorian LPG Ltd")</f>
        <v>0</v>
      </c>
      <c r="C1708">
        <v>0.394450955157563</v>
      </c>
      <c r="D1708">
        <v>0.472055982907604</v>
      </c>
      <c r="E1708">
        <v>0.9894450171556931</v>
      </c>
      <c r="F1708">
        <v>1.399866364749991</v>
      </c>
      <c r="G1708">
        <v>1.544858126947679</v>
      </c>
      <c r="H1708">
        <v>4.152489240741724</v>
      </c>
      <c r="I1708">
        <v>7.553850224927229</v>
      </c>
    </row>
    <row r="1709" spans="1:9">
      <c r="A1709" s="1" t="s">
        <v>1721</v>
      </c>
      <c r="B1709">
        <f>HYPERLINK("https://www.suredividend.com/sure-analysis-research-database/","LPL Financial Holdings Inc")</f>
        <v>0</v>
      </c>
      <c r="C1709">
        <v>-0.078134184230414</v>
      </c>
      <c r="D1709">
        <v>-0.050843032253267</v>
      </c>
      <c r="E1709">
        <v>0.12422372651211</v>
      </c>
      <c r="F1709">
        <v>0.021378379359011</v>
      </c>
      <c r="G1709">
        <v>-0.146434809381325</v>
      </c>
      <c r="H1709">
        <v>0.306363980361405</v>
      </c>
      <c r="I1709">
        <v>2.694250583825182</v>
      </c>
    </row>
    <row r="1710" spans="1:9">
      <c r="A1710" s="1" t="s">
        <v>1722</v>
      </c>
      <c r="B1710">
        <f>HYPERLINK("https://www.suredividend.com/sure-analysis-research-database/","Liveperson Inc")</f>
        <v>0</v>
      </c>
      <c r="C1710">
        <v>-0.274406332453825</v>
      </c>
      <c r="D1710">
        <v>-0.349881796690307</v>
      </c>
      <c r="E1710">
        <v>-0.352941176470588</v>
      </c>
      <c r="F1710">
        <v>-0.7287968441814591</v>
      </c>
      <c r="G1710">
        <v>-0.744186046511627</v>
      </c>
      <c r="H1710">
        <v>-0.946508461388834</v>
      </c>
      <c r="I1710">
        <v>-0.882378100940975</v>
      </c>
    </row>
    <row r="1711" spans="1:9">
      <c r="A1711" s="1" t="s">
        <v>1723</v>
      </c>
      <c r="B1711">
        <f>HYPERLINK("https://www.suredividend.com/sure-analysis-research-database/","Lightpath Technologies, Inc.")</f>
        <v>0</v>
      </c>
      <c r="C1711">
        <v>0.06081081081081</v>
      </c>
      <c r="D1711">
        <v>-0.14207650273224</v>
      </c>
      <c r="E1711">
        <v>0.162962962962962</v>
      </c>
      <c r="F1711">
        <v>0.286885245901639</v>
      </c>
      <c r="G1711">
        <v>0.5700000000000001</v>
      </c>
      <c r="H1711">
        <v>-0.218905472636815</v>
      </c>
      <c r="I1711">
        <v>-0.132596685082872</v>
      </c>
    </row>
    <row r="1712" spans="1:9">
      <c r="A1712" s="1" t="s">
        <v>1724</v>
      </c>
      <c r="B1712">
        <f>HYPERLINK("https://www.suredividend.com/sure-analysis-research-database/","Louisiana-Pacific Corp.")</f>
        <v>0</v>
      </c>
      <c r="C1712">
        <v>0.03300270513976501</v>
      </c>
      <c r="D1712">
        <v>-0.147574650465426</v>
      </c>
      <c r="E1712">
        <v>-0.03278043541766201</v>
      </c>
      <c r="F1712">
        <v>-0.021053836911807</v>
      </c>
      <c r="G1712">
        <v>0.106637506665327</v>
      </c>
      <c r="H1712">
        <v>-0.082570276750492</v>
      </c>
      <c r="I1712">
        <v>1.68695644015799</v>
      </c>
    </row>
    <row r="1713" spans="1:9">
      <c r="A1713" s="1" t="s">
        <v>1725</v>
      </c>
      <c r="B1713">
        <f>HYPERLINK("https://www.suredividend.com/sure-analysis-research-database/","Liquidia Corp")</f>
        <v>0</v>
      </c>
      <c r="C1713">
        <v>0.036918138041733</v>
      </c>
      <c r="D1713">
        <v>-0.17391304347826</v>
      </c>
      <c r="E1713">
        <v>-0.025641025641025</v>
      </c>
      <c r="F1713">
        <v>0.014128728414442</v>
      </c>
      <c r="G1713">
        <v>0.294589178356713</v>
      </c>
      <c r="H1713">
        <v>0.6479591836734691</v>
      </c>
      <c r="I1713">
        <v>0.9</v>
      </c>
    </row>
    <row r="1714" spans="1:9">
      <c r="A1714" s="1" t="s">
        <v>1726</v>
      </c>
      <c r="B1714">
        <f>HYPERLINK("https://www.suredividend.com/sure-analysis-research-database/","Liquidity Services Inc")</f>
        <v>0</v>
      </c>
      <c r="C1714">
        <v>0.07238307349665901</v>
      </c>
      <c r="D1714">
        <v>0.156756756756756</v>
      </c>
      <c r="E1714">
        <v>0.490712074303405</v>
      </c>
      <c r="F1714">
        <v>0.369843527738264</v>
      </c>
      <c r="G1714">
        <v>0.138297872340425</v>
      </c>
      <c r="H1714">
        <v>-0.112442396313363</v>
      </c>
      <c r="I1714">
        <v>2.199335548172758</v>
      </c>
    </row>
    <row r="1715" spans="1:9">
      <c r="A1715" s="1" t="s">
        <v>1727</v>
      </c>
      <c r="B1715">
        <f>HYPERLINK("https://www.suredividend.com/sure-analysis-LRCX/","Lam Research Corp.")</f>
        <v>0</v>
      </c>
      <c r="C1715">
        <v>-0.012046664975906</v>
      </c>
      <c r="D1715">
        <v>-0.085763905950792</v>
      </c>
      <c r="E1715">
        <v>0.208166638915224</v>
      </c>
      <c r="F1715">
        <v>0.5056065291261961</v>
      </c>
      <c r="G1715">
        <v>0.605901704222216</v>
      </c>
      <c r="H1715">
        <v>0.120146736203179</v>
      </c>
      <c r="I1715">
        <v>3.468982132101988</v>
      </c>
    </row>
    <row r="1716" spans="1:9">
      <c r="A1716" s="1" t="s">
        <v>1728</v>
      </c>
      <c r="B1716">
        <f>HYPERLINK("https://www.suredividend.com/sure-analysis-research-database/","Stride Inc")</f>
        <v>0</v>
      </c>
      <c r="C1716">
        <v>0.229669347631814</v>
      </c>
      <c r="D1716">
        <v>0.42701581540057</v>
      </c>
      <c r="E1716">
        <v>0.33301041414386</v>
      </c>
      <c r="F1716">
        <v>0.7595907928388741</v>
      </c>
      <c r="G1716">
        <v>0.6322657176749701</v>
      </c>
      <c r="H1716">
        <v>0.5175075820237101</v>
      </c>
      <c r="I1716">
        <v>1.488245931283906</v>
      </c>
    </row>
    <row r="1717" spans="1:9">
      <c r="A1717" s="1" t="s">
        <v>1729</v>
      </c>
      <c r="B1717">
        <f>HYPERLINK("https://www.suredividend.com/sure-analysis-research-database/","Lake Shore Bancorp")</f>
        <v>0</v>
      </c>
      <c r="C1717">
        <v>-0.044805514524864</v>
      </c>
      <c r="D1717">
        <v>-0.084853859652433</v>
      </c>
      <c r="E1717">
        <v>-0.142450469884098</v>
      </c>
      <c r="F1717">
        <v>-0.196354598177299</v>
      </c>
      <c r="G1717">
        <v>-0.251497005988023</v>
      </c>
      <c r="H1717">
        <v>-0.323825058903899</v>
      </c>
      <c r="I1717">
        <v>-0.262615358885865</v>
      </c>
    </row>
    <row r="1718" spans="1:9">
      <c r="A1718" s="1" t="s">
        <v>1730</v>
      </c>
      <c r="B1718">
        <f>HYPERLINK("https://www.suredividend.com/sure-analysis-research-database/","Lattice Semiconductor Corp.")</f>
        <v>0</v>
      </c>
      <c r="C1718">
        <v>-0.341383735853459</v>
      </c>
      <c r="D1718">
        <v>-0.380759104870557</v>
      </c>
      <c r="E1718">
        <v>-0.325406309751434</v>
      </c>
      <c r="F1718">
        <v>-0.129932182490752</v>
      </c>
      <c r="G1718">
        <v>0.123606687898089</v>
      </c>
      <c r="H1718">
        <v>-0.23144996596324</v>
      </c>
      <c r="I1718">
        <v>8.134304207119742</v>
      </c>
    </row>
    <row r="1719" spans="1:9">
      <c r="A1719" s="1" t="s">
        <v>1731</v>
      </c>
      <c r="B1719">
        <f>HYPERLINK("https://www.suredividend.com/sure-analysis-research-database/","Life Storage Inc")</f>
        <v>0</v>
      </c>
      <c r="C1719">
        <v>0.032428813994491</v>
      </c>
      <c r="D1719">
        <v>-0.005429413883338</v>
      </c>
      <c r="E1719">
        <v>0.336666127715385</v>
      </c>
      <c r="F1719">
        <v>0.387831708461498</v>
      </c>
      <c r="G1719">
        <v>0.195579141769995</v>
      </c>
      <c r="H1719">
        <v>0.270804530976695</v>
      </c>
      <c r="I1719">
        <v>1.510752282502074</v>
      </c>
    </row>
    <row r="1720" spans="1:9">
      <c r="A1720" s="1" t="s">
        <v>1732</v>
      </c>
      <c r="B1720">
        <f>HYPERLINK("https://www.suredividend.com/sure-analysis-research-database/","Landstar System, Inc.")</f>
        <v>0</v>
      </c>
      <c r="C1720">
        <v>-0.044343735658558</v>
      </c>
      <c r="D1720">
        <v>-0.169310720873143</v>
      </c>
      <c r="E1720">
        <v>-0.057936428946273</v>
      </c>
      <c r="F1720">
        <v>0.042118241854756</v>
      </c>
      <c r="G1720">
        <v>0.119438338831185</v>
      </c>
      <c r="H1720">
        <v>-0.036007791098565</v>
      </c>
      <c r="I1720">
        <v>0.7476883179011371</v>
      </c>
    </row>
    <row r="1721" spans="1:9">
      <c r="A1721" s="1" t="s">
        <v>1733</v>
      </c>
      <c r="B1721">
        <f>HYPERLINK("https://www.suredividend.com/sure-analysis-research-database/","Liberty Media Corp.")</f>
        <v>0</v>
      </c>
      <c r="C1721">
        <v>0.014240506329114</v>
      </c>
      <c r="D1721">
        <v>0.08644067796610101</v>
      </c>
      <c r="E1721">
        <v>0.08644067796610101</v>
      </c>
      <c r="F1721">
        <v>0.08644067796610101</v>
      </c>
      <c r="G1721">
        <v>0.08644067796610101</v>
      </c>
      <c r="H1721">
        <v>0.08644067796610101</v>
      </c>
      <c r="I1721">
        <v>0.08644067796610101</v>
      </c>
    </row>
    <row r="1722" spans="1:9">
      <c r="A1722" s="1" t="s">
        <v>1734</v>
      </c>
      <c r="B1722">
        <f>HYPERLINK("https://www.suredividend.com/sure-analysis-research-database/","Liberty Media Corp.")</f>
        <v>0</v>
      </c>
      <c r="C1722">
        <v>0.016982622432859</v>
      </c>
      <c r="D1722">
        <v>0.142920550377274</v>
      </c>
      <c r="E1722">
        <v>0.142920550377274</v>
      </c>
      <c r="F1722">
        <v>0.142920550377274</v>
      </c>
      <c r="G1722">
        <v>0.142920550377274</v>
      </c>
      <c r="H1722">
        <v>0.142920550377274</v>
      </c>
      <c r="I1722">
        <v>0.142920550377274</v>
      </c>
    </row>
    <row r="1723" spans="1:9">
      <c r="A1723" s="1" t="s">
        <v>1735</v>
      </c>
      <c r="B1723">
        <f>HYPERLINK("https://www.suredividend.com/sure-analysis-research-database/","Lightbridge Corp")</f>
        <v>0</v>
      </c>
      <c r="C1723">
        <v>-0.030023094688221</v>
      </c>
      <c r="D1723">
        <v>-0.317073170731707</v>
      </c>
      <c r="E1723">
        <v>0.183098591549296</v>
      </c>
      <c r="F1723">
        <v>0.07969151670951101</v>
      </c>
      <c r="G1723">
        <v>-0.124999999999999</v>
      </c>
      <c r="H1723">
        <v>-0.603024574669187</v>
      </c>
      <c r="I1723">
        <v>-0.611111111111111</v>
      </c>
    </row>
    <row r="1724" spans="1:9">
      <c r="A1724" s="1" t="s">
        <v>1736</v>
      </c>
      <c r="B1724">
        <f>HYPERLINK("https://www.suredividend.com/sure-analysis-LTC/","LTC Properties, Inc.")</f>
        <v>0</v>
      </c>
      <c r="C1724">
        <v>0.029963144884676</v>
      </c>
      <c r="D1724">
        <v>-0.021345293657103</v>
      </c>
      <c r="E1724">
        <v>0.03393884211673701</v>
      </c>
      <c r="F1724">
        <v>-0.039729873780308</v>
      </c>
      <c r="G1724">
        <v>-0.09951918512768601</v>
      </c>
      <c r="H1724">
        <v>0.116067566211357</v>
      </c>
      <c r="I1724">
        <v>0.027809824905823</v>
      </c>
    </row>
    <row r="1725" spans="1:9">
      <c r="A1725" s="1" t="s">
        <v>1737</v>
      </c>
      <c r="B1725">
        <f>HYPERLINK("https://www.suredividend.com/sure-analysis-research-database/","Livent Corp")</f>
        <v>0</v>
      </c>
      <c r="C1725">
        <v>-0.157683486238532</v>
      </c>
      <c r="D1725">
        <v>-0.374893617021276</v>
      </c>
      <c r="E1725">
        <v>-0.301141769743101</v>
      </c>
      <c r="F1725">
        <v>-0.260694514343231</v>
      </c>
      <c r="G1725">
        <v>-0.483292296869504</v>
      </c>
      <c r="H1725">
        <v>-0.5104965011662771</v>
      </c>
      <c r="I1725">
        <v>-0.12870699881376</v>
      </c>
    </row>
    <row r="1726" spans="1:9">
      <c r="A1726" s="1" t="s">
        <v>1738</v>
      </c>
      <c r="B1726">
        <f>HYPERLINK("https://www.suredividend.com/sure-analysis-research-database/","Liberty TripAdvisor Holdings Inc")</f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</row>
    <row r="1727" spans="1:9">
      <c r="A1727" s="1" t="s">
        <v>1739</v>
      </c>
      <c r="B1727">
        <f>HYPERLINK("https://www.suredividend.com/sure-analysis-research-database/","Lantronix Inc")</f>
        <v>0</v>
      </c>
      <c r="C1727">
        <v>-0.040178571428571</v>
      </c>
      <c r="D1727">
        <v>-0.009216589861751001</v>
      </c>
      <c r="E1727">
        <v>0.143617021276595</v>
      </c>
      <c r="F1727">
        <v>-0.004629629629629001</v>
      </c>
      <c r="G1727">
        <v>-0.118852459016393</v>
      </c>
      <c r="H1727">
        <v>-0.5435244161358811</v>
      </c>
      <c r="I1727">
        <v>0.122715404699738</v>
      </c>
    </row>
    <row r="1728" spans="1:9">
      <c r="A1728" s="1" t="s">
        <v>1740</v>
      </c>
      <c r="B1728">
        <f>HYPERLINK("https://www.suredividend.com/sure-analysis-research-database/","Luby`s, Inc.")</f>
        <v>0</v>
      </c>
      <c r="C1728">
        <v>-0.164319248826291</v>
      </c>
      <c r="D1728">
        <v>-0.221483554933519</v>
      </c>
      <c r="E1728">
        <v>-0.240549534943254</v>
      </c>
      <c r="F1728">
        <v>-0.240549534943254</v>
      </c>
      <c r="G1728">
        <v>-0.41135619564139</v>
      </c>
      <c r="H1728">
        <v>1.661881262150441</v>
      </c>
      <c r="I1728">
        <v>-0.117063492063492</v>
      </c>
    </row>
    <row r="1729" spans="1:9">
      <c r="A1729" s="1" t="s">
        <v>1741</v>
      </c>
      <c r="B1729">
        <f>HYPERLINK("https://www.suredividend.com/sure-analysis-research-database/","Lululemon Athletica inc.")</f>
        <v>0</v>
      </c>
      <c r="C1729">
        <v>0.05391004544742101</v>
      </c>
      <c r="D1729">
        <v>0.07128634010354401</v>
      </c>
      <c r="E1729">
        <v>0.05975049244911301</v>
      </c>
      <c r="F1729">
        <v>0.259441912728634</v>
      </c>
      <c r="G1729">
        <v>0.276656331076377</v>
      </c>
      <c r="H1729">
        <v>-0.131585743801652</v>
      </c>
      <c r="I1729">
        <v>1.841149133924799</v>
      </c>
    </row>
    <row r="1730" spans="1:9">
      <c r="A1730" s="1" t="s">
        <v>1742</v>
      </c>
      <c r="B1730">
        <f>HYPERLINK("https://www.suredividend.com/sure-analysis-research-database/","Luna Innovations Inc")</f>
        <v>0</v>
      </c>
      <c r="C1730">
        <v>-0.006802721088435001</v>
      </c>
      <c r="D1730">
        <v>-0.361050328227571</v>
      </c>
      <c r="E1730">
        <v>-0.06858054226475201</v>
      </c>
      <c r="F1730">
        <v>-0.33560864618885</v>
      </c>
      <c r="G1730">
        <v>0.09774436090225501</v>
      </c>
      <c r="H1730">
        <v>-0.3916666666666661</v>
      </c>
      <c r="I1730">
        <v>0.7643504531722051</v>
      </c>
    </row>
    <row r="1731" spans="1:9">
      <c r="A1731" s="1" t="s">
        <v>1743</v>
      </c>
      <c r="B1731">
        <f>HYPERLINK("https://www.suredividend.com/sure-analysis-research-database/","Southwest Airlines Co")</f>
        <v>0</v>
      </c>
      <c r="C1731">
        <v>-0.148216255976461</v>
      </c>
      <c r="D1731">
        <v>-0.301963904662013</v>
      </c>
      <c r="E1731">
        <v>-0.218407251668815</v>
      </c>
      <c r="F1731">
        <v>-0.297195762539563</v>
      </c>
      <c r="G1731">
        <v>-0.351685449873192</v>
      </c>
      <c r="H1731">
        <v>-0.516183616255896</v>
      </c>
      <c r="I1731">
        <v>-0.533964640875084</v>
      </c>
    </row>
    <row r="1732" spans="1:9">
      <c r="A1732" s="1" t="s">
        <v>1744</v>
      </c>
      <c r="B1732">
        <f>HYPERLINK("https://www.suredividend.com/sure-analysis-research-database/","Las Vegas Sands Corp")</f>
        <v>0</v>
      </c>
      <c r="C1732">
        <v>0.06542669584245001</v>
      </c>
      <c r="D1732">
        <v>-0.158334716229671</v>
      </c>
      <c r="E1732">
        <v>-0.232144884750766</v>
      </c>
      <c r="F1732">
        <v>0.016405693875889</v>
      </c>
      <c r="G1732">
        <v>0.279692600438391</v>
      </c>
      <c r="H1732">
        <v>0.200458585534831</v>
      </c>
      <c r="I1732">
        <v>-0.055080519016771</v>
      </c>
    </row>
    <row r="1733" spans="1:9">
      <c r="A1733" s="1" t="s">
        <v>1745</v>
      </c>
      <c r="B1733">
        <f>HYPERLINK("https://www.suredividend.com/sure-analysis-research-database/","Lamb Weston Holdings Inc")</f>
        <v>0</v>
      </c>
      <c r="C1733">
        <v>0.019184065447038</v>
      </c>
      <c r="D1733">
        <v>-0.079610590125678</v>
      </c>
      <c r="E1733">
        <v>-0.151909628735339</v>
      </c>
      <c r="F1733">
        <v>0.060436146942433</v>
      </c>
      <c r="G1733">
        <v>0.102829981064417</v>
      </c>
      <c r="H1733">
        <v>0.7001119377937911</v>
      </c>
      <c r="I1733">
        <v>0.29634061484532</v>
      </c>
    </row>
    <row r="1734" spans="1:9">
      <c r="A1734" s="1" t="s">
        <v>1746</v>
      </c>
      <c r="B1734">
        <f>HYPERLINK("https://www.suredividend.com/sure-analysis-research-database/","Lifeway Foods, Inc.")</f>
        <v>0</v>
      </c>
      <c r="C1734">
        <v>-0.04442429737080601</v>
      </c>
      <c r="D1734">
        <v>0.584962406015037</v>
      </c>
      <c r="E1734">
        <v>0.7364085667215811</v>
      </c>
      <c r="F1734">
        <v>0.899099099099099</v>
      </c>
      <c r="G1734">
        <v>0.8017094017094011</v>
      </c>
      <c r="H1734">
        <v>0.8017094017094011</v>
      </c>
      <c r="I1734">
        <v>2.319685039370078</v>
      </c>
    </row>
    <row r="1735" spans="1:9">
      <c r="A1735" s="1" t="s">
        <v>1747</v>
      </c>
      <c r="B1735">
        <f>HYPERLINK("https://www.suredividend.com/sure-analysis-LXP/","LXP Industrial Trust")</f>
        <v>0</v>
      </c>
      <c r="C1735">
        <v>-0.07069555302166401</v>
      </c>
      <c r="D1735">
        <v>-0.171074043938161</v>
      </c>
      <c r="E1735">
        <v>-0.100729347118472</v>
      </c>
      <c r="F1735">
        <v>-0.153932397641391</v>
      </c>
      <c r="G1735">
        <v>-0.104936576794245</v>
      </c>
      <c r="H1735">
        <v>-0.39350642585523</v>
      </c>
      <c r="I1735">
        <v>0.312378222572905</v>
      </c>
    </row>
    <row r="1736" spans="1:9">
      <c r="A1736" s="1" t="s">
        <v>1748</v>
      </c>
      <c r="B1736">
        <f>HYPERLINK("https://www.suredividend.com/sure-analysis-research-database/","Lexicon Pharmaceuticals Inc")</f>
        <v>0</v>
      </c>
      <c r="C1736">
        <v>0.372549019607842</v>
      </c>
      <c r="D1736">
        <v>-0.259259259259259</v>
      </c>
      <c r="E1736">
        <v>-0.411764705882352</v>
      </c>
      <c r="F1736">
        <v>-0.267015706806282</v>
      </c>
      <c r="G1736">
        <v>-0.33649289099526</v>
      </c>
      <c r="H1736">
        <v>-0.75</v>
      </c>
      <c r="I1736">
        <v>-0.8351001177856301</v>
      </c>
    </row>
    <row r="1737" spans="1:9">
      <c r="A1737" s="1" t="s">
        <v>1749</v>
      </c>
      <c r="B1737">
        <f>HYPERLINK("https://www.suredividend.com/sure-analysis-research-database/","LSB Industries, Inc.")</f>
        <v>0</v>
      </c>
      <c r="C1737">
        <v>-0.109126984126984</v>
      </c>
      <c r="D1737">
        <v>-0.173873045078196</v>
      </c>
      <c r="E1737">
        <v>0.018140589569161</v>
      </c>
      <c r="F1737">
        <v>-0.3248120300751881</v>
      </c>
      <c r="G1737">
        <v>-0.460336538461538</v>
      </c>
      <c r="H1737">
        <v>0.033371691599539</v>
      </c>
      <c r="I1737">
        <v>0.443010718130835</v>
      </c>
    </row>
    <row r="1738" spans="1:9">
      <c r="A1738" s="1" t="s">
        <v>1750</v>
      </c>
      <c r="B1738">
        <f>HYPERLINK("https://www.suredividend.com/sure-analysis-LYB/","LyondellBasell Industries NV")</f>
        <v>0</v>
      </c>
      <c r="C1738">
        <v>-0.015944355270198</v>
      </c>
      <c r="D1738">
        <v>-0.032837867826083</v>
      </c>
      <c r="E1738">
        <v>0.027708799449266</v>
      </c>
      <c r="F1738">
        <v>0.152025816602901</v>
      </c>
      <c r="G1738">
        <v>0.239931288714144</v>
      </c>
      <c r="H1738">
        <v>0.116588552417494</v>
      </c>
      <c r="I1738">
        <v>0.312810322035398</v>
      </c>
    </row>
    <row r="1739" spans="1:9">
      <c r="A1739" s="1" t="s">
        <v>1751</v>
      </c>
      <c r="B1739">
        <f>HYPERLINK("https://www.suredividend.com/sure-analysis-research-database/","Lyft Inc")</f>
        <v>0</v>
      </c>
      <c r="C1739">
        <v>-0.054234062797335</v>
      </c>
      <c r="D1739">
        <v>-0.151152860802732</v>
      </c>
      <c r="E1739">
        <v>-0.06578947368421001</v>
      </c>
      <c r="F1739">
        <v>-0.09800362976406501</v>
      </c>
      <c r="G1739">
        <v>-0.29</v>
      </c>
      <c r="H1739">
        <v>-0.780670785525154</v>
      </c>
      <c r="I1739">
        <v>-0.8730361476561501</v>
      </c>
    </row>
    <row r="1740" spans="1:9">
      <c r="A1740" s="1" t="s">
        <v>1752</v>
      </c>
      <c r="B1740">
        <f>HYPERLINK("https://www.suredividend.com/sure-analysis-research-database/","LSI Industries Inc.")</f>
        <v>0</v>
      </c>
      <c r="C1740">
        <v>-0.199367088607595</v>
      </c>
      <c r="D1740">
        <v>0.01617852609932</v>
      </c>
      <c r="E1740">
        <v>-0.034351145038167</v>
      </c>
      <c r="F1740">
        <v>0.048383086638709</v>
      </c>
      <c r="G1740">
        <v>0.454323883102251</v>
      </c>
      <c r="H1740">
        <v>0.579374492789812</v>
      </c>
      <c r="I1740">
        <v>2.330875770182737</v>
      </c>
    </row>
    <row r="1741" spans="1:9">
      <c r="A1741" s="1" t="s">
        <v>1753</v>
      </c>
      <c r="B1741">
        <f>HYPERLINK("https://www.suredividend.com/sure-analysis-research-database/","Live Nation Entertainment Inc")</f>
        <v>0</v>
      </c>
      <c r="C1741">
        <v>-0.023219997630612</v>
      </c>
      <c r="D1741">
        <v>-0.040944515528672</v>
      </c>
      <c r="E1741">
        <v>0.216974169741697</v>
      </c>
      <c r="F1741">
        <v>0.182248351018067</v>
      </c>
      <c r="G1741">
        <v>0.07384735608231301</v>
      </c>
      <c r="H1741">
        <v>-0.227851657613785</v>
      </c>
      <c r="I1741">
        <v>0.503190519598906</v>
      </c>
    </row>
    <row r="1742" spans="1:9">
      <c r="A1742" s="1" t="s">
        <v>1754</v>
      </c>
      <c r="B1742">
        <f>HYPERLINK("https://www.suredividend.com/sure-analysis-research-database/","La-Z-Boy Inc.")</f>
        <v>0</v>
      </c>
      <c r="C1742">
        <v>-0.038036410923277</v>
      </c>
      <c r="D1742">
        <v>-0.04985148912258101</v>
      </c>
      <c r="E1742">
        <v>0.076614649090571</v>
      </c>
      <c r="F1742">
        <v>0.320498745994769</v>
      </c>
      <c r="G1742">
        <v>0.272387177226892</v>
      </c>
      <c r="H1742">
        <v>-0.09497141773537901</v>
      </c>
      <c r="I1742">
        <v>0.115862672338371</v>
      </c>
    </row>
    <row r="1743" spans="1:9">
      <c r="A1743" s="1" t="s">
        <v>1755</v>
      </c>
      <c r="B1743">
        <f>HYPERLINK("https://www.suredividend.com/sure-analysis-M/","Macy`s Inc")</f>
        <v>0</v>
      </c>
      <c r="C1743">
        <v>0.08484848484848401</v>
      </c>
      <c r="D1743">
        <v>-0.205302213483858</v>
      </c>
      <c r="E1743">
        <v>-0.180804811872773</v>
      </c>
      <c r="F1743">
        <v>-0.372401702980215</v>
      </c>
      <c r="G1743">
        <v>-0.332875450561971</v>
      </c>
      <c r="H1743">
        <v>-0.530380942386399</v>
      </c>
      <c r="I1743">
        <v>-0.565344082366082</v>
      </c>
    </row>
    <row r="1744" spans="1:9">
      <c r="A1744" s="1" t="s">
        <v>1756</v>
      </c>
      <c r="B1744">
        <f>HYPERLINK("https://www.suredividend.com/sure-analysis-MA/","Mastercard Incorporated")</f>
        <v>0</v>
      </c>
      <c r="C1744">
        <v>-0.031843492032169</v>
      </c>
      <c r="D1744">
        <v>-0.01737143714017</v>
      </c>
      <c r="E1744">
        <v>0.02066044617389</v>
      </c>
      <c r="F1744">
        <v>0.107252680101799</v>
      </c>
      <c r="G1744">
        <v>0.203880453151562</v>
      </c>
      <c r="H1744">
        <v>0.17900884264334</v>
      </c>
      <c r="I1744">
        <v>0.9876251906783291</v>
      </c>
    </row>
    <row r="1745" spans="1:9">
      <c r="A1745" s="1" t="s">
        <v>1757</v>
      </c>
      <c r="B1745">
        <f>HYPERLINK("https://www.suredividend.com/sure-analysis-MAA/","Mid-America Apartment Communities, Inc.")</f>
        <v>0</v>
      </c>
      <c r="C1745">
        <v>-0.041201808046665</v>
      </c>
      <c r="D1745">
        <v>-0.167995591299705</v>
      </c>
      <c r="E1745">
        <v>-0.180084706930178</v>
      </c>
      <c r="F1745">
        <v>-0.201149794004059</v>
      </c>
      <c r="G1745">
        <v>-0.181440564303136</v>
      </c>
      <c r="H1745">
        <v>-0.367078326022261</v>
      </c>
      <c r="I1745">
        <v>0.465433460366685</v>
      </c>
    </row>
    <row r="1746" spans="1:9">
      <c r="A1746" s="1" t="s">
        <v>1758</v>
      </c>
      <c r="B1746">
        <f>HYPERLINK("https://www.suredividend.com/sure-analysis-MAC/","Macerich Co.")</f>
        <v>0</v>
      </c>
      <c r="C1746">
        <v>-0.035120147874306</v>
      </c>
      <c r="D1746">
        <v>-0.178987102862535</v>
      </c>
      <c r="E1746">
        <v>0.055921352064811</v>
      </c>
      <c r="F1746">
        <v>-0.030118355288827</v>
      </c>
      <c r="G1746">
        <v>-0.027607019112551</v>
      </c>
      <c r="H1746">
        <v>-0.460423288627025</v>
      </c>
      <c r="I1746">
        <v>-0.7198421025796531</v>
      </c>
    </row>
    <row r="1747" spans="1:9">
      <c r="A1747" s="1" t="s">
        <v>1759</v>
      </c>
      <c r="B1747">
        <f>HYPERLINK("https://www.suredividend.com/sure-analysis-research-database/","Merrimack Pharmaceuticals Inc")</f>
        <v>0</v>
      </c>
      <c r="C1747">
        <v>0.008156606851549</v>
      </c>
      <c r="D1747">
        <v>0.042158516020236</v>
      </c>
      <c r="E1747">
        <v>-0.03362001563721601</v>
      </c>
      <c r="F1747">
        <v>0.07853403141361201</v>
      </c>
      <c r="G1747">
        <v>2.244094488188976</v>
      </c>
      <c r="H1747">
        <v>1.580375782881002</v>
      </c>
      <c r="I1747">
        <v>3.229689959619464</v>
      </c>
    </row>
    <row r="1748" spans="1:9">
      <c r="A1748" s="1" t="s">
        <v>1760</v>
      </c>
      <c r="B1748">
        <f>HYPERLINK("https://www.suredividend.com/sure-analysis-MAN/","ManpowerGroup")</f>
        <v>0</v>
      </c>
      <c r="C1748">
        <v>0.0008291873963510001</v>
      </c>
      <c r="D1748">
        <v>-0.06578947368421001</v>
      </c>
      <c r="E1748">
        <v>-0.01098405857072</v>
      </c>
      <c r="F1748">
        <v>-0.111537498957203</v>
      </c>
      <c r="G1748">
        <v>-0.040901409644489</v>
      </c>
      <c r="H1748">
        <v>-0.238053153210024</v>
      </c>
      <c r="I1748">
        <v>0.02264591626504</v>
      </c>
    </row>
    <row r="1749" spans="1:9">
      <c r="A1749" s="1" t="s">
        <v>1761</v>
      </c>
      <c r="B1749">
        <f>HYPERLINK("https://www.suredividend.com/sure-analysis-research-database/","Manhattan Associates, Inc.")</f>
        <v>0</v>
      </c>
      <c r="C1749">
        <v>0.010208186663984</v>
      </c>
      <c r="D1749">
        <v>0.06822290758268601</v>
      </c>
      <c r="E1749">
        <v>0.1986276849642</v>
      </c>
      <c r="F1749">
        <v>0.6547775947281711</v>
      </c>
      <c r="G1749">
        <v>0.780466188070548</v>
      </c>
      <c r="H1749">
        <v>0.08536387703279401</v>
      </c>
      <c r="I1749">
        <v>3.098959396041624</v>
      </c>
    </row>
    <row r="1750" spans="1:9">
      <c r="A1750" s="1" t="s">
        <v>1762</v>
      </c>
      <c r="B1750">
        <f>HYPERLINK("https://www.suredividend.com/sure-analysis-research-database/","Mantech International Corp")</f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</row>
    <row r="1751" spans="1:9">
      <c r="A1751" s="1" t="s">
        <v>1763</v>
      </c>
      <c r="B1751">
        <f>HYPERLINK("https://www.suredividend.com/sure-analysis-MAR/","Marriott International, Inc.")</f>
        <v>0</v>
      </c>
      <c r="C1751">
        <v>-0.041548387096774</v>
      </c>
      <c r="D1751">
        <v>-0.08520500127342201</v>
      </c>
      <c r="E1751">
        <v>0.045558067322228</v>
      </c>
      <c r="F1751">
        <v>0.257210171419286</v>
      </c>
      <c r="G1751">
        <v>0.22657405383055</v>
      </c>
      <c r="H1751">
        <v>0.176676336069406</v>
      </c>
      <c r="I1751">
        <v>0.5916742664755851</v>
      </c>
    </row>
    <row r="1752" spans="1:9">
      <c r="A1752" s="1" t="s">
        <v>1764</v>
      </c>
      <c r="B1752">
        <f>HYPERLINK("https://www.suredividend.com/sure-analysis-research-database/","Marathon Digital Holdings Inc")</f>
        <v>0</v>
      </c>
      <c r="C1752">
        <v>0.155920281359906</v>
      </c>
      <c r="D1752">
        <v>-0.401699029126213</v>
      </c>
      <c r="E1752">
        <v>0.032460732984292</v>
      </c>
      <c r="F1752">
        <v>1.883040935672514</v>
      </c>
      <c r="G1752">
        <v>-0.09665597801191</v>
      </c>
      <c r="H1752">
        <v>-0.844332175560467</v>
      </c>
      <c r="I1752">
        <v>2.729198184568834</v>
      </c>
    </row>
    <row r="1753" spans="1:9">
      <c r="A1753" s="1" t="s">
        <v>1765</v>
      </c>
      <c r="B1753">
        <f>HYPERLINK("https://www.suredividend.com/sure-analysis-research-database/","Remark Holdings Inc")</f>
        <v>0</v>
      </c>
      <c r="C1753">
        <v>-0.07815631262525001</v>
      </c>
      <c r="D1753">
        <v>-0.5152281589208551</v>
      </c>
      <c r="E1753">
        <v>-0.557692307692307</v>
      </c>
      <c r="F1753">
        <v>-0.581818181818181</v>
      </c>
      <c r="G1753">
        <v>-0.8301956441491321</v>
      </c>
      <c r="H1753">
        <v>-0.977114427860696</v>
      </c>
      <c r="I1753">
        <v>-0.9818897637795271</v>
      </c>
    </row>
    <row r="1754" spans="1:9">
      <c r="A1754" s="1" t="s">
        <v>1766</v>
      </c>
      <c r="B1754">
        <f>HYPERLINK("https://www.suredividend.com/sure-analysis-research-database/","Masco Corp.")</f>
        <v>0</v>
      </c>
      <c r="C1754">
        <v>0.024534043362495</v>
      </c>
      <c r="D1754">
        <v>-0.105880244053033</v>
      </c>
      <c r="E1754">
        <v>0.020787144941541</v>
      </c>
      <c r="F1754">
        <v>0.172784945159731</v>
      </c>
      <c r="G1754">
        <v>0.24824187206158</v>
      </c>
      <c r="H1754">
        <v>-0.12426581873099</v>
      </c>
      <c r="I1754">
        <v>0.861173779803137</v>
      </c>
    </row>
    <row r="1755" spans="1:9">
      <c r="A1755" s="1" t="s">
        <v>1767</v>
      </c>
      <c r="B1755">
        <f>HYPERLINK("https://www.suredividend.com/sure-analysis-research-database/","Masimo Corp")</f>
        <v>0</v>
      </c>
      <c r="C1755">
        <v>-0.095086079124387</v>
      </c>
      <c r="D1755">
        <v>-0.33592704149933</v>
      </c>
      <c r="E1755">
        <v>-0.5670884695101991</v>
      </c>
      <c r="F1755">
        <v>-0.463534978033119</v>
      </c>
      <c r="G1755">
        <v>-0.374053627760252</v>
      </c>
      <c r="H1755">
        <v>-0.7262914683771291</v>
      </c>
      <c r="I1755">
        <v>-0.287202514593623</v>
      </c>
    </row>
    <row r="1756" spans="1:9">
      <c r="A1756" s="1" t="s">
        <v>1768</v>
      </c>
      <c r="B1756">
        <f>HYPERLINK("https://www.suredividend.com/sure-analysis-research-database/","Mattel, Inc.")</f>
        <v>0</v>
      </c>
      <c r="C1756">
        <v>-0.108815426997245</v>
      </c>
      <c r="D1756">
        <v>-0.08658823529411701</v>
      </c>
      <c r="E1756">
        <v>0.092290377039955</v>
      </c>
      <c r="F1756">
        <v>0.088004484304932</v>
      </c>
      <c r="G1756">
        <v>0.074750830564784</v>
      </c>
      <c r="H1756">
        <v>-0.08658823529411701</v>
      </c>
      <c r="I1756">
        <v>0.34139599170698</v>
      </c>
    </row>
    <row r="1757" spans="1:9">
      <c r="A1757" s="1" t="s">
        <v>1769</v>
      </c>
      <c r="B1757">
        <f>HYPERLINK("https://www.suredividend.com/sure-analysis-MATW/","Matthews International Corp.")</f>
        <v>0</v>
      </c>
      <c r="C1757">
        <v>-0.069135163127912</v>
      </c>
      <c r="D1757">
        <v>-0.197033827323185</v>
      </c>
      <c r="E1757">
        <v>-0.05614059960670301</v>
      </c>
      <c r="F1757">
        <v>0.215364643200043</v>
      </c>
      <c r="G1757">
        <v>0.409361768856829</v>
      </c>
      <c r="H1757">
        <v>0.026477113415013</v>
      </c>
      <c r="I1757">
        <v>-0.073689960551302</v>
      </c>
    </row>
    <row r="1758" spans="1:9">
      <c r="A1758" s="1" t="s">
        <v>1770</v>
      </c>
      <c r="B1758">
        <f>HYPERLINK("https://www.suredividend.com/sure-analysis-research-database/","Matson Inc")</f>
        <v>0</v>
      </c>
      <c r="C1758">
        <v>0.017298281552293</v>
      </c>
      <c r="D1758">
        <v>-0.05377368476765101</v>
      </c>
      <c r="E1758">
        <v>0.398764442997884</v>
      </c>
      <c r="F1758">
        <v>0.448199997083834</v>
      </c>
      <c r="G1758">
        <v>0.278792135836079</v>
      </c>
      <c r="H1758">
        <v>0.108168886971484</v>
      </c>
      <c r="I1758">
        <v>1.735086146493404</v>
      </c>
    </row>
    <row r="1759" spans="1:9">
      <c r="A1759" s="1" t="s">
        <v>1771</v>
      </c>
      <c r="B1759">
        <f>HYPERLINK("https://www.suredividend.com/sure-analysis-research-database/","J.W. Mays Inc.")</f>
        <v>0</v>
      </c>
      <c r="C1759">
        <v>0.023435820253709</v>
      </c>
      <c r="D1759">
        <v>0.057777777777777</v>
      </c>
      <c r="E1759">
        <v>0.075706214689265</v>
      </c>
      <c r="F1759">
        <v>-0.01039501039501</v>
      </c>
      <c r="G1759">
        <v>0.028744326777609</v>
      </c>
      <c r="H1759">
        <v>0.349053395306654</v>
      </c>
      <c r="I1759">
        <v>0.197484276729559</v>
      </c>
    </row>
    <row r="1760" spans="1:9">
      <c r="A1760" s="1" t="s">
        <v>1772</v>
      </c>
      <c r="B1760">
        <f>HYPERLINK("https://www.suredividend.com/sure-analysis-research-database/","Middlefield Banc Corp.")</f>
        <v>0</v>
      </c>
      <c r="C1760">
        <v>0.053870710295291</v>
      </c>
      <c r="D1760">
        <v>-0.08904334028939501</v>
      </c>
      <c r="E1760">
        <v>0.046015161476857</v>
      </c>
      <c r="F1760">
        <v>0.00117138188945</v>
      </c>
      <c r="G1760">
        <v>-0.05285506279631901</v>
      </c>
      <c r="H1760">
        <v>0.09098870593289601</v>
      </c>
      <c r="I1760">
        <v>0.331142484160866</v>
      </c>
    </row>
    <row r="1761" spans="1:9">
      <c r="A1761" s="1" t="s">
        <v>1773</v>
      </c>
      <c r="B1761">
        <f>HYPERLINK("https://www.suredividend.com/sure-analysis-research-database/","MBIA Inc.")</f>
        <v>0</v>
      </c>
      <c r="C1761">
        <v>0.028368794326241</v>
      </c>
      <c r="D1761">
        <v>-0.173318129988597</v>
      </c>
      <c r="E1761">
        <v>-0.227078891257995</v>
      </c>
      <c r="F1761">
        <v>-0.435797665369649</v>
      </c>
      <c r="G1761">
        <v>-0.273547094188376</v>
      </c>
      <c r="H1761">
        <v>-0.526762402088772</v>
      </c>
      <c r="I1761">
        <v>-0.294060370009737</v>
      </c>
    </row>
    <row r="1762" spans="1:9">
      <c r="A1762" s="1" t="s">
        <v>1774</v>
      </c>
      <c r="B1762">
        <f>HYPERLINK("https://www.suredividend.com/sure-analysis-research-database/","Pro Farm Group Inc")</f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</row>
    <row r="1763" spans="1:9">
      <c r="A1763" s="1" t="s">
        <v>1775</v>
      </c>
      <c r="B1763">
        <f>HYPERLINK("https://www.suredividend.com/sure-analysis-research-database/","Merchants Bancorp")</f>
        <v>0</v>
      </c>
      <c r="C1763">
        <v>0.152269399707174</v>
      </c>
      <c r="D1763">
        <v>0.0164511389871</v>
      </c>
      <c r="E1763">
        <v>0.384831954953369</v>
      </c>
      <c r="F1763">
        <v>0.3136864595982991</v>
      </c>
      <c r="G1763">
        <v>0.34671492252539</v>
      </c>
      <c r="H1763">
        <v>0.045187423221222</v>
      </c>
      <c r="I1763">
        <v>1.27988730925498</v>
      </c>
    </row>
    <row r="1764" spans="1:9">
      <c r="A1764" s="1" t="s">
        <v>1776</v>
      </c>
      <c r="B1764">
        <f>HYPERLINK("https://www.suredividend.com/sure-analysis-research-database/","Mustang Bio Inc")</f>
        <v>0</v>
      </c>
      <c r="C1764">
        <v>-0.2</v>
      </c>
      <c r="D1764">
        <v>-0.6774193548387091</v>
      </c>
      <c r="E1764">
        <v>-0.6009975062344141</v>
      </c>
      <c r="F1764">
        <v>-0.7298894234827381</v>
      </c>
      <c r="G1764">
        <v>-0.802469135802469</v>
      </c>
      <c r="H1764">
        <v>-0.9553695955369591</v>
      </c>
      <c r="I1764">
        <v>-0.977060931899641</v>
      </c>
    </row>
    <row r="1765" spans="1:9">
      <c r="A1765" s="1" t="s">
        <v>1777</v>
      </c>
      <c r="B1765">
        <f>HYPERLINK("https://www.suredividend.com/sure-analysis-research-database/","Microbot Medical Inc")</f>
        <v>0</v>
      </c>
      <c r="C1765">
        <v>-0.051470588235294</v>
      </c>
      <c r="D1765">
        <v>-0.451063829787234</v>
      </c>
      <c r="E1765">
        <v>-0.022727272727272</v>
      </c>
      <c r="F1765">
        <v>-0.5714285714285711</v>
      </c>
      <c r="G1765">
        <v>-0.6485013623978201</v>
      </c>
      <c r="H1765">
        <v>-0.825675675675675</v>
      </c>
      <c r="I1765">
        <v>-0.725531914893617</v>
      </c>
    </row>
    <row r="1766" spans="1:9">
      <c r="A1766" s="1" t="s">
        <v>1778</v>
      </c>
      <c r="B1766">
        <f>HYPERLINK("https://www.suredividend.com/sure-analysis-research-database/","Malibu Boats Inc")</f>
        <v>0</v>
      </c>
      <c r="C1766">
        <v>-0.107468123861566</v>
      </c>
      <c r="D1766">
        <v>-0.262911582817984</v>
      </c>
      <c r="E1766">
        <v>-0.220848056537102</v>
      </c>
      <c r="F1766">
        <v>-0.172607879924953</v>
      </c>
      <c r="G1766">
        <v>-0.139344262295082</v>
      </c>
      <c r="H1766">
        <v>-0.388519134775374</v>
      </c>
      <c r="I1766">
        <v>0.040339702760084</v>
      </c>
    </row>
    <row r="1767" spans="1:9">
      <c r="A1767" s="1" t="s">
        <v>1779</v>
      </c>
      <c r="B1767">
        <f>HYPERLINK("https://www.suredividend.com/sure-analysis-research-database/","Mercantile Bank Corp.")</f>
        <v>0</v>
      </c>
      <c r="C1767">
        <v>0.09217786432976301</v>
      </c>
      <c r="D1767">
        <v>-0.025693885469085</v>
      </c>
      <c r="E1767">
        <v>0.342305973959663</v>
      </c>
      <c r="F1767">
        <v>0.062093824074336</v>
      </c>
      <c r="G1767">
        <v>0.05091881222751</v>
      </c>
      <c r="H1767">
        <v>0.05516655325847301</v>
      </c>
      <c r="I1767">
        <v>0.316582285414694</v>
      </c>
    </row>
    <row r="1768" spans="1:9">
      <c r="A1768" s="1" t="s">
        <v>1780</v>
      </c>
      <c r="B1768">
        <f>HYPERLINK("https://www.suredividend.com/sure-analysis-research-database/","Moelis &amp; Co")</f>
        <v>0</v>
      </c>
      <c r="C1768">
        <v>-0.006581933726736</v>
      </c>
      <c r="D1768">
        <v>-0.07475325696577401</v>
      </c>
      <c r="E1768">
        <v>0.228317819167595</v>
      </c>
      <c r="F1768">
        <v>0.190557143750867</v>
      </c>
      <c r="G1768">
        <v>0.093042188381838</v>
      </c>
      <c r="H1768">
        <v>-0.342780951008126</v>
      </c>
      <c r="I1768">
        <v>0.4838847472107241</v>
      </c>
    </row>
    <row r="1769" spans="1:9">
      <c r="A1769" s="1" t="s">
        <v>1781</v>
      </c>
      <c r="B1769">
        <f>HYPERLINK("https://www.suredividend.com/sure-analysis-research-database/","Metropolitan Bank Holding Corp")</f>
        <v>0</v>
      </c>
      <c r="C1769">
        <v>0.00256264236902</v>
      </c>
      <c r="D1769">
        <v>-0.2414907367514</v>
      </c>
      <c r="E1769">
        <v>0.657721280602636</v>
      </c>
      <c r="F1769">
        <v>-0.39986364411113</v>
      </c>
      <c r="G1769">
        <v>-0.4695691473335341</v>
      </c>
      <c r="H1769">
        <v>-0.623623730625334</v>
      </c>
      <c r="I1769">
        <v>-0.074638633377135</v>
      </c>
    </row>
    <row r="1770" spans="1:9">
      <c r="A1770" s="1" t="s">
        <v>1782</v>
      </c>
      <c r="B1770">
        <f>HYPERLINK("https://www.suredividend.com/sure-analysis-research-database/","Macatawa Bank Corp.")</f>
        <v>0</v>
      </c>
      <c r="C1770">
        <v>0.037988826815642</v>
      </c>
      <c r="D1770">
        <v>-0.025929770480115</v>
      </c>
      <c r="E1770">
        <v>0.040115543513552</v>
      </c>
      <c r="F1770">
        <v>-0.128787523562124</v>
      </c>
      <c r="G1770">
        <v>-0.163545343225527</v>
      </c>
      <c r="H1770">
        <v>0.174997470403723</v>
      </c>
      <c r="I1770">
        <v>0.031328404271853</v>
      </c>
    </row>
    <row r="1771" spans="1:9">
      <c r="A1771" s="1" t="s">
        <v>1783</v>
      </c>
      <c r="B1771">
        <f>HYPERLINK("https://www.suredividend.com/sure-analysis-MCD/","McDonald`s Corp")</f>
        <v>0</v>
      </c>
      <c r="C1771">
        <v>0.035305528612997</v>
      </c>
      <c r="D1771">
        <v>-0.073666510223861</v>
      </c>
      <c r="E1771">
        <v>-0.095149513106683</v>
      </c>
      <c r="F1771">
        <v>0.029355434869401</v>
      </c>
      <c r="G1771">
        <v>0.008964794936460001</v>
      </c>
      <c r="H1771">
        <v>0.118917654201822</v>
      </c>
      <c r="I1771">
        <v>0.695180123608075</v>
      </c>
    </row>
    <row r="1772" spans="1:9">
      <c r="A1772" s="1" t="s">
        <v>1784</v>
      </c>
      <c r="B1772">
        <f>HYPERLINK("https://www.suredividend.com/sure-analysis-research-database/","Contango Oil &amp; Gas Company")</f>
        <v>0</v>
      </c>
      <c r="C1772">
        <v>-0.21654501216545</v>
      </c>
      <c r="D1772">
        <v>-0.125</v>
      </c>
      <c r="E1772">
        <v>-0.427046263345195</v>
      </c>
      <c r="F1772">
        <v>0.406113537117904</v>
      </c>
      <c r="G1772">
        <v>1</v>
      </c>
      <c r="H1772">
        <v>0.032051282051282</v>
      </c>
      <c r="I1772">
        <v>-0.655246252676659</v>
      </c>
    </row>
    <row r="1773" spans="1:9">
      <c r="A1773" s="1" t="s">
        <v>1785</v>
      </c>
      <c r="B1773">
        <f>HYPERLINK("https://www.suredividend.com/sure-analysis-research-database/","MasterCraft Boat Holdings Inc")</f>
        <v>0</v>
      </c>
      <c r="C1773">
        <v>-0.052395879982086</v>
      </c>
      <c r="D1773">
        <v>-0.310299869621903</v>
      </c>
      <c r="E1773">
        <v>-0.290409121395036</v>
      </c>
      <c r="F1773">
        <v>-0.18206416698879</v>
      </c>
      <c r="G1773">
        <v>0.00522565320665</v>
      </c>
      <c r="H1773">
        <v>-0.213967310549777</v>
      </c>
      <c r="I1773">
        <v>-0.319832851173256</v>
      </c>
    </row>
    <row r="1774" spans="1:9">
      <c r="A1774" s="1" t="s">
        <v>1786</v>
      </c>
      <c r="B1774">
        <f>HYPERLINK("https://www.suredividend.com/sure-analysis-MCHP/","Microchip Technology, Inc.")</f>
        <v>0</v>
      </c>
      <c r="C1774">
        <v>-0.060865126961847</v>
      </c>
      <c r="D1774">
        <v>-0.176182726253131</v>
      </c>
      <c r="E1774">
        <v>-0.013414083245867</v>
      </c>
      <c r="F1774">
        <v>0.07356549187095</v>
      </c>
      <c r="G1774">
        <v>0.249223478612139</v>
      </c>
      <c r="H1774">
        <v>-0.024131530098117</v>
      </c>
      <c r="I1774">
        <v>3.606247222795916</v>
      </c>
    </row>
    <row r="1775" spans="1:9">
      <c r="A1775" s="1" t="s">
        <v>1787</v>
      </c>
      <c r="B1775">
        <f>HYPERLINK("https://www.suredividend.com/sure-analysis-research-database/","Marchex Inc")</f>
        <v>0</v>
      </c>
      <c r="C1775">
        <v>-0.02127659574468</v>
      </c>
      <c r="D1775">
        <v>-0.323529411764705</v>
      </c>
      <c r="E1775">
        <v>-0.241758241758241</v>
      </c>
      <c r="F1775">
        <v>-0.1375</v>
      </c>
      <c r="G1775">
        <v>-0.16867469879518</v>
      </c>
      <c r="H1775">
        <v>-0.6034482758620691</v>
      </c>
      <c r="I1775">
        <v>-0.5106382978723401</v>
      </c>
    </row>
    <row r="1776" spans="1:9">
      <c r="A1776" s="1" t="s">
        <v>1788</v>
      </c>
      <c r="B1776">
        <f>HYPERLINK("https://www.suredividend.com/sure-analysis-MCK/","Mckesson Corporation")</f>
        <v>0</v>
      </c>
      <c r="C1776">
        <v>0.023272827031228</v>
      </c>
      <c r="D1776">
        <v>0.08518956268751701</v>
      </c>
      <c r="E1776">
        <v>0.243462515272419</v>
      </c>
      <c r="F1776">
        <v>0.198478286015397</v>
      </c>
      <c r="G1776">
        <v>0.15500646014002</v>
      </c>
      <c r="H1776">
        <v>1.070243989077104</v>
      </c>
      <c r="I1776">
        <v>2.733540641041254</v>
      </c>
    </row>
    <row r="1777" spans="1:9">
      <c r="A1777" s="1" t="s">
        <v>1789</v>
      </c>
      <c r="B1777">
        <f>HYPERLINK("https://www.suredividend.com/sure-analysis-MCO/","Moody`s Corp.")</f>
        <v>0</v>
      </c>
      <c r="C1777">
        <v>0.033552589969008</v>
      </c>
      <c r="D1777">
        <v>-0.046786861215515</v>
      </c>
      <c r="E1777">
        <v>0.0740356009463</v>
      </c>
      <c r="F1777">
        <v>0.181785540076678</v>
      </c>
      <c r="G1777">
        <v>0.288745059705453</v>
      </c>
      <c r="H1777">
        <v>-0.14569503014233</v>
      </c>
      <c r="I1777">
        <v>1.294748401266068</v>
      </c>
    </row>
    <row r="1778" spans="1:9">
      <c r="A1778" s="1" t="s">
        <v>1790</v>
      </c>
      <c r="B1778">
        <f>HYPERLINK("https://www.suredividend.com/sure-analysis-research-database/","Seres Therapeutics Inc")</f>
        <v>0</v>
      </c>
      <c r="C1778">
        <v>-0.5663255813953481</v>
      </c>
      <c r="D1778">
        <v>-0.8077525773195871</v>
      </c>
      <c r="E1778">
        <v>-0.8003426124197001</v>
      </c>
      <c r="F1778">
        <v>-0.8335</v>
      </c>
      <c r="G1778">
        <v>-0.8861538461538461</v>
      </c>
      <c r="H1778">
        <v>-0.8610432190760061</v>
      </c>
      <c r="I1778">
        <v>-0.871923076923076</v>
      </c>
    </row>
    <row r="1779" spans="1:9">
      <c r="A1779" s="1" t="s">
        <v>1791</v>
      </c>
      <c r="B1779">
        <f>HYPERLINK("https://www.suredividend.com/sure-analysis-research-database/","Monarch Casino &amp; Resort, Inc.")</f>
        <v>0</v>
      </c>
      <c r="C1779">
        <v>-0.028056751155746</v>
      </c>
      <c r="D1779">
        <v>-0.101205419597171</v>
      </c>
      <c r="E1779">
        <v>-0.114236859194604</v>
      </c>
      <c r="F1779">
        <v>-0.137711576755973</v>
      </c>
      <c r="G1779">
        <v>-0.158613209096416</v>
      </c>
      <c r="H1779">
        <v>-0.06380469648508301</v>
      </c>
      <c r="I1779">
        <v>0.6386877596985481</v>
      </c>
    </row>
    <row r="1780" spans="1:9">
      <c r="A1780" s="1" t="s">
        <v>1792</v>
      </c>
      <c r="B1780">
        <f>HYPERLINK("https://www.suredividend.com/sure-analysis-research-database/","Marcus Corp.")</f>
        <v>0</v>
      </c>
      <c r="C1780">
        <v>-0.019230769230769</v>
      </c>
      <c r="D1780">
        <v>-0.043642409771099</v>
      </c>
      <c r="E1780">
        <v>-0.122419598148477</v>
      </c>
      <c r="F1780">
        <v>0.07498928523751601</v>
      </c>
      <c r="G1780">
        <v>0.07097108378073801</v>
      </c>
      <c r="H1780">
        <v>-0.194783459904952</v>
      </c>
      <c r="I1780">
        <v>-0.593047225140638</v>
      </c>
    </row>
    <row r="1781" spans="1:9">
      <c r="A1781" s="1" t="s">
        <v>1793</v>
      </c>
      <c r="B1781">
        <f>HYPERLINK("https://www.suredividend.com/sure-analysis-MCY/","Mercury General Corp.")</f>
        <v>0</v>
      </c>
      <c r="C1781">
        <v>0.331294964028776</v>
      </c>
      <c r="D1781">
        <v>0.228388689928938</v>
      </c>
      <c r="E1781">
        <v>0.283358300044385</v>
      </c>
      <c r="F1781">
        <v>0.11775205293693</v>
      </c>
      <c r="G1781">
        <v>0.166768074501656</v>
      </c>
      <c r="H1781">
        <v>-0.266799135452966</v>
      </c>
      <c r="I1781">
        <v>-0.219499644651959</v>
      </c>
    </row>
    <row r="1782" spans="1:9">
      <c r="A1782" s="1" t="s">
        <v>1794</v>
      </c>
      <c r="B1782">
        <f>HYPERLINK("https://www.suredividend.com/sure-analysis-research-database/","Pediatrix Medical Group Inc")</f>
        <v>0</v>
      </c>
      <c r="C1782">
        <v>-0.227946916471506</v>
      </c>
      <c r="D1782">
        <v>-0.283852280955829</v>
      </c>
      <c r="E1782">
        <v>-0.329036635006784</v>
      </c>
      <c r="F1782">
        <v>-0.334454912516823</v>
      </c>
      <c r="G1782">
        <v>-0.4691358024691351</v>
      </c>
      <c r="H1782">
        <v>-0.62889305816135</v>
      </c>
      <c r="I1782">
        <v>-0.747961264016309</v>
      </c>
    </row>
    <row r="1783" spans="1:9">
      <c r="A1783" s="1" t="s">
        <v>1795</v>
      </c>
      <c r="B1783">
        <f>HYPERLINK("https://www.suredividend.com/sure-analysis-research-database/","MongoDB Inc")</f>
        <v>0</v>
      </c>
      <c r="C1783">
        <v>-0.05750913127551301</v>
      </c>
      <c r="D1783">
        <v>-0.174900937954556</v>
      </c>
      <c r="E1783">
        <v>0.509243543281801</v>
      </c>
      <c r="F1783">
        <v>0.671408250355618</v>
      </c>
      <c r="G1783">
        <v>1.015684352407793</v>
      </c>
      <c r="H1783">
        <v>-0.365305964966432</v>
      </c>
      <c r="I1783">
        <v>3.128497929476722</v>
      </c>
    </row>
    <row r="1784" spans="1:9">
      <c r="A1784" s="1" t="s">
        <v>1796</v>
      </c>
      <c r="B1784">
        <f>HYPERLINK("https://www.suredividend.com/sure-analysis-MDC/","M.D.C. Holdings, Inc.")</f>
        <v>0</v>
      </c>
      <c r="C1784">
        <v>0.000730994152046</v>
      </c>
      <c r="D1784">
        <v>-0.193176080922062</v>
      </c>
      <c r="E1784">
        <v>0.036027627403397</v>
      </c>
      <c r="F1784">
        <v>0.346866493949431</v>
      </c>
      <c r="G1784">
        <v>0.4673307228399121</v>
      </c>
      <c r="H1784">
        <v>-0.064051084078157</v>
      </c>
      <c r="I1784">
        <v>0.9893918477076211</v>
      </c>
    </row>
    <row r="1785" spans="1:9">
      <c r="A1785" s="1" t="s">
        <v>1797</v>
      </c>
      <c r="B1785">
        <f>HYPERLINK("https://www.suredividend.com/sure-analysis-research-database/","Madrigal Pharmaceuticals Inc")</f>
        <v>0</v>
      </c>
      <c r="C1785">
        <v>-0.041573660714285</v>
      </c>
      <c r="D1785">
        <v>-0.307703935103542</v>
      </c>
      <c r="E1785">
        <v>-0.546534653465346</v>
      </c>
      <c r="F1785">
        <v>-0.526614987080103</v>
      </c>
      <c r="G1785">
        <v>0.932761288507525</v>
      </c>
      <c r="H1785">
        <v>0.616470588235294</v>
      </c>
      <c r="I1785">
        <v>-0.329756097560975</v>
      </c>
    </row>
    <row r="1786" spans="1:9">
      <c r="A1786" s="1" t="s">
        <v>1798</v>
      </c>
      <c r="B1786">
        <f>HYPERLINK("https://www.suredividend.com/sure-analysis-research-database/","Medley Management Inc")</f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</row>
    <row r="1787" spans="1:9">
      <c r="A1787" s="1" t="s">
        <v>1799</v>
      </c>
      <c r="B1787">
        <f>HYPERLINK("https://www.suredividend.com/sure-analysis-MDLZ/","Mondelez International Inc.")</f>
        <v>0</v>
      </c>
      <c r="C1787">
        <v>-0.007592349248065001</v>
      </c>
      <c r="D1787">
        <v>-0.092432486564075</v>
      </c>
      <c r="E1787">
        <v>-0.109404256043983</v>
      </c>
      <c r="F1787">
        <v>0.042617388409874</v>
      </c>
      <c r="G1787">
        <v>0.116860368628005</v>
      </c>
      <c r="H1787">
        <v>0.165782224951204</v>
      </c>
      <c r="I1787">
        <v>0.8196177116239221</v>
      </c>
    </row>
    <row r="1788" spans="1:9">
      <c r="A1788" s="1" t="s">
        <v>1800</v>
      </c>
      <c r="B1788">
        <f>HYPERLINK("https://www.suredividend.com/sure-analysis-research-database/","Meredith Holdings Corp")</f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</row>
    <row r="1789" spans="1:9">
      <c r="A1789" s="1" t="s">
        <v>1801</v>
      </c>
      <c r="B1789">
        <f>HYPERLINK("https://www.suredividend.com/sure-analysis-research-database/","Veradigm Inc")</f>
        <v>0</v>
      </c>
      <c r="C1789">
        <v>-0.012839879154078</v>
      </c>
      <c r="D1789">
        <v>-0.017293233082706</v>
      </c>
      <c r="E1789">
        <v>0.07572016460905301</v>
      </c>
      <c r="F1789">
        <v>-0.25907029478458</v>
      </c>
      <c r="G1789">
        <v>-0.083450210378681</v>
      </c>
      <c r="H1789">
        <v>-0.059035277177825</v>
      </c>
      <c r="I1789">
        <v>0.339139344262295</v>
      </c>
    </row>
    <row r="1790" spans="1:9">
      <c r="A1790" s="1" t="s">
        <v>1802</v>
      </c>
      <c r="B1790">
        <f>HYPERLINK("https://www.suredividend.com/sure-analysis-MDT/","Medtronic Plc")</f>
        <v>0</v>
      </c>
      <c r="C1790">
        <v>-0.073035875016072</v>
      </c>
      <c r="D1790">
        <v>-0.149243004473879</v>
      </c>
      <c r="E1790">
        <v>-0.187872957149568</v>
      </c>
      <c r="F1790">
        <v>-0.049062517313156</v>
      </c>
      <c r="G1790">
        <v>-0.130749335310821</v>
      </c>
      <c r="H1790">
        <v>-0.367889413528692</v>
      </c>
      <c r="I1790">
        <v>-0.105185678005863</v>
      </c>
    </row>
    <row r="1791" spans="1:9">
      <c r="A1791" s="1" t="s">
        <v>1803</v>
      </c>
      <c r="B1791">
        <f>HYPERLINK("https://www.suredividend.com/sure-analysis-MDU/","MDU Resources Group Inc")</f>
        <v>0</v>
      </c>
      <c r="C1791">
        <v>0.006966773847802</v>
      </c>
      <c r="D1791">
        <v>-0.150880300784498</v>
      </c>
      <c r="E1791">
        <v>-0.03987654825655</v>
      </c>
      <c r="F1791">
        <v>-0.085858291007453</v>
      </c>
      <c r="G1791">
        <v>-0.002579809539987</v>
      </c>
      <c r="H1791">
        <v>-0.066627589872487</v>
      </c>
      <c r="I1791">
        <v>0.308760125652116</v>
      </c>
    </row>
    <row r="1792" spans="1:9">
      <c r="A1792" s="1" t="s">
        <v>1804</v>
      </c>
      <c r="B1792">
        <f>HYPERLINK("https://www.suredividend.com/sure-analysis-MED/","Medifast Inc")</f>
        <v>0</v>
      </c>
      <c r="C1792">
        <v>-0.09008057059833501</v>
      </c>
      <c r="D1792">
        <v>-0.305492546823049</v>
      </c>
      <c r="E1792">
        <v>-0.187179883498536</v>
      </c>
      <c r="F1792">
        <v>-0.368067455061147</v>
      </c>
      <c r="G1792">
        <v>-0.334980196136919</v>
      </c>
      <c r="H1792">
        <v>-0.6377453658593011</v>
      </c>
      <c r="I1792">
        <v>-0.60223519684421</v>
      </c>
    </row>
    <row r="1793" spans="1:9">
      <c r="A1793" s="1" t="s">
        <v>1805</v>
      </c>
      <c r="B1793">
        <f>HYPERLINK("https://www.suredividend.com/sure-analysis-research-database/","Medpace Holdings Inc")</f>
        <v>0</v>
      </c>
      <c r="C1793">
        <v>0.09102902374670101</v>
      </c>
      <c r="D1793">
        <v>0.03662501468917601</v>
      </c>
      <c r="E1793">
        <v>0.321350109846215</v>
      </c>
      <c r="F1793">
        <v>0.245892377948307</v>
      </c>
      <c r="G1793">
        <v>0.259470778602703</v>
      </c>
      <c r="H1793">
        <v>0.166688709606313</v>
      </c>
      <c r="I1793">
        <v>3.866495034939315</v>
      </c>
    </row>
    <row r="1794" spans="1:9">
      <c r="A1794" s="1" t="s">
        <v>1806</v>
      </c>
      <c r="B1794">
        <f>HYPERLINK("https://www.suredividend.com/sure-analysis-research-database/","Methode Electronics, Inc.")</f>
        <v>0</v>
      </c>
      <c r="C1794">
        <v>0.006036217303822001</v>
      </c>
      <c r="D1794">
        <v>-0.295413592221366</v>
      </c>
      <c r="E1794">
        <v>-0.422620027468545</v>
      </c>
      <c r="F1794">
        <v>-0.461801659025013</v>
      </c>
      <c r="G1794">
        <v>-0.422354630011995</v>
      </c>
      <c r="H1794">
        <v>-0.452442920086956</v>
      </c>
      <c r="I1794">
        <v>-0.166592783048142</v>
      </c>
    </row>
    <row r="1795" spans="1:9">
      <c r="A1795" s="1" t="s">
        <v>1807</v>
      </c>
      <c r="B1795">
        <f>HYPERLINK("https://www.suredividend.com/sure-analysis-research-database/","MEI Pharma Inc")</f>
        <v>0</v>
      </c>
      <c r="C1795">
        <v>-0.011461318051575</v>
      </c>
      <c r="D1795">
        <v>-0.034965034965035</v>
      </c>
      <c r="E1795">
        <v>0.15</v>
      </c>
      <c r="F1795">
        <v>0.416256157635468</v>
      </c>
      <c r="G1795">
        <v>0.020710059171597</v>
      </c>
      <c r="H1795">
        <v>-0.8830508474576271</v>
      </c>
      <c r="I1795">
        <v>-0.892523364485981</v>
      </c>
    </row>
    <row r="1796" spans="1:9">
      <c r="A1796" s="1" t="s">
        <v>1808</v>
      </c>
      <c r="B1796">
        <f>HYPERLINK("https://www.suredividend.com/sure-analysis-research-database/","Mercer International Inc.")</f>
        <v>0</v>
      </c>
      <c r="C1796">
        <v>0.006090133982947001</v>
      </c>
      <c r="D1796">
        <v>-0.018874199717302</v>
      </c>
      <c r="E1796">
        <v>-0.098892707140129</v>
      </c>
      <c r="F1796">
        <v>-0.258008300246132</v>
      </c>
      <c r="G1796">
        <v>-0.317214300475304</v>
      </c>
      <c r="H1796">
        <v>-0.158225139106862</v>
      </c>
      <c r="I1796">
        <v>-0.314608140065552</v>
      </c>
    </row>
    <row r="1797" spans="1:9">
      <c r="A1797" s="1" t="s">
        <v>1809</v>
      </c>
      <c r="B1797">
        <f>HYPERLINK("https://www.suredividend.com/sure-analysis-research-database/","Mesa Air Group Inc.")</f>
        <v>0</v>
      </c>
      <c r="C1797">
        <v>-0.432213209733487</v>
      </c>
      <c r="D1797">
        <v>-0.7772727272727271</v>
      </c>
      <c r="E1797">
        <v>-0.7632850241545891</v>
      </c>
      <c r="F1797">
        <v>-0.6797385620915031</v>
      </c>
      <c r="G1797">
        <v>-0.6423357664233571</v>
      </c>
      <c r="H1797">
        <v>-0.9364461738002591</v>
      </c>
      <c r="I1797">
        <v>-0.964049889948642</v>
      </c>
    </row>
    <row r="1798" spans="1:9">
      <c r="A1798" s="1" t="s">
        <v>1810</v>
      </c>
      <c r="B1798">
        <f>HYPERLINK("https://www.suredividend.com/sure-analysis-MET/","Metlife Inc")</f>
        <v>0</v>
      </c>
      <c r="C1798">
        <v>-0.027232938887988</v>
      </c>
      <c r="D1798">
        <v>-0.035773277374655</v>
      </c>
      <c r="E1798">
        <v>0.027871222346307</v>
      </c>
      <c r="F1798">
        <v>-0.149824184604748</v>
      </c>
      <c r="G1798">
        <v>-0.158010823370285</v>
      </c>
      <c r="H1798">
        <v>0.002095700890881</v>
      </c>
      <c r="I1798">
        <v>0.6483727778144021</v>
      </c>
    </row>
    <row r="1799" spans="1:9">
      <c r="A1799" s="1" t="s">
        <v>1811</v>
      </c>
      <c r="B1799">
        <f>HYPERLINK("https://www.suredividend.com/sure-analysis-research-database/","MFA Financial Inc")</f>
        <v>0</v>
      </c>
      <c r="C1799">
        <v>0.04726100966702401</v>
      </c>
      <c r="D1799">
        <v>-0.10090186459121</v>
      </c>
      <c r="E1799">
        <v>0.034351064055504</v>
      </c>
      <c r="F1799">
        <v>0.096737907761529</v>
      </c>
      <c r="G1799">
        <v>0.151583870739139</v>
      </c>
      <c r="H1799">
        <v>-0.283599197631101</v>
      </c>
      <c r="I1799">
        <v>-0.3355866599430301</v>
      </c>
    </row>
    <row r="1800" spans="1:9">
      <c r="A1800" s="1" t="s">
        <v>1812</v>
      </c>
      <c r="B1800">
        <f>HYPERLINK("https://www.suredividend.com/sure-analysis-research-database/","Mackinac Financial Corp.")</f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</row>
    <row r="1801" spans="1:9">
      <c r="A1801" s="1" t="s">
        <v>1813</v>
      </c>
      <c r="B1801">
        <f>HYPERLINK("https://www.suredividend.com/sure-analysis-research-database/","Mistras Group Inc")</f>
        <v>0</v>
      </c>
      <c r="C1801">
        <v>0.055555555555555</v>
      </c>
      <c r="D1801">
        <v>-0.31266149870801</v>
      </c>
      <c r="E1801">
        <v>-0.337484433374844</v>
      </c>
      <c r="F1801">
        <v>0.07910750507099301</v>
      </c>
      <c r="G1801">
        <v>0.035019455252918</v>
      </c>
      <c r="H1801">
        <v>-0.51985559566787</v>
      </c>
      <c r="I1801">
        <v>-0.7273193234238851</v>
      </c>
    </row>
    <row r="1802" spans="1:9">
      <c r="A1802" s="1" t="s">
        <v>1814</v>
      </c>
      <c r="B1802">
        <f>HYPERLINK("https://www.suredividend.com/sure-analysis-MGEE/","MGE Energy, Inc.")</f>
        <v>0</v>
      </c>
      <c r="C1802">
        <v>0.121285261728767</v>
      </c>
      <c r="D1802">
        <v>-0.05814106722893501</v>
      </c>
      <c r="E1802">
        <v>-0.012595944111309</v>
      </c>
      <c r="F1802">
        <v>0.08645923621901001</v>
      </c>
      <c r="G1802">
        <v>0.127565199451463</v>
      </c>
      <c r="H1802">
        <v>0.034774146934309</v>
      </c>
      <c r="I1802">
        <v>0.354239354017078</v>
      </c>
    </row>
    <row r="1803" spans="1:9">
      <c r="A1803" s="1" t="s">
        <v>1815</v>
      </c>
      <c r="B1803">
        <f>HYPERLINK("https://www.suredividend.com/sure-analysis-research-database/","Moneygram International Inc.")</f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</row>
    <row r="1804" spans="1:9">
      <c r="A1804" s="1" t="s">
        <v>1816</v>
      </c>
      <c r="B1804">
        <f>HYPERLINK("https://www.suredividend.com/sure-analysis-research-database/","Magellan Health Inc")</f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</row>
    <row r="1805" spans="1:9">
      <c r="A1805" s="1" t="s">
        <v>1817</v>
      </c>
      <c r="B1805">
        <f>HYPERLINK("https://www.suredividend.com/sure-analysis-research-database/","MGM Resorts International")</f>
        <v>0</v>
      </c>
      <c r="C1805">
        <v>-0.014677901603696</v>
      </c>
      <c r="D1805">
        <v>-0.264108810393828</v>
      </c>
      <c r="E1805">
        <v>-0.211099020674646</v>
      </c>
      <c r="F1805">
        <v>0.081121383835371</v>
      </c>
      <c r="G1805">
        <v>0.032539962857045</v>
      </c>
      <c r="H1805">
        <v>-0.242642665229254</v>
      </c>
      <c r="I1805">
        <v>0.327333177104692</v>
      </c>
    </row>
    <row r="1806" spans="1:9">
      <c r="A1806" s="1" t="s">
        <v>1818</v>
      </c>
      <c r="B1806">
        <f>HYPERLINK("https://www.suredividend.com/sure-analysis-research-database/","Macrogenics Inc")</f>
        <v>0</v>
      </c>
      <c r="C1806">
        <v>0.140625</v>
      </c>
      <c r="D1806">
        <v>0.042857142857142</v>
      </c>
      <c r="E1806">
        <v>-0.249632892804698</v>
      </c>
      <c r="F1806">
        <v>-0.238450074515648</v>
      </c>
      <c r="G1806">
        <v>0.05360824742268001</v>
      </c>
      <c r="H1806">
        <v>-0.75048828125</v>
      </c>
      <c r="I1806">
        <v>-0.6992348440258971</v>
      </c>
    </row>
    <row r="1807" spans="1:9">
      <c r="A1807" s="1" t="s">
        <v>1819</v>
      </c>
      <c r="B1807">
        <f>HYPERLINK("https://www.suredividend.com/sure-analysis-research-database/","MGP Ingredients, Inc.")</f>
        <v>0</v>
      </c>
      <c r="C1807">
        <v>-0.06096855103222001</v>
      </c>
      <c r="D1807">
        <v>-0.137875297479077</v>
      </c>
      <c r="E1807">
        <v>0.01680645056831</v>
      </c>
      <c r="F1807">
        <v>-0.08184276628116101</v>
      </c>
      <c r="G1807">
        <v>-0.06812348560492901</v>
      </c>
      <c r="H1807">
        <v>0.458231276619012</v>
      </c>
      <c r="I1807">
        <v>0.544299861339831</v>
      </c>
    </row>
    <row r="1808" spans="1:9">
      <c r="A1808" s="1" t="s">
        <v>1820</v>
      </c>
      <c r="B1808">
        <f>HYPERLINK("https://www.suredividend.com/sure-analysis-MGRC/","McGrath Rentcorp")</f>
        <v>0</v>
      </c>
      <c r="C1808">
        <v>0.013382764350559</v>
      </c>
      <c r="D1808">
        <v>0.06405099338517201</v>
      </c>
      <c r="E1808">
        <v>0.154513033937941</v>
      </c>
      <c r="F1808">
        <v>0.050822228522823</v>
      </c>
      <c r="G1808">
        <v>0.09104329323858301</v>
      </c>
      <c r="H1808">
        <v>0.427602389863895</v>
      </c>
      <c r="I1808">
        <v>1.153848126038893</v>
      </c>
    </row>
    <row r="1809" spans="1:9">
      <c r="A1809" s="1" t="s">
        <v>1821</v>
      </c>
      <c r="B1809">
        <f>HYPERLINK("https://www.suredividend.com/sure-analysis-research-database/","Magnolia Oil &amp; Gas Corp")</f>
        <v>0</v>
      </c>
      <c r="C1809">
        <v>0.04296698326549001</v>
      </c>
      <c r="D1809">
        <v>0.050588621204942</v>
      </c>
      <c r="E1809">
        <v>0.168014830647979</v>
      </c>
      <c r="F1809">
        <v>-0.000805941434922</v>
      </c>
      <c r="G1809">
        <v>-0.05867561455501401</v>
      </c>
      <c r="H1809">
        <v>0.154656932698422</v>
      </c>
      <c r="I1809">
        <v>0.9518553629469121</v>
      </c>
    </row>
    <row r="1810" spans="1:9">
      <c r="A1810" s="1" t="s">
        <v>1822</v>
      </c>
      <c r="B1810">
        <f>HYPERLINK("https://www.suredividend.com/sure-analysis-research-database/","Magyar Bancorp Inc.")</f>
        <v>0</v>
      </c>
      <c r="C1810">
        <v>-0.050207039337474</v>
      </c>
      <c r="D1810">
        <v>-0.184313934673992</v>
      </c>
      <c r="E1810">
        <v>-0.06306803096215501</v>
      </c>
      <c r="F1810">
        <v>-0.274422503578461</v>
      </c>
      <c r="G1810">
        <v>-0.252289989242755</v>
      </c>
      <c r="H1810">
        <v>-0.16219992147051</v>
      </c>
      <c r="I1810">
        <v>-0.132330272453022</v>
      </c>
    </row>
    <row r="1811" spans="1:9">
      <c r="A1811" s="1" t="s">
        <v>1823</v>
      </c>
      <c r="B1811">
        <f>HYPERLINK("https://www.suredividend.com/sure-analysis-research-database/","Mastech Digital Inc")</f>
        <v>0</v>
      </c>
      <c r="C1811">
        <v>0.019188596491228</v>
      </c>
      <c r="D1811">
        <v>-0.14489420423183</v>
      </c>
      <c r="E1811">
        <v>0.018072289156626</v>
      </c>
      <c r="F1811">
        <v>-0.155767484105358</v>
      </c>
      <c r="G1811">
        <v>-0.323999999999999</v>
      </c>
      <c r="H1811">
        <v>-0.5120734908136481</v>
      </c>
      <c r="I1811">
        <v>0.404078549848942</v>
      </c>
    </row>
    <row r="1812" spans="1:9">
      <c r="A1812" s="1" t="s">
        <v>1824</v>
      </c>
      <c r="B1812">
        <f>HYPERLINK("https://www.suredividend.com/sure-analysis-research-database/","Mohawk Industries, Inc.")</f>
        <v>0</v>
      </c>
      <c r="C1812">
        <v>-0.016698247276172</v>
      </c>
      <c r="D1812">
        <v>-0.222201405152224</v>
      </c>
      <c r="E1812">
        <v>-0.178490155337884</v>
      </c>
      <c r="F1812">
        <v>-0.187732342007434</v>
      </c>
      <c r="G1812">
        <v>-0.08223720570354801</v>
      </c>
      <c r="H1812">
        <v>-0.5237740177803271</v>
      </c>
      <c r="I1812">
        <v>-0.369934739717711</v>
      </c>
    </row>
    <row r="1813" spans="1:9">
      <c r="A1813" s="1" t="s">
        <v>1825</v>
      </c>
      <c r="B1813">
        <f>HYPERLINK("https://www.suredividend.com/sure-analysis-research-database/","Maiden Holdings Ltd")</f>
        <v>0</v>
      </c>
      <c r="C1813">
        <v>0.03030303030303</v>
      </c>
      <c r="D1813">
        <v>-0.114583333333333</v>
      </c>
      <c r="E1813">
        <v>-0.186602870813397</v>
      </c>
      <c r="F1813">
        <v>-0.19431279620853</v>
      </c>
      <c r="G1813">
        <v>-0.198113207547169</v>
      </c>
      <c r="H1813">
        <v>-0.4769230769230761</v>
      </c>
      <c r="I1813">
        <v>-0.55026455026455</v>
      </c>
    </row>
    <row r="1814" spans="1:9">
      <c r="A1814" s="1" t="s">
        <v>1826</v>
      </c>
      <c r="B1814">
        <f>HYPERLINK("https://www.suredividend.com/sure-analysis-research-database/","MI Homes Inc.")</f>
        <v>0</v>
      </c>
      <c r="C1814">
        <v>0.098415746519443</v>
      </c>
      <c r="D1814">
        <v>-0.06906723629335701</v>
      </c>
      <c r="E1814">
        <v>0.368011958146487</v>
      </c>
      <c r="F1814">
        <v>0.98181030749242</v>
      </c>
      <c r="G1814">
        <v>1.304128902316213</v>
      </c>
      <c r="H1814">
        <v>0.5958151700087181</v>
      </c>
      <c r="I1814">
        <v>2.726384364820847</v>
      </c>
    </row>
    <row r="1815" spans="1:9">
      <c r="A1815" s="1" t="s">
        <v>1827</v>
      </c>
      <c r="B1815">
        <f>HYPERLINK("https://www.suredividend.com/sure-analysis-research-database/","Macquarie Infrastructure Holdings LLC")</f>
        <v>0</v>
      </c>
      <c r="C1815">
        <v>0.076315789473684</v>
      </c>
      <c r="D1815">
        <v>0.09066666666666601</v>
      </c>
      <c r="E1815">
        <v>0.139275766016713</v>
      </c>
      <c r="F1815">
        <v>0.120547945205479</v>
      </c>
      <c r="G1815">
        <v>0.247635897748764</v>
      </c>
      <c r="H1815">
        <v>0.247635897748764</v>
      </c>
      <c r="I1815">
        <v>0.247635897748764</v>
      </c>
    </row>
    <row r="1816" spans="1:9">
      <c r="A1816" s="1" t="s">
        <v>1828</v>
      </c>
      <c r="B1816">
        <f>HYPERLINK("https://www.suredividend.com/sure-analysis-research-database/","Micron Solutions Inc")</f>
        <v>0</v>
      </c>
      <c r="C1816">
        <v>0.9</v>
      </c>
      <c r="D1816">
        <v>-0.08904109589041001</v>
      </c>
      <c r="E1816">
        <v>-0.163522012578616</v>
      </c>
      <c r="F1816">
        <v>-0.408888888888888</v>
      </c>
      <c r="G1816">
        <v>-0.421739130434782</v>
      </c>
      <c r="H1816">
        <v>-0.568181818181818</v>
      </c>
      <c r="I1816">
        <v>-0.141935483870967</v>
      </c>
    </row>
    <row r="1817" spans="1:9">
      <c r="A1817" s="1" t="s">
        <v>1829</v>
      </c>
      <c r="B1817">
        <f>HYPERLINK("https://www.suredividend.com/sure-analysis-research-database/","MICT Inc")</f>
        <v>0</v>
      </c>
      <c r="C1817">
        <v>-0.158090909090909</v>
      </c>
      <c r="D1817">
        <v>-0.287615384615384</v>
      </c>
      <c r="E1817">
        <v>0.08952941176470501</v>
      </c>
      <c r="F1817">
        <v>0.11578313253012</v>
      </c>
      <c r="G1817">
        <v>0.432482598607888</v>
      </c>
      <c r="H1817">
        <v>-0.6396498054474701</v>
      </c>
      <c r="I1817">
        <v>-0.237777777777777</v>
      </c>
    </row>
    <row r="1818" spans="1:9">
      <c r="A1818" s="1" t="s">
        <v>1830</v>
      </c>
      <c r="B1818">
        <f>HYPERLINK("https://www.suredividend.com/sure-analysis-research-database/","Middleby Corp.")</f>
        <v>0</v>
      </c>
      <c r="C1818">
        <v>-0.09911406423034301</v>
      </c>
      <c r="D1818">
        <v>-0.208767542031401</v>
      </c>
      <c r="E1818">
        <v>-0.215309356483395</v>
      </c>
      <c r="F1818">
        <v>-0.149439880507841</v>
      </c>
      <c r="G1818">
        <v>-0.161278444657191</v>
      </c>
      <c r="H1818">
        <v>-0.3905062613721501</v>
      </c>
      <c r="I1818">
        <v>-0.017257744412805</v>
      </c>
    </row>
    <row r="1819" spans="1:9">
      <c r="A1819" s="1" t="s">
        <v>1831</v>
      </c>
      <c r="B1819">
        <f>HYPERLINK("https://www.suredividend.com/sure-analysis-research-database/","Michaels Companies Inc")</f>
        <v>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</row>
    <row r="1820" spans="1:9">
      <c r="A1820" s="1" t="s">
        <v>1832</v>
      </c>
      <c r="B1820">
        <f>HYPERLINK("https://www.suredividend.com/sure-analysis-research-database/","MIND Technology Inc")</f>
        <v>0</v>
      </c>
      <c r="C1820">
        <v>-0.904809619238476</v>
      </c>
      <c r="D1820">
        <v>-0.9301470588235291</v>
      </c>
      <c r="E1820">
        <v>-0.894444444444444</v>
      </c>
      <c r="F1820">
        <v>-0.8967166775385951</v>
      </c>
      <c r="G1820">
        <v>-0.9178342847258261</v>
      </c>
      <c r="H1820">
        <v>-0.9736111111111111</v>
      </c>
      <c r="I1820">
        <v>-0.9878205128205121</v>
      </c>
    </row>
    <row r="1821" spans="1:9">
      <c r="A1821" s="1" t="s">
        <v>1833</v>
      </c>
      <c r="B1821">
        <f>HYPERLINK("https://www.suredividend.com/sure-analysis-research-database/","Mitek Systems Inc")</f>
        <v>0</v>
      </c>
      <c r="C1821">
        <v>0.007575757575757001</v>
      </c>
      <c r="D1821">
        <v>-0.09523809523809501</v>
      </c>
      <c r="E1821">
        <v>0.190156599552572</v>
      </c>
      <c r="F1821">
        <v>0.09803921568627401</v>
      </c>
      <c r="G1821">
        <v>-0.050847457627118</v>
      </c>
      <c r="H1821">
        <v>-0.424242424242424</v>
      </c>
      <c r="I1821">
        <v>0.106029106029106</v>
      </c>
    </row>
    <row r="1822" spans="1:9">
      <c r="A1822" s="1" t="s">
        <v>1834</v>
      </c>
      <c r="B1822">
        <f>HYPERLINK("https://www.suredividend.com/sure-analysis-research-database/","AG Mortgage Investment Trust Inc")</f>
        <v>0</v>
      </c>
      <c r="C1822">
        <v>-0.018572224249524</v>
      </c>
      <c r="D1822">
        <v>-0.174741602067183</v>
      </c>
      <c r="E1822">
        <v>0.063962688431748</v>
      </c>
      <c r="F1822">
        <v>0.07370986720457201</v>
      </c>
      <c r="G1822">
        <v>0.225801808717345</v>
      </c>
      <c r="H1822">
        <v>-0.432039212635182</v>
      </c>
      <c r="I1822">
        <v>-0.844470484393784</v>
      </c>
    </row>
    <row r="1823" spans="1:9">
      <c r="A1823" s="1" t="s">
        <v>1835</v>
      </c>
      <c r="B1823">
        <f>HYPERLINK("https://www.suredividend.com/sure-analysis-MKC/","McCormick &amp; Co., Inc.")</f>
        <v>0</v>
      </c>
      <c r="C1823">
        <v>-0.127290156500759</v>
      </c>
      <c r="D1823">
        <v>-0.261423326808214</v>
      </c>
      <c r="E1823">
        <v>-0.257542835609079</v>
      </c>
      <c r="F1823">
        <v>-0.206081887962256</v>
      </c>
      <c r="G1823">
        <v>-0.143886953983593</v>
      </c>
      <c r="H1823">
        <v>-0.173342923677693</v>
      </c>
      <c r="I1823">
        <v>-0.015897162619881</v>
      </c>
    </row>
    <row r="1824" spans="1:9">
      <c r="A1824" s="1" t="s">
        <v>1836</v>
      </c>
      <c r="B1824">
        <f>HYPERLINK("https://www.suredividend.com/sure-analysis-research-database/","Markel Group Inc")</f>
        <v>0</v>
      </c>
      <c r="C1824">
        <v>-0.108698630136986</v>
      </c>
      <c r="D1824">
        <v>-0.09965198259221</v>
      </c>
      <c r="E1824">
        <v>-0.033733562035448</v>
      </c>
      <c r="F1824">
        <v>-0.012288518318924</v>
      </c>
      <c r="G1824">
        <v>0.077904328018223</v>
      </c>
      <c r="H1824">
        <v>-0.021262513444196</v>
      </c>
      <c r="I1824">
        <v>0.205231034259199</v>
      </c>
    </row>
    <row r="1825" spans="1:9">
      <c r="A1825" s="1" t="s">
        <v>1837</v>
      </c>
      <c r="B1825">
        <f>HYPERLINK("https://www.suredividend.com/sure-analysis-research-database/","MKS Instruments, Inc.")</f>
        <v>0</v>
      </c>
      <c r="C1825">
        <v>-0.243799291347582</v>
      </c>
      <c r="D1825">
        <v>-0.351996411298142</v>
      </c>
      <c r="E1825">
        <v>-0.190057391338413</v>
      </c>
      <c r="F1825">
        <v>-0.209892112535439</v>
      </c>
      <c r="G1825">
        <v>-0.160489190156304</v>
      </c>
      <c r="H1825">
        <v>-0.561009465899273</v>
      </c>
      <c r="I1825">
        <v>-0.116318456602634</v>
      </c>
    </row>
    <row r="1826" spans="1:9">
      <c r="A1826" s="1" t="s">
        <v>1838</v>
      </c>
      <c r="B1826">
        <f>HYPERLINK("https://www.suredividend.com/sure-analysis-MKTX/","MarketAxess Holdings Inc.")</f>
        <v>0</v>
      </c>
      <c r="C1826">
        <v>0.05453679447487501</v>
      </c>
      <c r="D1826">
        <v>-0.152698048220436</v>
      </c>
      <c r="E1826">
        <v>-0.299016818847139</v>
      </c>
      <c r="F1826">
        <v>-0.196375778170676</v>
      </c>
      <c r="G1826">
        <v>-0.034328024899856</v>
      </c>
      <c r="H1826">
        <v>-0.4439195084790971</v>
      </c>
      <c r="I1826">
        <v>0.080094837595496</v>
      </c>
    </row>
    <row r="1827" spans="1:9">
      <c r="A1827" s="1" t="s">
        <v>1839</v>
      </c>
      <c r="B1827">
        <f>HYPERLINK("https://www.suredividend.com/sure-analysis-research-database/","Mesa Laboratories, Inc.")</f>
        <v>0</v>
      </c>
      <c r="C1827">
        <v>-0.100467987653091</v>
      </c>
      <c r="D1827">
        <v>-0.281652152339997</v>
      </c>
      <c r="E1827">
        <v>-0.4607619885550701</v>
      </c>
      <c r="F1827">
        <v>-0.453469596902066</v>
      </c>
      <c r="G1827">
        <v>-0.28965198923391</v>
      </c>
      <c r="H1827">
        <v>-0.701046733536805</v>
      </c>
      <c r="I1827">
        <v>-0.516235353588902</v>
      </c>
    </row>
    <row r="1828" spans="1:9">
      <c r="A1828" s="1" t="s">
        <v>1840</v>
      </c>
      <c r="B1828">
        <f>HYPERLINK("https://www.suredividend.com/sure-analysis-research-database/","Herman Miller Inc.")</f>
        <v>0</v>
      </c>
      <c r="C1828">
        <v>-0.012895069532237</v>
      </c>
      <c r="D1828">
        <v>-0.09137034571682601</v>
      </c>
      <c r="E1828">
        <v>-0.05145792180844901</v>
      </c>
      <c r="F1828">
        <v>0.170169081039604</v>
      </c>
      <c r="G1828">
        <v>0.304346373456016</v>
      </c>
      <c r="H1828">
        <v>-0.133941762907684</v>
      </c>
      <c r="I1828">
        <v>0.552990222208078</v>
      </c>
    </row>
    <row r="1829" spans="1:9">
      <c r="A1829" s="1" t="s">
        <v>1841</v>
      </c>
      <c r="B1829">
        <f>HYPERLINK("https://www.suredividend.com/sure-analysis-MLI/","Mueller Industries, Inc.")</f>
        <v>0</v>
      </c>
      <c r="C1829">
        <v>0.0645903859174</v>
      </c>
      <c r="D1829">
        <v>-0.003599310554597</v>
      </c>
      <c r="E1829">
        <v>0.09258482054759801</v>
      </c>
      <c r="F1829">
        <v>0.348833538637853</v>
      </c>
      <c r="G1829">
        <v>0.293253761983405</v>
      </c>
      <c r="H1829">
        <v>0.500702440216229</v>
      </c>
      <c r="I1829">
        <v>2.308699750858528</v>
      </c>
    </row>
    <row r="1830" spans="1:9">
      <c r="A1830" s="1" t="s">
        <v>1842</v>
      </c>
      <c r="B1830">
        <f>HYPERLINK("https://www.suredividend.com/sure-analysis-MLM/","Martin Marietta Materials, Inc.")</f>
        <v>0</v>
      </c>
      <c r="C1830">
        <v>0.08636923835346301</v>
      </c>
      <c r="D1830">
        <v>-0.020125946964433</v>
      </c>
      <c r="E1830">
        <v>0.189203540682611</v>
      </c>
      <c r="F1830">
        <v>0.310796149398759</v>
      </c>
      <c r="G1830">
        <v>0.374551798621955</v>
      </c>
      <c r="H1830">
        <v>0.09650290359064001</v>
      </c>
      <c r="I1830">
        <v>1.585422053695873</v>
      </c>
    </row>
    <row r="1831" spans="1:9">
      <c r="A1831" s="1" t="s">
        <v>1843</v>
      </c>
      <c r="B1831">
        <f>HYPERLINK("https://www.suredividend.com/sure-analysis-research-database/","Maui Land &amp; Pineapple Co., Inc.")</f>
        <v>0</v>
      </c>
      <c r="C1831">
        <v>0.138198757763975</v>
      </c>
      <c r="D1831">
        <v>-0.0348913759052</v>
      </c>
      <c r="E1831">
        <v>0.176565008025682</v>
      </c>
      <c r="F1831">
        <v>0.556263269639065</v>
      </c>
      <c r="G1831">
        <v>0.7247058823529411</v>
      </c>
      <c r="H1831">
        <v>0.410972088546679</v>
      </c>
      <c r="I1831">
        <v>0.252991452991453</v>
      </c>
    </row>
    <row r="1832" spans="1:9">
      <c r="A1832" s="1" t="s">
        <v>1844</v>
      </c>
      <c r="B1832">
        <f>HYPERLINK("https://www.suredividend.com/sure-analysis-MLR/","Miller Industries Inc.")</f>
        <v>0</v>
      </c>
      <c r="C1832">
        <v>-0.07958301550978801</v>
      </c>
      <c r="D1832">
        <v>-0.031160760404985</v>
      </c>
      <c r="E1832">
        <v>0.07028711486664301</v>
      </c>
      <c r="F1832">
        <v>0.378506719268249</v>
      </c>
      <c r="G1832">
        <v>0.4316052566014</v>
      </c>
      <c r="H1832">
        <v>0.029869047314232</v>
      </c>
      <c r="I1832">
        <v>0.6912884627963261</v>
      </c>
    </row>
    <row r="1833" spans="1:9">
      <c r="A1833" s="1" t="s">
        <v>1845</v>
      </c>
      <c r="B1833">
        <f>HYPERLINK("https://www.suredividend.com/sure-analysis-research-database/","Milestone Scientific Inc.")</f>
        <v>0</v>
      </c>
      <c r="C1833">
        <v>-0.036871508379888</v>
      </c>
      <c r="D1833">
        <v>-0.154901960784313</v>
      </c>
      <c r="E1833">
        <v>0.149333333333333</v>
      </c>
      <c r="F1833">
        <v>0.7958333333333331</v>
      </c>
      <c r="G1833">
        <v>0.250181290790427</v>
      </c>
      <c r="H1833">
        <v>-0.5690000000000001</v>
      </c>
      <c r="I1833">
        <v>0.4541160593792171</v>
      </c>
    </row>
    <row r="1834" spans="1:9">
      <c r="A1834" s="1" t="s">
        <v>1846</v>
      </c>
      <c r="B1834">
        <f>HYPERLINK("https://www.suredividend.com/sure-analysis-research-database/","Malvern Bancorp Inc")</f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</row>
    <row r="1835" spans="1:9">
      <c r="A1835" s="1" t="s">
        <v>1847</v>
      </c>
      <c r="B1835">
        <f>HYPERLINK("https://www.suredividend.com/sure-analysis-research-database/","MMA Capital Holdings Inc")</f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</row>
    <row r="1836" spans="1:9">
      <c r="A1836" s="1" t="s">
        <v>1848</v>
      </c>
      <c r="B1836">
        <f>HYPERLINK("https://www.suredividend.com/sure-analysis-MMC/","Marsh &amp; McLennan Cos., Inc.")</f>
        <v>0</v>
      </c>
      <c r="C1836">
        <v>0.028613480074036</v>
      </c>
      <c r="D1836">
        <v>0.016604095634882</v>
      </c>
      <c r="E1836">
        <v>0.085720571612658</v>
      </c>
      <c r="F1836">
        <v>0.185874212124667</v>
      </c>
      <c r="G1836">
        <v>0.233738031720683</v>
      </c>
      <c r="H1836">
        <v>0.212851143760321</v>
      </c>
      <c r="I1836">
        <v>1.478888760747831</v>
      </c>
    </row>
    <row r="1837" spans="1:9">
      <c r="A1837" s="1" t="s">
        <v>1849</v>
      </c>
      <c r="B1837">
        <f>HYPERLINK("https://www.suredividend.com/sure-analysis-research-database/","Marcus &amp; Millichap Inc")</f>
        <v>0</v>
      </c>
      <c r="C1837">
        <v>0.019587628865979</v>
      </c>
      <c r="D1837">
        <v>-0.194911689925677</v>
      </c>
      <c r="E1837">
        <v>-0.011925496451656</v>
      </c>
      <c r="F1837">
        <v>-0.125008478600013</v>
      </c>
      <c r="G1837">
        <v>-0.153035882504067</v>
      </c>
      <c r="H1837">
        <v>-0.323902452363265</v>
      </c>
      <c r="I1837">
        <v>-0.129906920275192</v>
      </c>
    </row>
    <row r="1838" spans="1:9">
      <c r="A1838" s="1" t="s">
        <v>1850</v>
      </c>
      <c r="B1838">
        <f>HYPERLINK("https://www.suredividend.com/sure-analysis-MMM/","3M Co.")</f>
        <v>0</v>
      </c>
      <c r="C1838">
        <v>0.023165595211704</v>
      </c>
      <c r="D1838">
        <v>-0.139743460708334</v>
      </c>
      <c r="E1838">
        <v>-0.07637722951190301</v>
      </c>
      <c r="F1838">
        <v>-0.196347652118043</v>
      </c>
      <c r="G1838">
        <v>-0.206393556923272</v>
      </c>
      <c r="H1838">
        <v>-0.443436213123353</v>
      </c>
      <c r="I1838">
        <v>-0.419688715268391</v>
      </c>
    </row>
    <row r="1839" spans="1:9">
      <c r="A1839" s="1" t="s">
        <v>1851</v>
      </c>
      <c r="B1839">
        <f>HYPERLINK("https://www.suredividend.com/sure-analysis-MMS/","Maximus Inc.")</f>
        <v>0</v>
      </c>
      <c r="C1839">
        <v>0.020196580045778</v>
      </c>
      <c r="D1839">
        <v>-0.083679407517771</v>
      </c>
      <c r="E1839">
        <v>-0.07787271795708101</v>
      </c>
      <c r="F1839">
        <v>0.044056511608359</v>
      </c>
      <c r="G1839">
        <v>0.28366725284704</v>
      </c>
      <c r="H1839">
        <v>-0.08004026113889401</v>
      </c>
      <c r="I1839">
        <v>0.277404257901799</v>
      </c>
    </row>
    <row r="1840" spans="1:9">
      <c r="A1840" s="1" t="s">
        <v>1852</v>
      </c>
      <c r="B1840">
        <f>HYPERLINK("https://www.suredividend.com/sure-analysis-research-database/","Merit Medical Systems, Inc.")</f>
        <v>0</v>
      </c>
      <c r="C1840">
        <v>0.05057266101442701</v>
      </c>
      <c r="D1840">
        <v>-0.041004752206381</v>
      </c>
      <c r="E1840">
        <v>-0.136235783294606</v>
      </c>
      <c r="F1840">
        <v>0.000141602945341</v>
      </c>
      <c r="G1840">
        <v>0.06354464689052801</v>
      </c>
      <c r="H1840">
        <v>0.08661538461538401</v>
      </c>
      <c r="I1840">
        <v>0.183280281454179</v>
      </c>
    </row>
    <row r="1841" spans="1:9">
      <c r="A1841" s="1" t="s">
        <v>1853</v>
      </c>
      <c r="B1841">
        <f>HYPERLINK("https://www.suredividend.com/sure-analysis-research-database/","Manning &amp; Napier Inc")</f>
        <v>0</v>
      </c>
      <c r="C1841">
        <v>0.037964458804523</v>
      </c>
      <c r="D1841">
        <v>0.016589796128256</v>
      </c>
      <c r="E1841">
        <v>0.014182773888542</v>
      </c>
      <c r="F1841">
        <v>0.5681440984086691</v>
      </c>
      <c r="G1841">
        <v>0.363916190799668</v>
      </c>
      <c r="H1841">
        <v>2.231728786278356</v>
      </c>
      <c r="I1841">
        <v>3.144225497468314</v>
      </c>
    </row>
    <row r="1842" spans="1:9">
      <c r="A1842" s="1" t="s">
        <v>1854</v>
      </c>
      <c r="B1842">
        <f>HYPERLINK("https://www.suredividend.com/sure-analysis-research-database/","Mallinckrodt Plc")</f>
        <v>0</v>
      </c>
      <c r="C1842">
        <v>-0.6850000000000001</v>
      </c>
      <c r="D1842">
        <v>-0.8866000000000001</v>
      </c>
      <c r="E1842">
        <v>-0.9641517386722861</v>
      </c>
      <c r="F1842">
        <v>-0.9561032258064511</v>
      </c>
      <c r="G1842">
        <v>-0.978603773584905</v>
      </c>
      <c r="H1842">
        <v>-0.978603773584905</v>
      </c>
      <c r="I1842">
        <v>-0.978603773584905</v>
      </c>
    </row>
    <row r="1843" spans="1:9">
      <c r="A1843" s="1" t="s">
        <v>1855</v>
      </c>
      <c r="B1843">
        <f>HYPERLINK("https://www.suredividend.com/sure-analysis-research-database/","Mannkind Corp")</f>
        <v>0</v>
      </c>
      <c r="C1843">
        <v>-0.012406947890818</v>
      </c>
      <c r="D1843">
        <v>-0.132897603485838</v>
      </c>
      <c r="E1843">
        <v>0.06989247311827901</v>
      </c>
      <c r="F1843">
        <v>-0.244781783681214</v>
      </c>
      <c r="G1843">
        <v>0.174041297935103</v>
      </c>
      <c r="H1843">
        <v>-0.200803212851405</v>
      </c>
      <c r="I1843">
        <v>1.174863387978141</v>
      </c>
    </row>
    <row r="1844" spans="1:9">
      <c r="A1844" s="1" t="s">
        <v>1856</v>
      </c>
      <c r="B1844">
        <f>HYPERLINK("https://www.suredividend.com/sure-analysis-research-database/","Medicinova Inc")</f>
        <v>0</v>
      </c>
      <c r="C1844">
        <v>-0.068965517241379</v>
      </c>
      <c r="D1844">
        <v>-0.181818181818181</v>
      </c>
      <c r="E1844">
        <v>-0.1</v>
      </c>
      <c r="F1844">
        <v>-0.078048780487804</v>
      </c>
      <c r="G1844">
        <v>-0.09134615384615301</v>
      </c>
      <c r="H1844">
        <v>-0.452173913043478</v>
      </c>
      <c r="I1844">
        <v>-0.8240223463687151</v>
      </c>
    </row>
    <row r="1845" spans="1:9">
      <c r="A1845" s="1" t="s">
        <v>1857</v>
      </c>
      <c r="B1845">
        <f>HYPERLINK("https://www.suredividend.com/sure-analysis-research-database/","Mach Natural Resources LP")</f>
        <v>0</v>
      </c>
      <c r="C1845">
        <v>0.002181025081788</v>
      </c>
      <c r="D1845">
        <v>0.002181025081788</v>
      </c>
      <c r="E1845">
        <v>0.002181025081788</v>
      </c>
      <c r="F1845">
        <v>0.002181025081788</v>
      </c>
      <c r="G1845">
        <v>0.002181025081788</v>
      </c>
      <c r="H1845">
        <v>0.002181025081788</v>
      </c>
      <c r="I1845">
        <v>0.002181025081788</v>
      </c>
    </row>
    <row r="1846" spans="1:9">
      <c r="A1846" s="1" t="s">
        <v>1858</v>
      </c>
      <c r="B1846">
        <f>HYPERLINK("https://www.suredividend.com/sure-analysis-research-database/","Brigham Minerals Inc")</f>
        <v>0</v>
      </c>
      <c r="C1846">
        <v>-0.05797101449275301</v>
      </c>
      <c r="D1846">
        <v>0.275179898456443</v>
      </c>
      <c r="E1846">
        <v>0.24438114054232</v>
      </c>
      <c r="F1846">
        <v>0.5957420691619161</v>
      </c>
      <c r="G1846">
        <v>0.570420051123212</v>
      </c>
      <c r="H1846">
        <v>2.260302556077204</v>
      </c>
      <c r="I1846">
        <v>0.9750835612275901</v>
      </c>
    </row>
    <row r="1847" spans="1:9">
      <c r="A1847" s="1" t="s">
        <v>1859</v>
      </c>
      <c r="B1847">
        <f>HYPERLINK("https://www.suredividend.com/sure-analysis-research-database/","Monro Inc")</f>
        <v>0</v>
      </c>
      <c r="C1847">
        <v>-0.014047076689445</v>
      </c>
      <c r="D1847">
        <v>-0.250844494702256</v>
      </c>
      <c r="E1847">
        <v>-0.449247885107637</v>
      </c>
      <c r="F1847">
        <v>-0.4045858581690041</v>
      </c>
      <c r="G1847">
        <v>-0.403256011672928</v>
      </c>
      <c r="H1847">
        <v>-0.556732897860813</v>
      </c>
      <c r="I1847">
        <v>-0.614846146088545</v>
      </c>
    </row>
    <row r="1848" spans="1:9">
      <c r="A1848" s="1" t="s">
        <v>1860</v>
      </c>
      <c r="B1848">
        <f>HYPERLINK("https://www.suredividend.com/sure-analysis-research-database/","MainStreet Bancshares Inc")</f>
        <v>0</v>
      </c>
      <c r="C1848">
        <v>-0.03271484375</v>
      </c>
      <c r="D1848">
        <v>-0.165880688516859</v>
      </c>
      <c r="E1848">
        <v>0.002773953187009</v>
      </c>
      <c r="F1848">
        <v>-0.26350580161129</v>
      </c>
      <c r="G1848">
        <v>-0.271717951545899</v>
      </c>
      <c r="H1848">
        <v>-0.173936250062549</v>
      </c>
      <c r="I1848">
        <v>1.493297924559173</v>
      </c>
    </row>
    <row r="1849" spans="1:9">
      <c r="A1849" s="1" t="s">
        <v>1861</v>
      </c>
      <c r="B1849">
        <f>HYPERLINK("https://www.suredividend.com/sure-analysis-research-database/","Monster Beverage Corp.")</f>
        <v>0</v>
      </c>
      <c r="C1849">
        <v>0.00228397411496</v>
      </c>
      <c r="D1849">
        <v>-0.08623980565677601</v>
      </c>
      <c r="E1849">
        <v>-0.08481056656239101</v>
      </c>
      <c r="F1849">
        <v>0.037328868314783</v>
      </c>
      <c r="G1849">
        <v>0.148402573328971</v>
      </c>
      <c r="H1849">
        <v>0.226219583187798</v>
      </c>
      <c r="I1849">
        <v>0.9467652495378921</v>
      </c>
    </row>
    <row r="1850" spans="1:9">
      <c r="A1850" s="1" t="s">
        <v>1862</v>
      </c>
      <c r="B1850">
        <f>HYPERLINK("https://www.suredividend.com/sure-analysis-research-database/","Manitex International Inc")</f>
        <v>0</v>
      </c>
      <c r="C1850">
        <v>-0.113821138211382</v>
      </c>
      <c r="D1850">
        <v>-0.122736418511066</v>
      </c>
      <c r="E1850">
        <v>-0.153398058252427</v>
      </c>
      <c r="F1850">
        <v>0.09000000000000001</v>
      </c>
      <c r="G1850">
        <v>-0.057297297297297</v>
      </c>
      <c r="H1850">
        <v>-0.347305389221556</v>
      </c>
      <c r="I1850">
        <v>-0.507900677200902</v>
      </c>
    </row>
    <row r="1851" spans="1:9">
      <c r="A1851" s="1" t="s">
        <v>1863</v>
      </c>
      <c r="B1851">
        <f>HYPERLINK("https://www.suredividend.com/sure-analysis-MO/","Altria Group Inc.")</f>
        <v>0</v>
      </c>
      <c r="C1851">
        <v>-0.021885521885521</v>
      </c>
      <c r="D1851">
        <v>-0.06707131043563401</v>
      </c>
      <c r="E1851">
        <v>-0.100197350372133</v>
      </c>
      <c r="F1851">
        <v>-0.05151484762902001</v>
      </c>
      <c r="G1851">
        <v>-0.013137141664684</v>
      </c>
      <c r="H1851">
        <v>0.08301422537986701</v>
      </c>
      <c r="I1851">
        <v>-0.061038283410829</v>
      </c>
    </row>
    <row r="1852" spans="1:9">
      <c r="A1852" s="1" t="s">
        <v>1864</v>
      </c>
      <c r="B1852">
        <f>HYPERLINK("https://www.suredividend.com/sure-analysis-research-database/","Mobile Iron Inc")</f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</row>
    <row r="1853" spans="1:9">
      <c r="A1853" s="1" t="s">
        <v>1865</v>
      </c>
      <c r="B1853">
        <f>HYPERLINK("https://www.suredividend.com/sure-analysis-research-database/","Modine Manufacturing Co.")</f>
        <v>0</v>
      </c>
      <c r="C1853">
        <v>-0.113551504502525</v>
      </c>
      <c r="D1853">
        <v>0.057097957045573</v>
      </c>
      <c r="E1853">
        <v>0.8650646950092421</v>
      </c>
      <c r="F1853">
        <v>1.032225579053373</v>
      </c>
      <c r="G1853">
        <v>1.39667458432304</v>
      </c>
      <c r="H1853">
        <v>2.636036036036036</v>
      </c>
      <c r="I1853">
        <v>1.935272727272727</v>
      </c>
    </row>
    <row r="1854" spans="1:9">
      <c r="A1854" s="1" t="s">
        <v>1866</v>
      </c>
      <c r="B1854">
        <f>HYPERLINK("https://www.suredividend.com/sure-analysis-research-database/","Model N Inc")</f>
        <v>0</v>
      </c>
      <c r="C1854">
        <v>0.015657189946435</v>
      </c>
      <c r="D1854">
        <v>-0.250304136253041</v>
      </c>
      <c r="E1854">
        <v>-0.17003367003367</v>
      </c>
      <c r="F1854">
        <v>-0.392258382642998</v>
      </c>
      <c r="G1854">
        <v>-0.304654442877292</v>
      </c>
      <c r="H1854">
        <v>-0.285300086981733</v>
      </c>
      <c r="I1854">
        <v>0.630291005291005</v>
      </c>
    </row>
    <row r="1855" spans="1:9">
      <c r="A1855" s="1" t="s">
        <v>1867</v>
      </c>
      <c r="B1855">
        <f>HYPERLINK("https://www.suredividend.com/sure-analysis-research-database/","MidWestOne Financial Group Inc")</f>
        <v>0</v>
      </c>
      <c r="C1855">
        <v>0.019211822660098</v>
      </c>
      <c r="D1855">
        <v>-0.109042209609769</v>
      </c>
      <c r="E1855">
        <v>0.137063090789184</v>
      </c>
      <c r="F1855">
        <v>-0.311572502828242</v>
      </c>
      <c r="G1855">
        <v>-0.327353531150131</v>
      </c>
      <c r="H1855">
        <v>-0.316444321102675</v>
      </c>
      <c r="I1855">
        <v>-0.159230181564018</v>
      </c>
    </row>
    <row r="1856" spans="1:9">
      <c r="A1856" s="1" t="s">
        <v>1868</v>
      </c>
      <c r="B1856">
        <f>HYPERLINK("https://www.suredividend.com/sure-analysis-research-database/","Molina Healthcare Inc")</f>
        <v>0</v>
      </c>
      <c r="C1856">
        <v>0.015340191301209</v>
      </c>
      <c r="D1856">
        <v>0.108207485226526</v>
      </c>
      <c r="E1856">
        <v>0.134388547232583</v>
      </c>
      <c r="F1856">
        <v>0.022227605838531</v>
      </c>
      <c r="G1856">
        <v>-0.036478849117999</v>
      </c>
      <c r="H1856">
        <v>0.14636962575562</v>
      </c>
      <c r="I1856">
        <v>1.744390243902439</v>
      </c>
    </row>
    <row r="1857" spans="1:9">
      <c r="A1857" s="1" t="s">
        <v>1869</v>
      </c>
      <c r="B1857">
        <f>HYPERLINK("https://www.suredividend.com/sure-analysis-MORN/","Morningstar Inc")</f>
        <v>0</v>
      </c>
      <c r="C1857">
        <v>0.13418806855832</v>
      </c>
      <c r="D1857">
        <v>0.158568194025792</v>
      </c>
      <c r="E1857">
        <v>0.439640034509638</v>
      </c>
      <c r="F1857">
        <v>0.210886969571961</v>
      </c>
      <c r="G1857">
        <v>0.12792871114975</v>
      </c>
      <c r="H1857">
        <v>-0.154064957822242</v>
      </c>
      <c r="I1857">
        <v>1.171279002824972</v>
      </c>
    </row>
    <row r="1858" spans="1:9">
      <c r="A1858" s="1" t="s">
        <v>1870</v>
      </c>
      <c r="B1858">
        <f>HYPERLINK("https://www.suredividend.com/sure-analysis-research-database/","Mosaic Company")</f>
        <v>0</v>
      </c>
      <c r="C1858">
        <v>-0.03883495145631</v>
      </c>
      <c r="D1858">
        <v>-0.169370858884351</v>
      </c>
      <c r="E1858">
        <v>-0.214500241530674</v>
      </c>
      <c r="F1858">
        <v>-0.217127373794932</v>
      </c>
      <c r="G1858">
        <v>-0.336164069633746</v>
      </c>
      <c r="H1858">
        <v>-0.07621880934868701</v>
      </c>
      <c r="I1858">
        <v>0.119574255779145</v>
      </c>
    </row>
    <row r="1859" spans="1:9">
      <c r="A1859" s="1" t="s">
        <v>1871</v>
      </c>
      <c r="B1859">
        <f>HYPERLINK("https://www.suredividend.com/sure-analysis-research-database/","Motus GI Holdings Inc")</f>
        <v>0</v>
      </c>
      <c r="C1859">
        <v>-0.226557152635181</v>
      </c>
      <c r="D1859">
        <v>-0.398296059637912</v>
      </c>
      <c r="E1859">
        <v>-0.5300400089833051</v>
      </c>
      <c r="F1859">
        <v>-0.5515873015873011</v>
      </c>
      <c r="G1859">
        <v>-0.8048359240069081</v>
      </c>
      <c r="H1859">
        <v>-0.975758355858754</v>
      </c>
      <c r="I1859">
        <v>-0.9951208981001721</v>
      </c>
    </row>
    <row r="1860" spans="1:9">
      <c r="A1860" s="1" t="s">
        <v>1872</v>
      </c>
      <c r="B1860">
        <f>HYPERLINK("https://www.suredividend.com/sure-analysis-research-database/","Movado Group, Inc.")</f>
        <v>0</v>
      </c>
      <c r="C1860">
        <v>0.005702066999287001</v>
      </c>
      <c r="D1860">
        <v>0.041582082721253</v>
      </c>
      <c r="E1860">
        <v>0.155449282245715</v>
      </c>
      <c r="F1860">
        <v>-0.09059562441792601</v>
      </c>
      <c r="G1860">
        <v>-0.07428365234791401</v>
      </c>
      <c r="H1860">
        <v>-0.115529632264676</v>
      </c>
      <c r="I1860">
        <v>-0.185640492886618</v>
      </c>
    </row>
    <row r="1861" spans="1:9">
      <c r="A1861" s="1" t="s">
        <v>1873</v>
      </c>
      <c r="B1861">
        <f>HYPERLINK("https://www.suredividend.com/sure-analysis-research-database/","Motorcar Parts of America Inc.")</f>
        <v>0</v>
      </c>
      <c r="C1861">
        <v>-0.0575</v>
      </c>
      <c r="D1861">
        <v>-0.176855895196506</v>
      </c>
      <c r="E1861">
        <v>0.653508771929824</v>
      </c>
      <c r="F1861">
        <v>-0.364249578414839</v>
      </c>
      <c r="G1861">
        <v>-0.5993623804463331</v>
      </c>
      <c r="H1861">
        <v>-0.6079043161726471</v>
      </c>
      <c r="I1861">
        <v>-0.6471689284043051</v>
      </c>
    </row>
    <row r="1862" spans="1:9">
      <c r="A1862" s="1" t="s">
        <v>1874</v>
      </c>
      <c r="B1862">
        <f>HYPERLINK("https://www.suredividend.com/sure-analysis-research-database/","Mid Penn Bancorp, Inc.")</f>
        <v>0</v>
      </c>
      <c r="C1862">
        <v>-0.032754342431761</v>
      </c>
      <c r="D1862">
        <v>-0.167083338675282</v>
      </c>
      <c r="E1862">
        <v>0.006564099385939001</v>
      </c>
      <c r="F1862">
        <v>-0.326393353102599</v>
      </c>
      <c r="G1862">
        <v>-0.3856308867846021</v>
      </c>
      <c r="H1862">
        <v>-0.281742097873234</v>
      </c>
      <c r="I1862">
        <v>-0.136884991807271</v>
      </c>
    </row>
    <row r="1863" spans="1:9">
      <c r="A1863" s="1" t="s">
        <v>1875</v>
      </c>
      <c r="B1863">
        <f>HYPERLINK("https://www.suredividend.com/sure-analysis-MPC/","Marathon Petroleum Corp")</f>
        <v>0</v>
      </c>
      <c r="C1863">
        <v>0.038328222903612</v>
      </c>
      <c r="D1863">
        <v>0.152281335069239</v>
      </c>
      <c r="E1863">
        <v>0.347603261170477</v>
      </c>
      <c r="F1863">
        <v>0.362260563706692</v>
      </c>
      <c r="G1863">
        <v>0.39062353534587</v>
      </c>
      <c r="H1863">
        <v>1.538996919365618</v>
      </c>
      <c r="I1863">
        <v>1.696228188453836</v>
      </c>
    </row>
    <row r="1864" spans="1:9">
      <c r="A1864" s="1" t="s">
        <v>1876</v>
      </c>
      <c r="B1864">
        <f>HYPERLINK("https://www.suredividend.com/sure-analysis-MPW/","Medical Properties Trust Inc")</f>
        <v>0</v>
      </c>
      <c r="C1864">
        <v>-0.003824091778202</v>
      </c>
      <c r="D1864">
        <v>-0.4592574909962741</v>
      </c>
      <c r="E1864">
        <v>-0.338538691042976</v>
      </c>
      <c r="F1864">
        <v>-0.488573896654625</v>
      </c>
      <c r="G1864">
        <v>-0.470275436438136</v>
      </c>
      <c r="H1864">
        <v>-0.703515700579311</v>
      </c>
      <c r="I1864">
        <v>-0.5215970028649081</v>
      </c>
    </row>
    <row r="1865" spans="1:9">
      <c r="A1865" s="1" t="s">
        <v>1877</v>
      </c>
      <c r="B1865">
        <f>HYPERLINK("https://www.suredividend.com/sure-analysis-MPWR/","Monolithic Power System Inc")</f>
        <v>0</v>
      </c>
      <c r="C1865">
        <v>0.026951713327818</v>
      </c>
      <c r="D1865">
        <v>-0.106637607579603</v>
      </c>
      <c r="E1865">
        <v>0.016106008298673</v>
      </c>
      <c r="F1865">
        <v>0.347927403028064</v>
      </c>
      <c r="G1865">
        <v>0.427911535595171</v>
      </c>
      <c r="H1865">
        <v>-0.102900056425327</v>
      </c>
      <c r="I1865">
        <v>2.973158522893334</v>
      </c>
    </row>
    <row r="1866" spans="1:9">
      <c r="A1866" s="1" t="s">
        <v>1878</v>
      </c>
      <c r="B1866">
        <f>HYPERLINK("https://www.suredividend.com/sure-analysis-research-database/","Marine Products Corp")</f>
        <v>0</v>
      </c>
      <c r="C1866">
        <v>-0.305084745762711</v>
      </c>
      <c r="D1866">
        <v>-0.3933116306599581</v>
      </c>
      <c r="E1866">
        <v>-0.282081962309303</v>
      </c>
      <c r="F1866">
        <v>-0.139822544691638</v>
      </c>
      <c r="G1866">
        <v>-0.030130991454507</v>
      </c>
      <c r="H1866">
        <v>-0.164430556027308</v>
      </c>
      <c r="I1866">
        <v>-0.4585850582681321</v>
      </c>
    </row>
    <row r="1867" spans="1:9">
      <c r="A1867" s="1" t="s">
        <v>1879</v>
      </c>
      <c r="B1867">
        <f>HYPERLINK("https://www.suredividend.com/sure-analysis-research-database/","Everspin Technologies Inc")</f>
        <v>0</v>
      </c>
      <c r="C1867">
        <v>-0.16566866267465</v>
      </c>
      <c r="D1867">
        <v>-0.09425785482123501</v>
      </c>
      <c r="E1867">
        <v>0.268588770864946</v>
      </c>
      <c r="F1867">
        <v>0.503597122302158</v>
      </c>
      <c r="G1867">
        <v>0.429059829059829</v>
      </c>
      <c r="H1867">
        <v>0.280245022970903</v>
      </c>
      <c r="I1867">
        <v>0.185815602836879</v>
      </c>
    </row>
    <row r="1868" spans="1:9">
      <c r="A1868" s="1" t="s">
        <v>1880</v>
      </c>
      <c r="B1868">
        <f>HYPERLINK("https://www.suredividend.com/sure-analysis-research-database/","Meridian Corp")</f>
        <v>0</v>
      </c>
      <c r="C1868">
        <v>0.02920443101712</v>
      </c>
      <c r="D1868">
        <v>-0.173714082434552</v>
      </c>
      <c r="E1868">
        <v>0.274123572532788</v>
      </c>
      <c r="F1868">
        <v>-0.296201415860948</v>
      </c>
      <c r="G1868">
        <v>-0.29221435793731</v>
      </c>
      <c r="H1868">
        <v>-0.266041868648784</v>
      </c>
      <c r="I1868">
        <v>0.438018854650344</v>
      </c>
    </row>
    <row r="1869" spans="1:9">
      <c r="A1869" s="1" t="s">
        <v>1881</v>
      </c>
      <c r="B1869">
        <f>HYPERLINK("https://www.suredividend.com/sure-analysis-research-database/","MRC Global Inc")</f>
        <v>0</v>
      </c>
      <c r="C1869">
        <v>0.10010111223458</v>
      </c>
      <c r="D1869">
        <v>-0.027703306523681</v>
      </c>
      <c r="E1869">
        <v>0.177489177489177</v>
      </c>
      <c r="F1869">
        <v>-0.060449050086355</v>
      </c>
      <c r="G1869">
        <v>0.093467336683417</v>
      </c>
      <c r="H1869">
        <v>0.286052009456264</v>
      </c>
      <c r="I1869">
        <v>-0.335369578497251</v>
      </c>
    </row>
    <row r="1870" spans="1:9">
      <c r="A1870" s="1" t="s">
        <v>1882</v>
      </c>
      <c r="B1870">
        <f>HYPERLINK("https://www.suredividend.com/sure-analysis-research-database/","Mercury Systems Inc")</f>
        <v>0</v>
      </c>
      <c r="C1870">
        <v>0.021487603305785</v>
      </c>
      <c r="D1870">
        <v>-0.009086050240513</v>
      </c>
      <c r="E1870">
        <v>-0.181095406360424</v>
      </c>
      <c r="F1870">
        <v>-0.171211443898077</v>
      </c>
      <c r="G1870">
        <v>-0.258992805755395</v>
      </c>
      <c r="H1870">
        <v>-0.28</v>
      </c>
      <c r="I1870">
        <v>-0.227339028964367</v>
      </c>
    </row>
    <row r="1871" spans="1:9">
      <c r="A1871" s="1" t="s">
        <v>1883</v>
      </c>
      <c r="B1871">
        <f>HYPERLINK("https://www.suredividend.com/sure-analysis-research-database/","Marin Software Inc")</f>
        <v>0</v>
      </c>
      <c r="C1871">
        <v>-0.223529411764705</v>
      </c>
      <c r="D1871">
        <v>-0.541029207232267</v>
      </c>
      <c r="E1871">
        <v>-0.5600000000000001</v>
      </c>
      <c r="F1871">
        <v>-0.669999999999999</v>
      </c>
      <c r="G1871">
        <v>-0.705357142857142</v>
      </c>
      <c r="H1871">
        <v>-0.947284345047923</v>
      </c>
      <c r="I1871">
        <v>-0.8625</v>
      </c>
    </row>
    <row r="1872" spans="1:9">
      <c r="A1872" s="1" t="s">
        <v>1884</v>
      </c>
      <c r="B1872">
        <f>HYPERLINK("https://www.suredividend.com/sure-analysis-MRK/","Merck &amp; Co Inc")</f>
        <v>0</v>
      </c>
      <c r="C1872">
        <v>0.002925402242808</v>
      </c>
      <c r="D1872">
        <v>-0.02032970644182</v>
      </c>
      <c r="E1872">
        <v>-0.115760188316857</v>
      </c>
      <c r="F1872">
        <v>-0.053917938764528</v>
      </c>
      <c r="G1872">
        <v>0.063010640441947</v>
      </c>
      <c r="H1872">
        <v>0.228598084175393</v>
      </c>
      <c r="I1872">
        <v>0.658103426317172</v>
      </c>
    </row>
    <row r="1873" spans="1:9">
      <c r="A1873" s="1" t="s">
        <v>1885</v>
      </c>
      <c r="B1873">
        <f>HYPERLINK("https://www.suredividend.com/sure-analysis-research-database/","Marker Therapeutics Inc")</f>
        <v>0</v>
      </c>
      <c r="C1873">
        <v>-0.291855203619909</v>
      </c>
      <c r="D1873">
        <v>-0.457538994800693</v>
      </c>
      <c r="E1873">
        <v>1.769911504424778</v>
      </c>
      <c r="F1873">
        <v>0.177134261000376</v>
      </c>
      <c r="G1873">
        <v>-0.255293837734951</v>
      </c>
      <c r="H1873">
        <v>-0.7967532467532461</v>
      </c>
      <c r="I1873">
        <v>-0.966015200868621</v>
      </c>
    </row>
    <row r="1874" spans="1:9">
      <c r="A1874" s="1" t="s">
        <v>1886</v>
      </c>
      <c r="B1874">
        <f>HYPERLINK("https://www.suredividend.com/sure-analysis-research-database/","Marlin Business Services Corp")</f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</row>
    <row r="1875" spans="1:9">
      <c r="A1875" s="1" t="s">
        <v>1887</v>
      </c>
      <c r="B1875">
        <f>HYPERLINK("https://www.suredividend.com/sure-analysis-research-database/","Marinus Pharmaceuticals Inc")</f>
        <v>0</v>
      </c>
      <c r="C1875">
        <v>-0.16445623342175</v>
      </c>
      <c r="D1875">
        <v>-0.397705544933078</v>
      </c>
      <c r="E1875">
        <v>-0.284903518728717</v>
      </c>
      <c r="F1875">
        <v>0.582914572864321</v>
      </c>
      <c r="G1875">
        <v>0.086206896551724</v>
      </c>
      <c r="H1875">
        <v>-0.484029484029484</v>
      </c>
      <c r="I1875">
        <v>-0.711538461538461</v>
      </c>
    </row>
    <row r="1876" spans="1:9">
      <c r="A1876" s="1" t="s">
        <v>1888</v>
      </c>
      <c r="B1876">
        <f>HYPERLINK("https://www.suredividend.com/sure-analysis-research-database/","Marathon Oil Corporation")</f>
        <v>0</v>
      </c>
      <c r="C1876">
        <v>0.09495896834701001</v>
      </c>
      <c r="D1876">
        <v>0.09398425787106401</v>
      </c>
      <c r="E1876">
        <v>0.242346180960446</v>
      </c>
      <c r="F1876">
        <v>0.04745705687744101</v>
      </c>
      <c r="G1876">
        <v>-0.044576213971282</v>
      </c>
      <c r="H1876">
        <v>0.7027638007729891</v>
      </c>
      <c r="I1876">
        <v>0.644153923789182</v>
      </c>
    </row>
    <row r="1877" spans="1:9">
      <c r="A1877" s="1" t="s">
        <v>1889</v>
      </c>
      <c r="B1877">
        <f>HYPERLINK("https://www.suredividend.com/sure-analysis-research-database/","Mersana Therapeutics Inc")</f>
        <v>0</v>
      </c>
      <c r="C1877">
        <v>0.015873015873015</v>
      </c>
      <c r="D1877">
        <v>0.20754716981132</v>
      </c>
      <c r="E1877">
        <v>-0.707762557077625</v>
      </c>
      <c r="F1877">
        <v>-0.781569965870307</v>
      </c>
      <c r="G1877">
        <v>-0.8279569892473111</v>
      </c>
      <c r="H1877">
        <v>-0.863829787234042</v>
      </c>
      <c r="I1877">
        <v>-0.8136826783114991</v>
      </c>
    </row>
    <row r="1878" spans="1:9">
      <c r="A1878" s="1" t="s">
        <v>1890</v>
      </c>
      <c r="B1878">
        <f>HYPERLINK("https://www.suredividend.com/sure-analysis-research-database/","Marten Transport, Ltd.")</f>
        <v>0</v>
      </c>
      <c r="C1878">
        <v>-0.09263050153531201</v>
      </c>
      <c r="D1878">
        <v>-0.203457524473576</v>
      </c>
      <c r="E1878">
        <v>-0.124880923588728</v>
      </c>
      <c r="F1878">
        <v>-0.09080653101411201</v>
      </c>
      <c r="G1878">
        <v>-0.03545373931682001</v>
      </c>
      <c r="H1878">
        <v>0.07260177012565</v>
      </c>
      <c r="I1878">
        <v>0.5662820897895721</v>
      </c>
    </row>
    <row r="1879" spans="1:9">
      <c r="A1879" s="1" t="s">
        <v>1891</v>
      </c>
      <c r="B1879">
        <f>HYPERLINK("https://www.suredividend.com/sure-analysis-research-database/","Mirati Therapeutics Inc")</f>
        <v>0</v>
      </c>
      <c r="C1879">
        <v>0.326506311026434</v>
      </c>
      <c r="D1879">
        <v>0.850498338870431</v>
      </c>
      <c r="E1879">
        <v>0.265621449670529</v>
      </c>
      <c r="F1879">
        <v>0.229309203266387</v>
      </c>
      <c r="G1879">
        <v>-0.142945068472072</v>
      </c>
      <c r="H1879">
        <v>-0.666786312514955</v>
      </c>
      <c r="I1879">
        <v>0.4743250397035461</v>
      </c>
    </row>
    <row r="1880" spans="1:9">
      <c r="A1880" s="1" t="s">
        <v>1892</v>
      </c>
      <c r="B1880">
        <f>HYPERLINK("https://www.suredividend.com/sure-analysis-research-database/","Marvell Technology Inc")</f>
        <v>0</v>
      </c>
      <c r="C1880">
        <v>-0.102211973444568</v>
      </c>
      <c r="D1880">
        <v>-0.210911050795382</v>
      </c>
      <c r="E1880">
        <v>0.243575495713606</v>
      </c>
      <c r="F1880">
        <v>0.329978921601958</v>
      </c>
      <c r="G1880">
        <v>0.261522030199134</v>
      </c>
      <c r="H1880">
        <v>-0.292359654949358</v>
      </c>
      <c r="I1880">
        <v>0.04291743890188601</v>
      </c>
    </row>
    <row r="1881" spans="1:9">
      <c r="A1881" s="1" t="s">
        <v>1893</v>
      </c>
      <c r="B1881">
        <f>HYPERLINK("https://www.suredividend.com/sure-analysis-MS/","Morgan Stanley")</f>
        <v>0</v>
      </c>
      <c r="C1881">
        <v>-0.075266461981568</v>
      </c>
      <c r="D1881">
        <v>-0.167512828416529</v>
      </c>
      <c r="E1881">
        <v>-0.130310216191194</v>
      </c>
      <c r="F1881">
        <v>-0.102493616293418</v>
      </c>
      <c r="G1881">
        <v>-0.095578603157718</v>
      </c>
      <c r="H1881">
        <v>-0.245259756605004</v>
      </c>
      <c r="I1881">
        <v>0.8656839613656621</v>
      </c>
    </row>
    <row r="1882" spans="1:9">
      <c r="A1882" s="1" t="s">
        <v>1894</v>
      </c>
      <c r="B1882">
        <f>HYPERLINK("https://www.suredividend.com/sure-analysis-MSA/","MSA Safety Inc")</f>
        <v>0</v>
      </c>
      <c r="C1882">
        <v>0.024404378622021</v>
      </c>
      <c r="D1882">
        <v>-0.124540437383097</v>
      </c>
      <c r="E1882">
        <v>0.208434200761566</v>
      </c>
      <c r="F1882">
        <v>0.113624877325564</v>
      </c>
      <c r="G1882">
        <v>0.224596304273193</v>
      </c>
      <c r="H1882">
        <v>0.07451134015048101</v>
      </c>
      <c r="I1882">
        <v>0.59582791660648</v>
      </c>
    </row>
    <row r="1883" spans="1:9">
      <c r="A1883" s="1" t="s">
        <v>1895</v>
      </c>
      <c r="B1883">
        <f>HYPERLINK("https://www.suredividend.com/sure-analysis-research-database/","Midland States Bancorp Inc")</f>
        <v>0</v>
      </c>
      <c r="C1883">
        <v>0.09456838021338401</v>
      </c>
      <c r="D1883">
        <v>-0.020059048280652</v>
      </c>
      <c r="E1883">
        <v>0.228419654714475</v>
      </c>
      <c r="F1883">
        <v>-0.106035940761513</v>
      </c>
      <c r="G1883">
        <v>-0.117425086712887</v>
      </c>
      <c r="H1883">
        <v>0.018405295527048</v>
      </c>
      <c r="I1883">
        <v>0.06664524239359501</v>
      </c>
    </row>
    <row r="1884" spans="1:9">
      <c r="A1884" s="1" t="s">
        <v>1896</v>
      </c>
      <c r="B1884">
        <f>HYPERLINK("https://www.suredividend.com/sure-analysis-research-database/","MSCI Inc")</f>
        <v>0</v>
      </c>
      <c r="C1884">
        <v>-0.039389337067792</v>
      </c>
      <c r="D1884">
        <v>-0.104532607280678</v>
      </c>
      <c r="E1884">
        <v>0.045215630718806</v>
      </c>
      <c r="F1884">
        <v>0.055243521569201</v>
      </c>
      <c r="G1884">
        <v>0.084723686341083</v>
      </c>
      <c r="H1884">
        <v>-0.241278842877793</v>
      </c>
      <c r="I1884">
        <v>2.546609049380315</v>
      </c>
    </row>
    <row r="1885" spans="1:9">
      <c r="A1885" s="1" t="s">
        <v>1897</v>
      </c>
      <c r="B1885">
        <f>HYPERLINK("https://www.suredividend.com/sure-analysis-MSEX/","Middlesex Water Co.")</f>
        <v>0</v>
      </c>
      <c r="C1885">
        <v>0.020674646354733</v>
      </c>
      <c r="D1885">
        <v>-0.17717339134641</v>
      </c>
      <c r="E1885">
        <v>-0.042077958456003</v>
      </c>
      <c r="F1885">
        <v>-0.152200972012044</v>
      </c>
      <c r="G1885">
        <v>-0.22001772363016</v>
      </c>
      <c r="H1885">
        <v>-0.325568018406672</v>
      </c>
      <c r="I1885">
        <v>0.625159025993633</v>
      </c>
    </row>
    <row r="1886" spans="1:9">
      <c r="A1886" s="1" t="s">
        <v>1898</v>
      </c>
      <c r="B1886">
        <f>HYPERLINK("https://www.suredividend.com/sure-analysis-MSFT/","Microsoft Corporation")</f>
        <v>0</v>
      </c>
      <c r="C1886">
        <v>0.08241143567433101</v>
      </c>
      <c r="D1886">
        <v>0.06582425588594601</v>
      </c>
      <c r="E1886">
        <v>0.145412693193028</v>
      </c>
      <c r="F1886">
        <v>0.462333124960379</v>
      </c>
      <c r="G1886">
        <v>0.597842142444287</v>
      </c>
      <c r="H1886">
        <v>0.064540519593083</v>
      </c>
      <c r="I1886">
        <v>2.463138041326595</v>
      </c>
    </row>
    <row r="1887" spans="1:9">
      <c r="A1887" s="1" t="s">
        <v>1899</v>
      </c>
      <c r="B1887">
        <f>HYPERLINK("https://www.suredividend.com/sure-analysis-research-database/","MSG Networks Inc")</f>
        <v>0</v>
      </c>
      <c r="C1887">
        <v>-0.092248558616271</v>
      </c>
      <c r="D1887">
        <v>-0.114375</v>
      </c>
      <c r="E1887">
        <v>0.037335285505124</v>
      </c>
      <c r="F1887">
        <v>0</v>
      </c>
      <c r="G1887">
        <v>0.48844537815126</v>
      </c>
      <c r="H1887">
        <v>-0.307090464547677</v>
      </c>
      <c r="I1887">
        <v>-0.09974587039390001</v>
      </c>
    </row>
    <row r="1888" spans="1:9">
      <c r="A1888" s="1" t="s">
        <v>1900</v>
      </c>
      <c r="B1888">
        <f>HYPERLINK("https://www.suredividend.com/sure-analysis-research-database/","Motorola Solutions Inc")</f>
        <v>0</v>
      </c>
      <c r="C1888">
        <v>0.030228638428843</v>
      </c>
      <c r="D1888">
        <v>-0.019446465201631</v>
      </c>
      <c r="E1888">
        <v>-0.034842736725612</v>
      </c>
      <c r="F1888">
        <v>0.101634252099773</v>
      </c>
      <c r="G1888">
        <v>0.187329688478506</v>
      </c>
      <c r="H1888">
        <v>0.14813877137677</v>
      </c>
      <c r="I1888">
        <v>1.348575084739816</v>
      </c>
    </row>
    <row r="1889" spans="1:9">
      <c r="A1889" s="1" t="s">
        <v>1901</v>
      </c>
      <c r="B1889">
        <f>HYPERLINK("https://www.suredividend.com/sure-analysis-MSM/","MSC Industrial Direct Co., Inc.")</f>
        <v>0</v>
      </c>
      <c r="C1889">
        <v>-0.006149431177616</v>
      </c>
      <c r="D1889">
        <v>-0.037327509182964</v>
      </c>
      <c r="E1889">
        <v>0.07249428747757501</v>
      </c>
      <c r="F1889">
        <v>0.220408522848836</v>
      </c>
      <c r="G1889">
        <v>0.221077020909543</v>
      </c>
      <c r="H1889">
        <v>0.23301222712754</v>
      </c>
      <c r="I1889">
        <v>0.437840851465123</v>
      </c>
    </row>
    <row r="1890" spans="1:9">
      <c r="A1890" s="1" t="s">
        <v>1902</v>
      </c>
      <c r="B1890">
        <f>HYPERLINK("https://www.suredividend.com/sure-analysis-research-database/","Emerson Radio Corp.")</f>
        <v>0</v>
      </c>
      <c r="C1890">
        <v>-0.004705030763662001</v>
      </c>
      <c r="D1890">
        <v>-0.05008635578583701</v>
      </c>
      <c r="E1890">
        <v>0.014760147601476</v>
      </c>
      <c r="F1890">
        <v>0.037344398340249</v>
      </c>
      <c r="G1890">
        <v>-0.002538991657598</v>
      </c>
      <c r="H1890">
        <v>-0.533898305084745</v>
      </c>
      <c r="I1890">
        <v>-0.618055555555555</v>
      </c>
    </row>
    <row r="1891" spans="1:9">
      <c r="A1891" s="1" t="s">
        <v>1903</v>
      </c>
      <c r="B1891">
        <f>HYPERLINK("https://www.suredividend.com/sure-analysis-research-database/","Misonix Inc")</f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</row>
    <row r="1892" spans="1:9">
      <c r="A1892" s="1" t="s">
        <v>1904</v>
      </c>
      <c r="B1892">
        <f>HYPERLINK("https://www.suredividend.com/sure-analysis-research-database/","Microstrategy Inc.")</f>
        <v>0</v>
      </c>
      <c r="C1892">
        <v>0.376764089957206</v>
      </c>
      <c r="D1892">
        <v>0.113667051285198</v>
      </c>
      <c r="E1892">
        <v>0.382976128776561</v>
      </c>
      <c r="F1892">
        <v>2.204280567916931</v>
      </c>
      <c r="G1892">
        <v>0.827458405511018</v>
      </c>
      <c r="H1892">
        <v>-0.428778301055229</v>
      </c>
      <c r="I1892">
        <v>2.579499723822299</v>
      </c>
    </row>
    <row r="1893" spans="1:9">
      <c r="A1893" s="1" t="s">
        <v>1905</v>
      </c>
      <c r="B1893">
        <f>HYPERLINK("https://www.suredividend.com/sure-analysis-MTB/","M &amp; T Bank Corp")</f>
        <v>0</v>
      </c>
      <c r="C1893">
        <v>-0.029893529893529</v>
      </c>
      <c r="D1893">
        <v>-0.135443110039954</v>
      </c>
      <c r="E1893">
        <v>0.030119135517411</v>
      </c>
      <c r="F1893">
        <v>-0.159079211259606</v>
      </c>
      <c r="G1893">
        <v>-0.249609283685701</v>
      </c>
      <c r="H1893">
        <v>-0.178708120701131</v>
      </c>
      <c r="I1893">
        <v>-0.157622996287709</v>
      </c>
    </row>
    <row r="1894" spans="1:9">
      <c r="A1894" s="1" t="s">
        <v>1906</v>
      </c>
      <c r="B1894">
        <f>HYPERLINK("https://www.suredividend.com/sure-analysis-research-database/","Match Group Inc.")</f>
        <v>0</v>
      </c>
      <c r="C1894">
        <v>-0.234321700341117</v>
      </c>
      <c r="D1894">
        <v>-0.362185792349726</v>
      </c>
      <c r="E1894">
        <v>-0.156403584851113</v>
      </c>
      <c r="F1894">
        <v>-0.296697999517956</v>
      </c>
      <c r="G1894">
        <v>-0.362046348928727</v>
      </c>
      <c r="H1894">
        <v>-0.803567822282059</v>
      </c>
      <c r="I1894">
        <v>-0.7050141528507881</v>
      </c>
    </row>
    <row r="1895" spans="1:9">
      <c r="A1895" s="1" t="s">
        <v>1907</v>
      </c>
      <c r="B1895">
        <f>HYPERLINK("https://www.suredividend.com/sure-analysis-research-database/","Mettler-Toledo International, Inc.")</f>
        <v>0</v>
      </c>
      <c r="C1895">
        <v>-0.08840002575115101</v>
      </c>
      <c r="D1895">
        <v>-0.232750212864772</v>
      </c>
      <c r="E1895">
        <v>-0.340288454498865</v>
      </c>
      <c r="F1895">
        <v>-0.314255076273824</v>
      </c>
      <c r="G1895">
        <v>-0.199869229341061</v>
      </c>
      <c r="H1895">
        <v>-0.325634082621237</v>
      </c>
      <c r="I1895">
        <v>0.745733457792493</v>
      </c>
    </row>
    <row r="1896" spans="1:9">
      <c r="A1896" s="1" t="s">
        <v>1908</v>
      </c>
      <c r="B1896">
        <f>HYPERLINK("https://www.suredividend.com/sure-analysis-research-database/","Matador Resources Co")</f>
        <v>0</v>
      </c>
      <c r="C1896">
        <v>0.11459802538787</v>
      </c>
      <c r="D1896">
        <v>0.144682261046219</v>
      </c>
      <c r="E1896">
        <v>0.412645884400787</v>
      </c>
      <c r="F1896">
        <v>0.114154092339793</v>
      </c>
      <c r="G1896">
        <v>-0.05206305984807801</v>
      </c>
      <c r="H1896">
        <v>0.487483912256801</v>
      </c>
      <c r="I1896">
        <v>1.350229558170226</v>
      </c>
    </row>
    <row r="1897" spans="1:9">
      <c r="A1897" s="1" t="s">
        <v>1909</v>
      </c>
      <c r="B1897">
        <f>HYPERLINK("https://www.suredividend.com/sure-analysis-research-database/","Molecular Templates Inc")</f>
        <v>0</v>
      </c>
      <c r="C1897">
        <v>-0.211878009630818</v>
      </c>
      <c r="D1897">
        <v>-0.4720430107526881</v>
      </c>
      <c r="E1897">
        <v>-0.171098168312652</v>
      </c>
      <c r="F1897">
        <v>-0.002032520325203</v>
      </c>
      <c r="G1897">
        <v>-0.441696514867246</v>
      </c>
      <c r="H1897">
        <v>-0.9436603557085481</v>
      </c>
      <c r="I1897">
        <v>-0.9264419475655431</v>
      </c>
    </row>
    <row r="1898" spans="1:9">
      <c r="A1898" s="1" t="s">
        <v>1910</v>
      </c>
      <c r="B1898">
        <f>HYPERLINK("https://www.suredividend.com/sure-analysis-research-database/","Mannatech Inc")</f>
        <v>0</v>
      </c>
      <c r="C1898">
        <v>-0.181065918653576</v>
      </c>
      <c r="D1898">
        <v>-0.260261824324324</v>
      </c>
      <c r="E1898">
        <v>-0.290700593613592</v>
      </c>
      <c r="F1898">
        <v>-0.491110336412759</v>
      </c>
      <c r="G1898">
        <v>-0.5565787941535331</v>
      </c>
      <c r="H1898">
        <v>-0.7562648708066061</v>
      </c>
      <c r="I1898">
        <v>-0.401864372054906</v>
      </c>
    </row>
    <row r="1899" spans="1:9">
      <c r="A1899" s="1" t="s">
        <v>1911</v>
      </c>
      <c r="B1899">
        <f>HYPERLINK("https://www.suredividend.com/sure-analysis-research-database/","MGIC Investment Corp")</f>
        <v>0</v>
      </c>
      <c r="C1899">
        <v>0.03241296518607401</v>
      </c>
      <c r="D1899">
        <v>0.024278985010987</v>
      </c>
      <c r="E1899">
        <v>0.196138974658544</v>
      </c>
      <c r="F1899">
        <v>0.350120882916261</v>
      </c>
      <c r="G1899">
        <v>0.309757694826457</v>
      </c>
      <c r="H1899">
        <v>0.103066139076117</v>
      </c>
      <c r="I1899">
        <v>0.548865815991138</v>
      </c>
    </row>
    <row r="1900" spans="1:9">
      <c r="A1900" s="1" t="s">
        <v>1912</v>
      </c>
      <c r="B1900">
        <f>HYPERLINK("https://www.suredividend.com/sure-analysis-research-database/","Meritage Homes Corp.")</f>
        <v>0</v>
      </c>
      <c r="C1900">
        <v>0.05396667495647801</v>
      </c>
      <c r="D1900">
        <v>-0.13921856698916</v>
      </c>
      <c r="E1900">
        <v>0.010088170194374</v>
      </c>
      <c r="F1900">
        <v>0.388244363328248</v>
      </c>
      <c r="G1900">
        <v>0.727809525103792</v>
      </c>
      <c r="H1900">
        <v>0.195555175238072</v>
      </c>
      <c r="I1900">
        <v>2.355954483184593</v>
      </c>
    </row>
    <row r="1901" spans="1:9">
      <c r="A1901" s="1" t="s">
        <v>1913</v>
      </c>
      <c r="B1901">
        <f>HYPERLINK("https://www.suredividend.com/sure-analysis-research-database/","Vail Resorts Inc.")</f>
        <v>0</v>
      </c>
      <c r="C1901">
        <v>0.037956790405308</v>
      </c>
      <c r="D1901">
        <v>-0.050499767878672</v>
      </c>
      <c r="E1901">
        <v>-0.09104237526042501</v>
      </c>
      <c r="F1901">
        <v>-0.058677887363129</v>
      </c>
      <c r="G1901">
        <v>0.055497408534521</v>
      </c>
      <c r="H1901">
        <v>-0.342968866665703</v>
      </c>
      <c r="I1901">
        <v>-0.046013676587139</v>
      </c>
    </row>
    <row r="1902" spans="1:9">
      <c r="A1902" s="1" t="s">
        <v>1914</v>
      </c>
      <c r="B1902">
        <f>HYPERLINK("https://www.suredividend.com/sure-analysis-research-database/","Matinas Biopharma Holdings Inc")</f>
        <v>0</v>
      </c>
      <c r="C1902">
        <v>0.6865079365079361</v>
      </c>
      <c r="D1902">
        <v>-0.3768328445747801</v>
      </c>
      <c r="E1902">
        <v>-0.64794565937707</v>
      </c>
      <c r="F1902">
        <v>-0.5750000000000001</v>
      </c>
      <c r="G1902">
        <v>-0.7292648745063061</v>
      </c>
      <c r="H1902">
        <v>-0.811946902654867</v>
      </c>
      <c r="I1902">
        <v>-0.7138817826847981</v>
      </c>
    </row>
    <row r="1903" spans="1:9">
      <c r="A1903" s="1" t="s">
        <v>1915</v>
      </c>
      <c r="B1903">
        <f>HYPERLINK("https://www.suredividend.com/sure-analysis-research-database/","Meritor Inc")</f>
        <v>0</v>
      </c>
      <c r="C1903">
        <v>0.006063947078279001</v>
      </c>
      <c r="D1903">
        <v>0.015581524763494</v>
      </c>
      <c r="E1903">
        <v>0.5316827528325641</v>
      </c>
      <c r="F1903">
        <v>0.472962066182405</v>
      </c>
      <c r="G1903">
        <v>0.5323257766582701</v>
      </c>
      <c r="H1903">
        <v>0.604395604395604</v>
      </c>
      <c r="I1903">
        <v>1.005494505494505</v>
      </c>
    </row>
    <row r="1904" spans="1:9">
      <c r="A1904" s="1" t="s">
        <v>1916</v>
      </c>
      <c r="B1904">
        <f>HYPERLINK("https://www.suredividend.com/sure-analysis-research-database/","Materion Corp")</f>
        <v>0</v>
      </c>
      <c r="C1904">
        <v>0.060875649740103</v>
      </c>
      <c r="D1904">
        <v>-0.015311703530237</v>
      </c>
      <c r="E1904">
        <v>-0.003931528152801</v>
      </c>
      <c r="F1904">
        <v>0.217162530707176</v>
      </c>
      <c r="G1904">
        <v>0.582270460458147</v>
      </c>
      <c r="H1904">
        <v>0.243012228673023</v>
      </c>
      <c r="I1904">
        <v>0.877360409683096</v>
      </c>
    </row>
    <row r="1905" spans="1:9">
      <c r="A1905" s="1" t="s">
        <v>1917</v>
      </c>
      <c r="B1905">
        <f>HYPERLINK("https://www.suredividend.com/sure-analysis-research-database/","Matrix Service Co.")</f>
        <v>0</v>
      </c>
      <c r="C1905">
        <v>0.05235137533274101</v>
      </c>
      <c r="D1905">
        <v>0.8246153846153841</v>
      </c>
      <c r="E1905">
        <v>1.31640625</v>
      </c>
      <c r="F1905">
        <v>0.9067524115755621</v>
      </c>
      <c r="G1905">
        <v>1.561555075593952</v>
      </c>
      <c r="H1905">
        <v>0.140384615384615</v>
      </c>
      <c r="I1905">
        <v>-0.4237123420796891</v>
      </c>
    </row>
    <row r="1906" spans="1:9">
      <c r="A1906" s="1" t="s">
        <v>1918</v>
      </c>
      <c r="B1906">
        <f>HYPERLINK("https://www.suredividend.com/sure-analysis-research-database/","MTS Systems Corp.")</f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</row>
    <row r="1907" spans="1:9">
      <c r="A1907" s="1" t="s">
        <v>1919</v>
      </c>
      <c r="B1907">
        <f>HYPERLINK("https://www.suredividend.com/sure-analysis-research-database/","MACOM Technology Solutions Holdings Inc")</f>
        <v>0</v>
      </c>
      <c r="C1907">
        <v>-0.109982872522632</v>
      </c>
      <c r="D1907">
        <v>0.08162355040142701</v>
      </c>
      <c r="E1907">
        <v>0.27052043311212</v>
      </c>
      <c r="F1907">
        <v>0.155128612257859</v>
      </c>
      <c r="G1907">
        <v>0.266098155238426</v>
      </c>
      <c r="H1907">
        <v>0.001238645747316</v>
      </c>
      <c r="I1907">
        <v>3.4010889292196</v>
      </c>
    </row>
    <row r="1908" spans="1:9">
      <c r="A1908" s="1" t="s">
        <v>1920</v>
      </c>
      <c r="B1908">
        <f>HYPERLINK("https://www.suredividend.com/sure-analysis-research-database/","Manitowoc Co., Inc.")</f>
        <v>0</v>
      </c>
      <c r="C1908">
        <v>-0.07817811012916301</v>
      </c>
      <c r="D1908">
        <v>-0.25657894736842</v>
      </c>
      <c r="E1908">
        <v>-0.198107628622117</v>
      </c>
      <c r="F1908">
        <v>0.4803493449781661</v>
      </c>
      <c r="G1908">
        <v>0.506666666666666</v>
      </c>
      <c r="H1908">
        <v>-0.393559928443649</v>
      </c>
      <c r="I1908">
        <v>-0.27641408751334</v>
      </c>
    </row>
    <row r="1909" spans="1:9">
      <c r="A1909" s="1" t="s">
        <v>1921</v>
      </c>
      <c r="B1909">
        <f>HYPERLINK("https://www.suredividend.com/sure-analysis-research-database/","Minerals Technologies, Inc.")</f>
        <v>0</v>
      </c>
      <c r="C1909">
        <v>0.06101984092169101</v>
      </c>
      <c r="D1909">
        <v>-0.06565100322518</v>
      </c>
      <c r="E1909">
        <v>-0.04141123694040801</v>
      </c>
      <c r="F1909">
        <v>-0.059752994928224</v>
      </c>
      <c r="G1909">
        <v>0.085190509737885</v>
      </c>
      <c r="H1909">
        <v>-0.229610915562157</v>
      </c>
      <c r="I1909">
        <v>-0.01258073594352</v>
      </c>
    </row>
    <row r="1910" spans="1:9">
      <c r="A1910" s="1" t="s">
        <v>1922</v>
      </c>
      <c r="B1910">
        <f>HYPERLINK("https://www.suredividend.com/sure-analysis-research-database/","Mastec Inc.")</f>
        <v>0</v>
      </c>
      <c r="C1910">
        <v>-0.288773896794595</v>
      </c>
      <c r="D1910">
        <v>-0.594692005242464</v>
      </c>
      <c r="E1910">
        <v>-0.431395081590439</v>
      </c>
      <c r="F1910">
        <v>-0.4201335989687091</v>
      </c>
      <c r="G1910">
        <v>-0.350656167979002</v>
      </c>
      <c r="H1910">
        <v>-0.4492430988423861</v>
      </c>
      <c r="I1910">
        <v>0.036664571548292</v>
      </c>
    </row>
    <row r="1911" spans="1:9">
      <c r="A1911" s="1" t="s">
        <v>1923</v>
      </c>
      <c r="B1911">
        <f>HYPERLINK("https://www.suredividend.com/sure-analysis-MU/","Micron Technology Inc.")</f>
        <v>0</v>
      </c>
      <c r="C1911">
        <v>0.039953464887545</v>
      </c>
      <c r="D1911">
        <v>0.03674986864008201</v>
      </c>
      <c r="E1911">
        <v>0.146064673581452</v>
      </c>
      <c r="F1911">
        <v>0.425137779504236</v>
      </c>
      <c r="G1911">
        <v>0.335651699049836</v>
      </c>
      <c r="H1911">
        <v>0.015484553649559</v>
      </c>
      <c r="I1911">
        <v>0.784628481089626</v>
      </c>
    </row>
    <row r="1912" spans="1:9">
      <c r="A1912" s="1" t="s">
        <v>1924</v>
      </c>
      <c r="B1912">
        <f>HYPERLINK("https://www.suredividend.com/sure-analysis-research-database/","Murphy Oil Corp.")</f>
        <v>0</v>
      </c>
      <c r="C1912">
        <v>0.051504102096627</v>
      </c>
      <c r="D1912">
        <v>0.110490695368382</v>
      </c>
      <c r="E1912">
        <v>0.365642286962467</v>
      </c>
      <c r="F1912">
        <v>0.095813630933579</v>
      </c>
      <c r="G1912">
        <v>-0.015959205174851</v>
      </c>
      <c r="H1912">
        <v>0.6842796911788861</v>
      </c>
      <c r="I1912">
        <v>0.7991109724713401</v>
      </c>
    </row>
    <row r="1913" spans="1:9">
      <c r="A1913" s="1" t="s">
        <v>1925</v>
      </c>
      <c r="B1913">
        <f>HYPERLINK("https://www.suredividend.com/sure-analysis-research-database/","Murphy USA Inc")</f>
        <v>0</v>
      </c>
      <c r="C1913">
        <v>0.067744440928573</v>
      </c>
      <c r="D1913">
        <v>0.242110067857934</v>
      </c>
      <c r="E1913">
        <v>0.347681296864584</v>
      </c>
      <c r="F1913">
        <v>0.33309916644489</v>
      </c>
      <c r="G1913">
        <v>0.217201904735046</v>
      </c>
      <c r="H1913">
        <v>1.283181420594274</v>
      </c>
      <c r="I1913">
        <v>3.640005200286016</v>
      </c>
    </row>
    <row r="1914" spans="1:9">
      <c r="A1914" s="1" t="s">
        <v>1926</v>
      </c>
      <c r="B1914">
        <f>HYPERLINK("https://www.suredividend.com/sure-analysis-research-database/","McEwen Mining Inc")</f>
        <v>0</v>
      </c>
      <c r="C1914">
        <v>0.090016366612111</v>
      </c>
      <c r="D1914">
        <v>-0.133940182054616</v>
      </c>
      <c r="E1914">
        <v>-0.225581395348837</v>
      </c>
      <c r="F1914">
        <v>0.136518771331058</v>
      </c>
      <c r="G1914">
        <v>0.892045454545454</v>
      </c>
      <c r="H1914">
        <v>-0.9400000000000001</v>
      </c>
      <c r="I1914">
        <v>-0.9659201682499801</v>
      </c>
    </row>
    <row r="1915" spans="1:9">
      <c r="A1915" s="1" t="s">
        <v>1927</v>
      </c>
      <c r="B1915">
        <f>HYPERLINK("https://www.suredividend.com/sure-analysis-research-database/","MVB Financial Corp.")</f>
        <v>0</v>
      </c>
      <c r="C1915">
        <v>-0.05909090909090901</v>
      </c>
      <c r="D1915">
        <v>-0.192374769319605</v>
      </c>
      <c r="E1915">
        <v>0.257785204314142</v>
      </c>
      <c r="F1915">
        <v>-0.022252032251512</v>
      </c>
      <c r="G1915">
        <v>-0.132602820088415</v>
      </c>
      <c r="H1915">
        <v>-0.482653910461637</v>
      </c>
      <c r="I1915">
        <v>0.27461484464477</v>
      </c>
    </row>
    <row r="1916" spans="1:9">
      <c r="A1916" s="1" t="s">
        <v>1928</v>
      </c>
      <c r="B1916">
        <f>HYPERLINK("https://www.suredividend.com/sure-analysis-research-database/","Microvision Inc.")</f>
        <v>0</v>
      </c>
      <c r="C1916">
        <v>-0.023809523809523</v>
      </c>
      <c r="D1916">
        <v>-0.430555555555555</v>
      </c>
      <c r="E1916">
        <v>0.045918367346938</v>
      </c>
      <c r="F1916">
        <v>-0.127659574468085</v>
      </c>
      <c r="G1916">
        <v>-0.397058823529411</v>
      </c>
      <c r="H1916">
        <v>-0.763552479815455</v>
      </c>
      <c r="I1916">
        <v>0.915887850467289</v>
      </c>
    </row>
    <row r="1917" spans="1:9">
      <c r="A1917" s="1" t="s">
        <v>1929</v>
      </c>
      <c r="B1917">
        <f>HYPERLINK("https://www.suredividend.com/sure-analysis-MWA/","Mueller Water Products Inc")</f>
        <v>0</v>
      </c>
      <c r="C1917">
        <v>0.001589825119236</v>
      </c>
      <c r="D1917">
        <v>-0.20402787165897</v>
      </c>
      <c r="E1917">
        <v>-0.073699687557434</v>
      </c>
      <c r="F1917">
        <v>0.186351310635733</v>
      </c>
      <c r="G1917">
        <v>0.121894755587213</v>
      </c>
      <c r="H1917">
        <v>-0.21607177298434</v>
      </c>
      <c r="I1917">
        <v>0.300766006648359</v>
      </c>
    </row>
    <row r="1918" spans="1:9">
      <c r="A1918" s="1" t="s">
        <v>1930</v>
      </c>
      <c r="B1918">
        <f>HYPERLINK("https://www.suredividend.com/sure-analysis-research-database/","Maxim Integrated Products, Inc.")</f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</row>
    <row r="1919" spans="1:9">
      <c r="A1919" s="1" t="s">
        <v>1931</v>
      </c>
      <c r="B1919">
        <f>HYPERLINK("https://www.suredividend.com/sure-analysis-research-database/","MaxLinear Inc")</f>
        <v>0</v>
      </c>
      <c r="C1919">
        <v>-0.288050885960926</v>
      </c>
      <c r="D1919">
        <v>-0.354346930366707</v>
      </c>
      <c r="E1919">
        <v>-0.346538782318598</v>
      </c>
      <c r="F1919">
        <v>-0.538438880706922</v>
      </c>
      <c r="G1919">
        <v>-0.496788696210661</v>
      </c>
      <c r="H1919">
        <v>-0.762647682520448</v>
      </c>
      <c r="I1919">
        <v>-0.228458887247661</v>
      </c>
    </row>
    <row r="1920" spans="1:9">
      <c r="A1920" s="1" t="s">
        <v>1932</v>
      </c>
      <c r="B1920">
        <f>HYPERLINK("https://www.suredividend.com/sure-analysis-research-database/","Myers Industries Inc.")</f>
        <v>0</v>
      </c>
      <c r="C1920">
        <v>-0.032795997776542</v>
      </c>
      <c r="D1920">
        <v>-0.106349540591761</v>
      </c>
      <c r="E1920">
        <v>-0.057880773187503</v>
      </c>
      <c r="F1920">
        <v>-0.200470527689451</v>
      </c>
      <c r="G1920">
        <v>-0.114611955791659</v>
      </c>
      <c r="H1920">
        <v>-0.129812909775601</v>
      </c>
      <c r="I1920">
        <v>0.232093922378082</v>
      </c>
    </row>
    <row r="1921" spans="1:9">
      <c r="A1921" s="1" t="s">
        <v>1933</v>
      </c>
      <c r="B1921">
        <f>HYPERLINK("https://www.suredividend.com/sure-analysis-research-database/","Myriad Genetics, Inc.")</f>
        <v>0</v>
      </c>
      <c r="C1921">
        <v>0.03030303030303</v>
      </c>
      <c r="D1921">
        <v>-0.249412869891968</v>
      </c>
      <c r="E1921">
        <v>-0.2483537158984</v>
      </c>
      <c r="F1921">
        <v>0.1013094417643</v>
      </c>
      <c r="G1921">
        <v>-0.01963190184049</v>
      </c>
      <c r="H1921">
        <v>-0.481168831168831</v>
      </c>
      <c r="I1921">
        <v>-0.584070796460177</v>
      </c>
    </row>
    <row r="1922" spans="1:9">
      <c r="A1922" s="1" t="s">
        <v>1934</v>
      </c>
      <c r="B1922">
        <f>HYPERLINK("https://www.suredividend.com/sure-analysis-research-database/","MYR Group Inc")</f>
        <v>0</v>
      </c>
      <c r="C1922">
        <v>-0.07209175314036001</v>
      </c>
      <c r="D1922">
        <v>-0.173236009732359</v>
      </c>
      <c r="E1922">
        <v>-0.08048554198237201</v>
      </c>
      <c r="F1922">
        <v>0.291734549799066</v>
      </c>
      <c r="G1922">
        <v>0.321444444444444</v>
      </c>
      <c r="H1922">
        <v>0.121769477457083</v>
      </c>
      <c r="I1922">
        <v>2.590881642512077</v>
      </c>
    </row>
    <row r="1923" spans="1:9">
      <c r="A1923" s="1" t="s">
        <v>1935</v>
      </c>
      <c r="B1923">
        <f>HYPERLINK("https://www.suredividend.com/sure-analysis-research-database/","Natural Alternatives International, Inc.")</f>
        <v>0</v>
      </c>
      <c r="C1923">
        <v>-0.07993966817496201</v>
      </c>
      <c r="D1923">
        <v>-0.168937329700272</v>
      </c>
      <c r="E1923">
        <v>-0.28150765606596</v>
      </c>
      <c r="F1923">
        <v>-0.272943980929678</v>
      </c>
      <c r="G1923">
        <v>-0.28235294117647</v>
      </c>
      <c r="H1923">
        <v>-0.527131782945736</v>
      </c>
      <c r="I1923">
        <v>-0.348986125933831</v>
      </c>
    </row>
    <row r="1924" spans="1:9">
      <c r="A1924" s="1" t="s">
        <v>1936</v>
      </c>
      <c r="B1924">
        <f>HYPERLINK("https://www.suredividend.com/sure-analysis-research-database/","Nathan`s Famous, Inc.")</f>
        <v>0</v>
      </c>
      <c r="C1924">
        <v>-0.07523645743766101</v>
      </c>
      <c r="D1924">
        <v>-0.195506906697252</v>
      </c>
      <c r="E1924">
        <v>-0.114927725269615</v>
      </c>
      <c r="F1924">
        <v>-0.013970659018432</v>
      </c>
      <c r="G1924">
        <v>-0.032690358982353</v>
      </c>
      <c r="H1924">
        <v>0.119855614462849</v>
      </c>
      <c r="I1924">
        <v>0.014584355307346</v>
      </c>
    </row>
    <row r="1925" spans="1:9">
      <c r="A1925" s="1" t="s">
        <v>1937</v>
      </c>
      <c r="B1925">
        <f>HYPERLINK("https://www.suredividend.com/sure-analysis-research-database/","National Instruments Corp.")</f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</row>
    <row r="1926" spans="1:9">
      <c r="A1926" s="1" t="s">
        <v>1938</v>
      </c>
      <c r="B1926">
        <f>HYPERLINK("https://www.suredividend.com/sure-analysis-research-database/","Nature`s Sunshine Products, Inc.")</f>
        <v>0</v>
      </c>
      <c r="C1926">
        <v>0.059171597633136</v>
      </c>
      <c r="D1926">
        <v>0.287769784172661</v>
      </c>
      <c r="E1926">
        <v>0.6982922201138521</v>
      </c>
      <c r="F1926">
        <v>1.151442307692307</v>
      </c>
      <c r="G1926">
        <v>1.136038186157517</v>
      </c>
      <c r="H1926">
        <v>0.138676844783714</v>
      </c>
      <c r="I1926">
        <v>1.049954763568066</v>
      </c>
    </row>
    <row r="1927" spans="1:9">
      <c r="A1927" s="1" t="s">
        <v>1939</v>
      </c>
      <c r="B1927">
        <f>HYPERLINK("https://www.suredividend.com/sure-analysis-research-database/","Navistar International Corp.")</f>
        <v>0</v>
      </c>
      <c r="C1927">
        <v>0.006104453990504</v>
      </c>
      <c r="D1927">
        <v>0.010674540086304</v>
      </c>
      <c r="E1927">
        <v>0.012283894449499</v>
      </c>
      <c r="F1927">
        <v>0</v>
      </c>
      <c r="G1927">
        <v>0.578014184397163</v>
      </c>
      <c r="H1927">
        <v>0.291727140783744</v>
      </c>
      <c r="I1927">
        <v>2.806672369546621</v>
      </c>
    </row>
    <row r="1928" spans="1:9">
      <c r="A1928" s="1" t="s">
        <v>1940</v>
      </c>
      <c r="B1928">
        <f>HYPERLINK("https://www.suredividend.com/sure-analysis-research-database/","Navidea Biopharmaceuticals Inc")</f>
        <v>0</v>
      </c>
      <c r="C1928">
        <v>0.022494887525562</v>
      </c>
      <c r="D1928">
        <v>0.022494887525562</v>
      </c>
      <c r="E1928">
        <v>0.022494887525562</v>
      </c>
      <c r="F1928">
        <v>0.022494887525562</v>
      </c>
      <c r="G1928">
        <v>0.022494887525562</v>
      </c>
      <c r="H1928">
        <v>0.022494887525562</v>
      </c>
      <c r="I1928">
        <v>0.022494887525562</v>
      </c>
    </row>
    <row r="1929" spans="1:9">
      <c r="A1929" s="1" t="s">
        <v>1941</v>
      </c>
      <c r="B1929">
        <f>HYPERLINK("https://www.suredividend.com/sure-analysis-NAVI/","Navient Corp")</f>
        <v>0</v>
      </c>
      <c r="C1929">
        <v>-0.026979472140762</v>
      </c>
      <c r="D1929">
        <v>-0.09209316579834501</v>
      </c>
      <c r="E1929">
        <v>0.137789848363269</v>
      </c>
      <c r="F1929">
        <v>0.04887809874248401</v>
      </c>
      <c r="G1929">
        <v>0.190860736050993</v>
      </c>
      <c r="H1929">
        <v>-0.07091094409784801</v>
      </c>
      <c r="I1929">
        <v>0.792234729814402</v>
      </c>
    </row>
    <row r="1930" spans="1:9">
      <c r="A1930" s="1" t="s">
        <v>1942</v>
      </c>
      <c r="B1930">
        <f>HYPERLINK("https://www.suredividend.com/sure-analysis-research-database/","NewAge Inc")</f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</row>
    <row r="1931" spans="1:9">
      <c r="A1931" s="1" t="s">
        <v>1943</v>
      </c>
      <c r="B1931">
        <f>HYPERLINK("https://www.suredividend.com/sure-analysis-research-database/","National Bank Holdings Corp")</f>
        <v>0</v>
      </c>
      <c r="C1931">
        <v>0.067990575563783</v>
      </c>
      <c r="D1931">
        <v>-0.075358433383844</v>
      </c>
      <c r="E1931">
        <v>0.101862366173901</v>
      </c>
      <c r="F1931">
        <v>-0.228462980569327</v>
      </c>
      <c r="G1931">
        <v>-0.259670596579972</v>
      </c>
      <c r="H1931">
        <v>-0.23484459363327</v>
      </c>
      <c r="I1931">
        <v>0.047077225657846</v>
      </c>
    </row>
    <row r="1932" spans="1:9">
      <c r="A1932" s="1" t="s">
        <v>1944</v>
      </c>
      <c r="B1932">
        <f>HYPERLINK("https://www.suredividend.com/sure-analysis-research-database/","Neurocrine Biosciences, Inc.")</f>
        <v>0</v>
      </c>
      <c r="C1932">
        <v>0.014312550317559</v>
      </c>
      <c r="D1932">
        <v>0.088822738621086</v>
      </c>
      <c r="E1932">
        <v>0.09608506524891201</v>
      </c>
      <c r="F1932">
        <v>-0.05065304755525701</v>
      </c>
      <c r="G1932">
        <v>-0.07103064066852301</v>
      </c>
      <c r="H1932">
        <v>0.186336053567692</v>
      </c>
      <c r="I1932">
        <v>-0.021065354398687</v>
      </c>
    </row>
    <row r="1933" spans="1:9">
      <c r="A1933" s="1" t="s">
        <v>1945</v>
      </c>
      <c r="B1933">
        <f>HYPERLINK("https://www.suredividend.com/sure-analysis-research-database/","Northeast Bank")</f>
        <v>0</v>
      </c>
      <c r="C1933">
        <v>0.13713226777855</v>
      </c>
      <c r="D1933">
        <v>0.034994581511357</v>
      </c>
      <c r="E1933">
        <v>0.366457898399443</v>
      </c>
      <c r="F1933">
        <v>0.167414185901612</v>
      </c>
      <c r="G1933">
        <v>0.156144238944326</v>
      </c>
      <c r="H1933">
        <v>0.514562507713192</v>
      </c>
      <c r="I1933">
        <v>1.318234194072423</v>
      </c>
    </row>
    <row r="1934" spans="1:9">
      <c r="A1934" s="1" t="s">
        <v>1946</v>
      </c>
      <c r="B1934">
        <f>HYPERLINK("https://www.suredividend.com/sure-analysis-research-database/","Nabors Industries Ltd")</f>
        <v>0</v>
      </c>
      <c r="C1934">
        <v>-0.149841051636738</v>
      </c>
      <c r="D1934">
        <v>-0.162221657776648</v>
      </c>
      <c r="E1934">
        <v>0.044106784847525</v>
      </c>
      <c r="F1934">
        <v>-0.361077032349712</v>
      </c>
      <c r="G1934">
        <v>-0.401644796516901</v>
      </c>
      <c r="H1934">
        <v>-0.027996070726915</v>
      </c>
      <c r="I1934">
        <v>-0.6136820956975231</v>
      </c>
    </row>
    <row r="1935" spans="1:9">
      <c r="A1935" s="1" t="s">
        <v>1947</v>
      </c>
      <c r="B1935">
        <f>HYPERLINK("https://www.suredividend.com/sure-analysis-research-database/","NeuBase Therapeutics Inc")</f>
        <v>0</v>
      </c>
      <c r="C1935">
        <v>-0.207663782447466</v>
      </c>
      <c r="D1935">
        <v>-0.474590163934426</v>
      </c>
      <c r="E1935">
        <v>-0.771886120996441</v>
      </c>
      <c r="F1935">
        <v>-0.8314931650893791</v>
      </c>
      <c r="G1935">
        <v>-0.881208302446256</v>
      </c>
      <c r="H1935">
        <v>-0.991476063829787</v>
      </c>
      <c r="I1935">
        <v>-0.836479591836734</v>
      </c>
    </row>
    <row r="1936" spans="1:9">
      <c r="A1936" s="1" t="s">
        <v>1948</v>
      </c>
      <c r="B1936">
        <f>HYPERLINK("https://www.suredividend.com/sure-analysis-research-database/","NBT Bancorp. Inc.")</f>
        <v>0</v>
      </c>
      <c r="C1936">
        <v>0.09962287869264601</v>
      </c>
      <c r="D1936">
        <v>-0.03997322131649</v>
      </c>
      <c r="E1936">
        <v>0.217123914276073</v>
      </c>
      <c r="F1936">
        <v>-0.165517932182531</v>
      </c>
      <c r="G1936">
        <v>-0.219602061731506</v>
      </c>
      <c r="H1936">
        <v>0.016666472960565</v>
      </c>
      <c r="I1936">
        <v>0.100196834300735</v>
      </c>
    </row>
    <row r="1937" spans="1:9">
      <c r="A1937" s="1" t="s">
        <v>1949</v>
      </c>
      <c r="B1937">
        <f>HYPERLINK("https://www.suredividend.com/sure-analysis-research-database/","Novabay Pharmaceuticals Inc")</f>
        <v>0</v>
      </c>
      <c r="C1937">
        <v>-0.222368421052631</v>
      </c>
      <c r="D1937">
        <v>-0.5075000000000001</v>
      </c>
      <c r="E1937">
        <v>-0.683392857142857</v>
      </c>
      <c r="F1937">
        <v>-0.818153846153846</v>
      </c>
      <c r="G1937">
        <v>-0.9034182214353801</v>
      </c>
      <c r="H1937">
        <v>-0.9802583231266001</v>
      </c>
      <c r="I1937">
        <v>-0.9916955503512881</v>
      </c>
    </row>
    <row r="1938" spans="1:9">
      <c r="A1938" s="1" t="s">
        <v>1950</v>
      </c>
      <c r="B1938">
        <f>HYPERLINK("https://www.suredividend.com/sure-analysis-NC/","Nacco Industries Inc.")</f>
        <v>0</v>
      </c>
      <c r="C1938">
        <v>-0.004341534008682001</v>
      </c>
      <c r="D1938">
        <v>-0.032922794065969</v>
      </c>
      <c r="E1938">
        <v>-0.017628429376336</v>
      </c>
      <c r="F1938">
        <v>-0.07765896976651801</v>
      </c>
      <c r="G1938">
        <v>-0.369137240158816</v>
      </c>
      <c r="H1938">
        <v>0.09402579229411401</v>
      </c>
      <c r="I1938">
        <v>0.072747230815287</v>
      </c>
    </row>
    <row r="1939" spans="1:9">
      <c r="A1939" s="1" t="s">
        <v>1951</v>
      </c>
      <c r="B1939">
        <f>HYPERLINK("https://www.suredividend.com/sure-analysis-research-database/","Nicolet Bankshares Inc.")</f>
        <v>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</row>
    <row r="1940" spans="1:9">
      <c r="A1940" s="1" t="s">
        <v>1952</v>
      </c>
      <c r="B1940">
        <f>HYPERLINK("https://www.suredividend.com/sure-analysis-research-database/","Neo Concept International Group Holdings Ltd")</f>
        <v>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</row>
    <row r="1941" spans="1:9">
      <c r="A1941" s="1" t="s">
        <v>1953</v>
      </c>
      <c r="B1941">
        <f>HYPERLINK("https://www.suredividend.com/sure-analysis-research-database/","Norwegian Cruise Line Holdings Ltd")</f>
        <v>0</v>
      </c>
      <c r="C1941">
        <v>-0.204987834549878</v>
      </c>
      <c r="D1941">
        <v>-0.29881974248927</v>
      </c>
      <c r="E1941">
        <v>-0.090466249130132</v>
      </c>
      <c r="F1941">
        <v>0.067810457516339</v>
      </c>
      <c r="G1941">
        <v>-0.200611620795107</v>
      </c>
      <c r="H1941">
        <v>-0.5128587402161761</v>
      </c>
      <c r="I1941">
        <v>-0.714628820960698</v>
      </c>
    </row>
    <row r="1942" spans="1:9">
      <c r="A1942" s="1" t="s">
        <v>1954</v>
      </c>
      <c r="B1942">
        <f>HYPERLINK("https://www.suredividend.com/sure-analysis-research-database/","National Cinemedia Inc")</f>
        <v>0</v>
      </c>
      <c r="C1942">
        <v>-0.07972665148063701</v>
      </c>
      <c r="D1942">
        <v>0.177842565597667</v>
      </c>
      <c r="E1942">
        <v>0.4428571428571431</v>
      </c>
      <c r="F1942">
        <v>0.8363636363636361</v>
      </c>
      <c r="G1942">
        <v>-0.023446942228668</v>
      </c>
      <c r="H1942">
        <v>-0.8692146078218721</v>
      </c>
      <c r="I1942">
        <v>-0.934914922204</v>
      </c>
    </row>
    <row r="1943" spans="1:9">
      <c r="A1943" s="1" t="s">
        <v>1955</v>
      </c>
      <c r="B1943">
        <f>HYPERLINK("https://www.suredividend.com/sure-analysis-research-database/","NCS Multistage Holdings Inc")</f>
        <v>0</v>
      </c>
      <c r="C1943">
        <v>-0.137341772151898</v>
      </c>
      <c r="D1943">
        <v>-0.205247813411078</v>
      </c>
      <c r="E1943">
        <v>-0.3098734177215191</v>
      </c>
      <c r="F1943">
        <v>-0.4548</v>
      </c>
      <c r="G1943">
        <v>-0.5501650165016501</v>
      </c>
      <c r="H1943">
        <v>-0.6181003082095821</v>
      </c>
      <c r="I1943">
        <v>-0.944093519278096</v>
      </c>
    </row>
    <row r="1944" spans="1:9">
      <c r="A1944" s="1" t="s">
        <v>1956</v>
      </c>
      <c r="B1944">
        <f>HYPERLINK("https://www.suredividend.com/sure-analysis-NDAQ/","Nasdaq Inc")</f>
        <v>0</v>
      </c>
      <c r="C1944">
        <v>0.029739776951672</v>
      </c>
      <c r="D1944">
        <v>0.012525587289209</v>
      </c>
      <c r="E1944">
        <v>-0.065269883168109</v>
      </c>
      <c r="F1944">
        <v>-0.169943497557775</v>
      </c>
      <c r="G1944">
        <v>-0.158874247820006</v>
      </c>
      <c r="H1944">
        <v>-0.265062460846814</v>
      </c>
      <c r="I1944">
        <v>0.8762417966162921</v>
      </c>
    </row>
    <row r="1945" spans="1:9">
      <c r="A1945" s="1" t="s">
        <v>1957</v>
      </c>
      <c r="B1945">
        <f>HYPERLINK("https://www.suredividend.com/sure-analysis-research-database/","Noodles &amp; Company")</f>
        <v>0</v>
      </c>
      <c r="C1945">
        <v>-0.09606986899563301</v>
      </c>
      <c r="D1945">
        <v>-0.382089552238806</v>
      </c>
      <c r="E1945">
        <v>-0.5687500000000001</v>
      </c>
      <c r="F1945">
        <v>-0.6229508196721311</v>
      </c>
      <c r="G1945">
        <v>-0.652684563758389</v>
      </c>
      <c r="H1945">
        <v>-0.8207792207792201</v>
      </c>
      <c r="I1945">
        <v>-0.7814149947201691</v>
      </c>
    </row>
    <row r="1946" spans="1:9">
      <c r="A1946" s="1" t="s">
        <v>1958</v>
      </c>
      <c r="B1946">
        <f>HYPERLINK("https://www.suredividend.com/sure-analysis-NDSN/","Nordson Corp.")</f>
        <v>0</v>
      </c>
      <c r="C1946">
        <v>-0.01870172110042</v>
      </c>
      <c r="D1946">
        <v>-0.118281682274551</v>
      </c>
      <c r="E1946">
        <v>0.00872810080687</v>
      </c>
      <c r="F1946">
        <v>-0.072805056014559</v>
      </c>
      <c r="G1946">
        <v>-0.001493416144614</v>
      </c>
      <c r="H1946">
        <v>-0.140111239671973</v>
      </c>
      <c r="I1946">
        <v>0.7932026204218561</v>
      </c>
    </row>
    <row r="1947" spans="1:9">
      <c r="A1947" s="1" t="s">
        <v>1959</v>
      </c>
      <c r="B1947">
        <f>HYPERLINK("https://www.suredividend.com/sure-analysis-research-database/","Noble Corp Plc")</f>
        <v>0</v>
      </c>
      <c r="C1947">
        <v>0.025030036043251</v>
      </c>
      <c r="D1947">
        <v>-0.004091415808857001</v>
      </c>
      <c r="E1947">
        <v>0.427854174221081</v>
      </c>
      <c r="F1947">
        <v>0.365379793766037</v>
      </c>
      <c r="G1947">
        <v>0.469836621012432</v>
      </c>
      <c r="H1947">
        <v>0.723748943492418</v>
      </c>
      <c r="I1947">
        <v>0.723748943492418</v>
      </c>
    </row>
    <row r="1948" spans="1:9">
      <c r="A1948" s="1" t="s">
        <v>1960</v>
      </c>
      <c r="B1948">
        <f>HYPERLINK("https://www.suredividend.com/sure-analysis-NEE/","NextEra Energy Inc")</f>
        <v>0</v>
      </c>
      <c r="C1948">
        <v>0.148801534036433</v>
      </c>
      <c r="D1948">
        <v>-0.161110006469156</v>
      </c>
      <c r="E1948">
        <v>-0.200534844991032</v>
      </c>
      <c r="F1948">
        <v>-0.269101449841156</v>
      </c>
      <c r="G1948">
        <v>-0.205313298367649</v>
      </c>
      <c r="H1948">
        <v>-0.266180229859152</v>
      </c>
      <c r="I1948">
        <v>0.592266967171287</v>
      </c>
    </row>
    <row r="1949" spans="1:9">
      <c r="A1949" s="1" t="s">
        <v>1961</v>
      </c>
      <c r="B1949">
        <f>HYPERLINK("https://www.suredividend.com/sure-analysis-NEM/","Newmont Corp")</f>
        <v>0</v>
      </c>
      <c r="C1949">
        <v>0.06809229037704001</v>
      </c>
      <c r="D1949">
        <v>-0.05669051447145101</v>
      </c>
      <c r="E1949">
        <v>-0.193954232058792</v>
      </c>
      <c r="F1949">
        <v>-0.171470291011238</v>
      </c>
      <c r="G1949">
        <v>0.00097302172027</v>
      </c>
      <c r="H1949">
        <v>-0.24850284583024</v>
      </c>
      <c r="I1949">
        <v>0.3854621370278991</v>
      </c>
    </row>
    <row r="1950" spans="1:9">
      <c r="A1950" s="1" t="s">
        <v>1962</v>
      </c>
      <c r="B1950">
        <f>HYPERLINK("https://www.suredividend.com/sure-analysis-research-database/","Neogenomics Inc.")</f>
        <v>0</v>
      </c>
      <c r="C1950">
        <v>0.211764705882352</v>
      </c>
      <c r="D1950">
        <v>-0.112342259156663</v>
      </c>
      <c r="E1950">
        <v>0.019801980198019</v>
      </c>
      <c r="F1950">
        <v>0.56060606060606</v>
      </c>
      <c r="G1950">
        <v>0.9645776566757491</v>
      </c>
      <c r="H1950">
        <v>-0.6890230752641791</v>
      </c>
      <c r="I1950">
        <v>-0.197997775305895</v>
      </c>
    </row>
    <row r="1951" spans="1:9">
      <c r="A1951" s="1" t="s">
        <v>1963</v>
      </c>
      <c r="B1951">
        <f>HYPERLINK("https://www.suredividend.com/sure-analysis-research-database/","Neogen Corp.")</f>
        <v>0</v>
      </c>
      <c r="C1951">
        <v>-0.125707814269535</v>
      </c>
      <c r="D1951">
        <v>-0.316814159292035</v>
      </c>
      <c r="E1951">
        <v>-0.08854781582054301</v>
      </c>
      <c r="F1951">
        <v>0.013788575180564</v>
      </c>
      <c r="G1951">
        <v>0.190439475713184</v>
      </c>
      <c r="H1951">
        <v>-0.6393366035972901</v>
      </c>
      <c r="I1951">
        <v>-0.512241352077081</v>
      </c>
    </row>
    <row r="1952" spans="1:9">
      <c r="A1952" s="1" t="s">
        <v>1964</v>
      </c>
      <c r="B1952">
        <f>HYPERLINK("https://www.suredividend.com/sure-analysis-research-database/","Neonode Inc.")</f>
        <v>0</v>
      </c>
      <c r="C1952">
        <v>-0.242038216560509</v>
      </c>
      <c r="D1952">
        <v>-0.6972010178117041</v>
      </c>
      <c r="E1952">
        <v>-0.8300000000000001</v>
      </c>
      <c r="F1952">
        <v>-0.783636363636363</v>
      </c>
      <c r="G1952">
        <v>-0.6666666666666661</v>
      </c>
      <c r="H1952">
        <v>-0.8784473953013271</v>
      </c>
      <c r="I1952">
        <v>-0.504166666666666</v>
      </c>
    </row>
    <row r="1953" spans="1:9">
      <c r="A1953" s="1" t="s">
        <v>1965</v>
      </c>
      <c r="B1953">
        <f>HYPERLINK("https://www.suredividend.com/sure-analysis-research-database/","Neos Therapeutics Inc")</f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</row>
    <row r="1954" spans="1:9">
      <c r="A1954" s="1" t="s">
        <v>1966</v>
      </c>
      <c r="B1954">
        <f>HYPERLINK("https://www.suredividend.com/sure-analysis-research-database/","Minerva Neurosciences Inc")</f>
        <v>0</v>
      </c>
      <c r="C1954">
        <v>-0.195814648729446</v>
      </c>
      <c r="D1954">
        <v>-0.488593155893536</v>
      </c>
      <c r="E1954">
        <v>0.172113289760348</v>
      </c>
      <c r="F1954">
        <v>2.383647798742138</v>
      </c>
      <c r="G1954">
        <v>0.829931972789115</v>
      </c>
      <c r="H1954">
        <v>2.684931506849315</v>
      </c>
      <c r="I1954">
        <v>-0.54017094017094</v>
      </c>
    </row>
    <row r="1955" spans="1:9">
      <c r="A1955" s="1" t="s">
        <v>1967</v>
      </c>
      <c r="B1955">
        <f>HYPERLINK("https://www.suredividend.com/sure-analysis-research-database/","Net Element Inc.")</f>
        <v>0</v>
      </c>
      <c r="C1955">
        <v>0.7022106631989591</v>
      </c>
      <c r="D1955">
        <v>0.169794459338695</v>
      </c>
      <c r="E1955">
        <v>0.288385826771653</v>
      </c>
      <c r="F1955">
        <v>-0.06164874551971301</v>
      </c>
      <c r="G1955">
        <v>1.121555915721231</v>
      </c>
      <c r="H1955">
        <v>1.968253968253968</v>
      </c>
      <c r="I1955">
        <v>0.20091743119266</v>
      </c>
    </row>
    <row r="1956" spans="1:9">
      <c r="A1956" s="1" t="s">
        <v>1968</v>
      </c>
      <c r="B1956">
        <f>HYPERLINK("https://www.suredividend.com/sure-analysis-NEU/","NewMarket Corp.")</f>
        <v>0</v>
      </c>
      <c r="C1956">
        <v>0.063356921716055</v>
      </c>
      <c r="D1956">
        <v>0.056846169704636</v>
      </c>
      <c r="E1956">
        <v>0.220309750829422</v>
      </c>
      <c r="F1956">
        <v>0.571823868121738</v>
      </c>
      <c r="G1956">
        <v>0.67965398813466</v>
      </c>
      <c r="H1956">
        <v>0.494674222565804</v>
      </c>
      <c r="I1956">
        <v>0.33773337306055</v>
      </c>
    </row>
    <row r="1957" spans="1:9">
      <c r="A1957" s="1" t="s">
        <v>1969</v>
      </c>
      <c r="B1957">
        <f>HYPERLINK("https://www.suredividend.com/sure-analysis-research-database/","New Relic Inc")</f>
        <v>0</v>
      </c>
      <c r="C1957">
        <v>0.011169284467713</v>
      </c>
      <c r="D1957">
        <v>0.035876042908223</v>
      </c>
      <c r="E1957">
        <v>0.224429416737109</v>
      </c>
      <c r="F1957">
        <v>0.539592559787422</v>
      </c>
      <c r="G1957">
        <v>0.539865343727852</v>
      </c>
      <c r="H1957">
        <v>0.041711614527148</v>
      </c>
      <c r="I1957">
        <v>-0.002524962699414</v>
      </c>
    </row>
    <row r="1958" spans="1:9">
      <c r="A1958" s="1" t="s">
        <v>1970</v>
      </c>
      <c r="B1958">
        <f>HYPERLINK("https://www.suredividend.com/sure-analysis-research-database/","Northfield Bancorp Inc")</f>
        <v>0</v>
      </c>
      <c r="C1958">
        <v>-0.022508038585209</v>
      </c>
      <c r="D1958">
        <v>-0.212938191483853</v>
      </c>
      <c r="E1958">
        <v>-0.03741622249195201</v>
      </c>
      <c r="F1958">
        <v>-0.385734491816528</v>
      </c>
      <c r="G1958">
        <v>-0.3782552971012511</v>
      </c>
      <c r="H1958">
        <v>-0.432210829084253</v>
      </c>
      <c r="I1958">
        <v>-0.182839632277834</v>
      </c>
    </row>
    <row r="1959" spans="1:9">
      <c r="A1959" s="1" t="s">
        <v>1971</v>
      </c>
      <c r="B1959">
        <f>HYPERLINK("https://www.suredividend.com/sure-analysis-NFG/","National Fuel Gas Co.")</f>
        <v>0</v>
      </c>
      <c r="C1959">
        <v>0.05150554675118801</v>
      </c>
      <c r="D1959">
        <v>0.021804790624344</v>
      </c>
      <c r="E1959">
        <v>0.041409159221022</v>
      </c>
      <c r="F1959">
        <v>-0.137991233754106</v>
      </c>
      <c r="G1959">
        <v>-0.171095144472744</v>
      </c>
      <c r="H1959">
        <v>-0.027577021652349</v>
      </c>
      <c r="I1959">
        <v>0.236491885230817</v>
      </c>
    </row>
    <row r="1960" spans="1:9">
      <c r="A1960" s="1" t="s">
        <v>1972</v>
      </c>
      <c r="B1960">
        <f>HYPERLINK("https://www.suredividend.com/sure-analysis-research-database/","Netflix Inc.")</f>
        <v>0</v>
      </c>
      <c r="C1960">
        <v>0.116688139247495</v>
      </c>
      <c r="D1960">
        <v>-0.011612753083546</v>
      </c>
      <c r="E1960">
        <v>0.33745866792631</v>
      </c>
      <c r="F1960">
        <v>0.4402807921866521</v>
      </c>
      <c r="G1960">
        <v>0.5557142857142851</v>
      </c>
      <c r="H1960">
        <v>-0.373325267071947</v>
      </c>
      <c r="I1960">
        <v>0.374021352313167</v>
      </c>
    </row>
    <row r="1961" spans="1:9">
      <c r="A1961" s="1" t="s">
        <v>1973</v>
      </c>
      <c r="B1961">
        <f>HYPERLINK("https://www.suredividend.com/sure-analysis-research-database/","National General Holdings Corp")</f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</row>
    <row r="1962" spans="1:9">
      <c r="A1962" s="1" t="s">
        <v>1974</v>
      </c>
      <c r="B1962">
        <f>HYPERLINK("https://www.suredividend.com/sure-analysis-research-database/","Natural Gas Services Group, Inc.")</f>
        <v>0</v>
      </c>
      <c r="C1962">
        <v>0.07602339181286501</v>
      </c>
      <c r="D1962">
        <v>0.426356589147286</v>
      </c>
      <c r="E1962">
        <v>0.445972495088408</v>
      </c>
      <c r="F1962">
        <v>0.284467713787085</v>
      </c>
      <c r="G1962">
        <v>0.332126696832579</v>
      </c>
      <c r="H1962">
        <v>0.260273972602739</v>
      </c>
      <c r="I1962">
        <v>-0.236910316226023</v>
      </c>
    </row>
    <row r="1963" spans="1:9">
      <c r="A1963" s="1" t="s">
        <v>1975</v>
      </c>
      <c r="B1963">
        <f>HYPERLINK("https://www.suredividend.com/sure-analysis-research-database/","Natural Grocers by Vitamin Cottage Inc")</f>
        <v>0</v>
      </c>
      <c r="C1963">
        <v>0.001536098310291</v>
      </c>
      <c r="D1963">
        <v>0.067609831180101</v>
      </c>
      <c r="E1963">
        <v>0.229713035523995</v>
      </c>
      <c r="F1963">
        <v>0.463524130190796</v>
      </c>
      <c r="G1963">
        <v>0.180742310234609</v>
      </c>
      <c r="H1963">
        <v>0.125661455590756</v>
      </c>
      <c r="I1963">
        <v>-0.171516429896566</v>
      </c>
    </row>
    <row r="1964" spans="1:9">
      <c r="A1964" s="1" t="s">
        <v>1976</v>
      </c>
      <c r="B1964">
        <f>HYPERLINK("https://www.suredividend.com/sure-analysis-research-database/","Ingevity Corp")</f>
        <v>0</v>
      </c>
      <c r="C1964">
        <v>-0.088577586206896</v>
      </c>
      <c r="D1964">
        <v>-0.311237785016286</v>
      </c>
      <c r="E1964">
        <v>-0.398435277382645</v>
      </c>
      <c r="F1964">
        <v>-0.399630891538898</v>
      </c>
      <c r="G1964">
        <v>-0.349884704073789</v>
      </c>
      <c r="H1964">
        <v>-0.4647512973041381</v>
      </c>
      <c r="I1964">
        <v>-0.571356172714372</v>
      </c>
    </row>
    <row r="1965" spans="1:9">
      <c r="A1965" s="1" t="s">
        <v>1977</v>
      </c>
      <c r="B1965">
        <f>HYPERLINK("https://www.suredividend.com/sure-analysis-NHC/","National Healthcare Corp.")</f>
        <v>0</v>
      </c>
      <c r="C1965">
        <v>0.050580046403712</v>
      </c>
      <c r="D1965">
        <v>0.146462626027334</v>
      </c>
      <c r="E1965">
        <v>0.216977480899617</v>
      </c>
      <c r="F1965">
        <v>0.186195285607252</v>
      </c>
      <c r="G1965">
        <v>0.170092356671438</v>
      </c>
      <c r="H1965">
        <v>0.04375086441381201</v>
      </c>
      <c r="I1965">
        <v>0.008623493264705</v>
      </c>
    </row>
    <row r="1966" spans="1:9">
      <c r="A1966" s="1" t="s">
        <v>1978</v>
      </c>
      <c r="B1966">
        <f>HYPERLINK("https://www.suredividend.com/sure-analysis-NHI/","National Health Investors, Inc.")</f>
        <v>0</v>
      </c>
      <c r="C1966">
        <v>0.006658832745789001</v>
      </c>
      <c r="D1966">
        <v>-0.04637511224573</v>
      </c>
      <c r="E1966">
        <v>0.10472063893259</v>
      </c>
      <c r="F1966">
        <v>0.037912060174668</v>
      </c>
      <c r="G1966">
        <v>0.001875104768067</v>
      </c>
      <c r="H1966">
        <v>0.085540140697829</v>
      </c>
      <c r="I1966">
        <v>-0.036325287086946</v>
      </c>
    </row>
    <row r="1967" spans="1:9">
      <c r="A1967" s="1" t="s">
        <v>1979</v>
      </c>
      <c r="B1967">
        <f>HYPERLINK("https://www.suredividend.com/sure-analysis-research-database/","Natural Health Trends Corp.")</f>
        <v>0</v>
      </c>
      <c r="C1967">
        <v>0.04096834264432</v>
      </c>
      <c r="D1967">
        <v>0.044332766641134</v>
      </c>
      <c r="E1967">
        <v>0.06516768292682901</v>
      </c>
      <c r="F1967">
        <v>0.9477351916376301</v>
      </c>
      <c r="G1967">
        <v>0.835374462356765</v>
      </c>
      <c r="H1967">
        <v>0.025048593537976</v>
      </c>
      <c r="I1967">
        <v>-0.548465266558966</v>
      </c>
    </row>
    <row r="1968" spans="1:9">
      <c r="A1968" s="1" t="s">
        <v>1980</v>
      </c>
      <c r="B1968">
        <f>HYPERLINK("https://www.suredividend.com/sure-analysis-research-database/","NiSource Inc")</f>
        <v>0</v>
      </c>
      <c r="C1968">
        <v>0.12333112559696</v>
      </c>
      <c r="D1968">
        <v>-0.06031070254350301</v>
      </c>
      <c r="E1968">
        <v>-0.058632790105785</v>
      </c>
      <c r="F1968">
        <v>-0.024334859781251</v>
      </c>
      <c r="G1968">
        <v>0.044215096968616</v>
      </c>
      <c r="H1968">
        <v>0.117894992454859</v>
      </c>
      <c r="I1968">
        <v>0.198646059997396</v>
      </c>
    </row>
    <row r="1969" spans="1:9">
      <c r="A1969" s="1" t="s">
        <v>1981</v>
      </c>
      <c r="B1969">
        <f>HYPERLINK("https://www.suredividend.com/sure-analysis-research-database/","Nicholas Financial, Inc.")</f>
        <v>0</v>
      </c>
      <c r="C1969">
        <v>-0.01863354037267</v>
      </c>
      <c r="D1969">
        <v>-0.032653061224489</v>
      </c>
      <c r="E1969">
        <v>0.030434782608695</v>
      </c>
      <c r="F1969">
        <v>-0.247619047619047</v>
      </c>
      <c r="G1969">
        <v>-0.320683329511579</v>
      </c>
      <c r="H1969">
        <v>-0.603015075376884</v>
      </c>
      <c r="I1969">
        <v>-0.5931330472103</v>
      </c>
    </row>
    <row r="1970" spans="1:9">
      <c r="A1970" s="1" t="s">
        <v>1982</v>
      </c>
      <c r="B1970">
        <f>HYPERLINK("https://www.suredividend.com/sure-analysis-research-database/","Nine Energy Service Inc")</f>
        <v>0</v>
      </c>
      <c r="C1970">
        <v>-0.008379888268156001</v>
      </c>
      <c r="D1970">
        <v>-0.239828693790149</v>
      </c>
      <c r="E1970">
        <v>-0.008379888268156001</v>
      </c>
      <c r="F1970">
        <v>-0.755677907777013</v>
      </c>
      <c r="G1970">
        <v>-0.385813148788927</v>
      </c>
      <c r="H1970">
        <v>0.878306878306878</v>
      </c>
      <c r="I1970">
        <v>-0.9026330224904001</v>
      </c>
    </row>
    <row r="1971" spans="1:9">
      <c r="A1971" s="1" t="s">
        <v>1983</v>
      </c>
      <c r="B1971">
        <f>HYPERLINK("https://www.suredividend.com/sure-analysis-NJR/","New Jersey Resources Corporation")</f>
        <v>0</v>
      </c>
      <c r="C1971">
        <v>0.080325368581596</v>
      </c>
      <c r="D1971">
        <v>-0.021915986035261</v>
      </c>
      <c r="E1971">
        <v>-0.156973515083231</v>
      </c>
      <c r="F1971">
        <v>-0.12131261422936</v>
      </c>
      <c r="G1971">
        <v>-0.013064701155991</v>
      </c>
      <c r="H1971">
        <v>0.188841117678487</v>
      </c>
      <c r="I1971">
        <v>0.111122730695222</v>
      </c>
    </row>
    <row r="1972" spans="1:9">
      <c r="A1972" s="1" t="s">
        <v>1984</v>
      </c>
      <c r="B1972">
        <f>HYPERLINK("https://www.suredividend.com/sure-analysis-NKE/","Nike, Inc.")</f>
        <v>0</v>
      </c>
      <c r="C1972">
        <v>0.111252115059221</v>
      </c>
      <c r="D1972">
        <v>-0.019324203504226</v>
      </c>
      <c r="E1972">
        <v>-0.168792542230765</v>
      </c>
      <c r="F1972">
        <v>-0.09340092851343801</v>
      </c>
      <c r="G1972">
        <v>0.17836905558901</v>
      </c>
      <c r="H1972">
        <v>-0.359985966955347</v>
      </c>
      <c r="I1972">
        <v>0.4434403001168981</v>
      </c>
    </row>
    <row r="1973" spans="1:9">
      <c r="A1973" s="1" t="s">
        <v>1985</v>
      </c>
      <c r="B1973">
        <f>HYPERLINK("https://www.suredividend.com/sure-analysis-research-database/","National Bankshares Inc.")</f>
        <v>0</v>
      </c>
      <c r="C1973">
        <v>-0.012710127101271</v>
      </c>
      <c r="D1973">
        <v>-0.178437393381098</v>
      </c>
      <c r="E1973">
        <v>-0.08885205954245801</v>
      </c>
      <c r="F1973">
        <v>-0.357539440088151</v>
      </c>
      <c r="G1973">
        <v>-0.271184234819112</v>
      </c>
      <c r="H1973">
        <v>-0.263968700330113</v>
      </c>
      <c r="I1973">
        <v>-0.282312337193984</v>
      </c>
    </row>
    <row r="1974" spans="1:9">
      <c r="A1974" s="1" t="s">
        <v>1986</v>
      </c>
      <c r="B1974">
        <f>HYPERLINK("https://www.suredividend.com/sure-analysis-research-database/","Nektar Therapeutics")</f>
        <v>0</v>
      </c>
      <c r="C1974">
        <v>-0.133005790489559</v>
      </c>
      <c r="D1974">
        <v>-0.056340718105423</v>
      </c>
      <c r="E1974">
        <v>-0.347980997624703</v>
      </c>
      <c r="F1974">
        <v>-0.7813716814159291</v>
      </c>
      <c r="G1974">
        <v>-0.8642582417582411</v>
      </c>
      <c r="H1974">
        <v>-0.9703599280143971</v>
      </c>
      <c r="I1974">
        <v>-0.9873469910371321</v>
      </c>
    </row>
    <row r="1975" spans="1:9">
      <c r="A1975" s="1" t="s">
        <v>1987</v>
      </c>
      <c r="B1975">
        <f>HYPERLINK("https://www.suredividend.com/sure-analysis-research-database/","NL Industries, Inc.")</f>
        <v>0</v>
      </c>
      <c r="C1975">
        <v>0.004273504273504001</v>
      </c>
      <c r="D1975">
        <v>-0.195453456126536</v>
      </c>
      <c r="E1975">
        <v>-0.196361397989193</v>
      </c>
      <c r="F1975">
        <v>-0.285160230573849</v>
      </c>
      <c r="G1975">
        <v>-0.411713166360006</v>
      </c>
      <c r="H1975">
        <v>-0.11795064277001</v>
      </c>
      <c r="I1975">
        <v>0.021894636140282</v>
      </c>
    </row>
    <row r="1976" spans="1:9">
      <c r="A1976" s="1" t="s">
        <v>1988</v>
      </c>
      <c r="B1976">
        <f>HYPERLINK("https://www.suredividend.com/sure-analysis-research-database/","Nielsen Holdings plc")</f>
        <v>0</v>
      </c>
      <c r="C1976">
        <v>0.004307250538406001</v>
      </c>
      <c r="D1976">
        <v>0.200899601703062</v>
      </c>
      <c r="E1976">
        <v>0.025802714454359</v>
      </c>
      <c r="F1976">
        <v>0.375134540057305</v>
      </c>
      <c r="G1976">
        <v>0.4392782004392931</v>
      </c>
      <c r="H1976">
        <v>1.079261631752212</v>
      </c>
      <c r="I1976">
        <v>-0.189640841174818</v>
      </c>
    </row>
    <row r="1977" spans="1:9">
      <c r="A1977" s="1" t="s">
        <v>1989</v>
      </c>
      <c r="B1977">
        <f>HYPERLINK("https://www.suredividend.com/sure-analysis-research-database/","Neoleukin Therapeutics Inc")</f>
        <v>0</v>
      </c>
      <c r="C1977">
        <v>-0.154228855721393</v>
      </c>
      <c r="D1977">
        <v>0.014925373134328</v>
      </c>
      <c r="E1977">
        <v>-0.252665128036047</v>
      </c>
      <c r="F1977">
        <v>0.335952848722986</v>
      </c>
      <c r="G1977">
        <v>0.207815275310834</v>
      </c>
      <c r="H1977">
        <v>-0.9076086956521741</v>
      </c>
      <c r="I1977">
        <v>0.283018867924528</v>
      </c>
    </row>
    <row r="1978" spans="1:9">
      <c r="A1978" s="1" t="s">
        <v>1990</v>
      </c>
      <c r="B1978">
        <f>HYPERLINK("https://www.suredividend.com/sure-analysis-NLY/","Annaly Capital Management Inc")</f>
        <v>0</v>
      </c>
      <c r="C1978">
        <v>-0.07751091703056701</v>
      </c>
      <c r="D1978">
        <v>-0.119241192411924</v>
      </c>
      <c r="E1978">
        <v>-0.04345758951312501</v>
      </c>
      <c r="F1978">
        <v>-0.113414717315692</v>
      </c>
      <c r="G1978">
        <v>0.071743390387286</v>
      </c>
      <c r="H1978">
        <v>-0.3413231998441</v>
      </c>
      <c r="I1978">
        <v>-0.184827173713811</v>
      </c>
    </row>
    <row r="1979" spans="1:9">
      <c r="A1979" s="1" t="s">
        <v>1991</v>
      </c>
      <c r="B1979">
        <f>HYPERLINK("https://www.suredividend.com/sure-analysis-research-database/","NMI Holdings Inc")</f>
        <v>0</v>
      </c>
      <c r="C1979">
        <v>0.05629013978088401</v>
      </c>
      <c r="D1979">
        <v>-0.015146178231771</v>
      </c>
      <c r="E1979">
        <v>0.23117569352708</v>
      </c>
      <c r="F1979">
        <v>0.337799043062201</v>
      </c>
      <c r="G1979">
        <v>0.28021978021978</v>
      </c>
      <c r="H1979">
        <v>0.109083696945656</v>
      </c>
      <c r="I1979">
        <v>0.376661742983752</v>
      </c>
    </row>
    <row r="1980" spans="1:9">
      <c r="A1980" s="1" t="s">
        <v>1992</v>
      </c>
      <c r="B1980">
        <f>HYPERLINK("https://www.suredividend.com/sure-analysis-research-database/","Newmark Group Inc")</f>
        <v>0</v>
      </c>
      <c r="C1980">
        <v>0.09309791332263201</v>
      </c>
      <c r="D1980">
        <v>-0.09065416816889001</v>
      </c>
      <c r="E1980">
        <v>0.132451983038164</v>
      </c>
      <c r="F1980">
        <v>-0.134270677074063</v>
      </c>
      <c r="G1980">
        <v>-0.09580965531892301</v>
      </c>
      <c r="H1980">
        <v>-0.533366680599428</v>
      </c>
      <c r="I1980">
        <v>-0.237726387427522</v>
      </c>
    </row>
    <row r="1981" spans="1:9">
      <c r="A1981" s="1" t="s">
        <v>1993</v>
      </c>
      <c r="B1981">
        <f>HYPERLINK("https://www.suredividend.com/sure-analysis-research-database/","NN Inc")</f>
        <v>0</v>
      </c>
      <c r="C1981">
        <v>0.027624309392265</v>
      </c>
      <c r="D1981">
        <v>-0.396103896103896</v>
      </c>
      <c r="E1981">
        <v>0.7547169811320751</v>
      </c>
      <c r="F1981">
        <v>0.24</v>
      </c>
      <c r="G1981">
        <v>-0.110047846889952</v>
      </c>
      <c r="H1981">
        <v>-0.6483931947069941</v>
      </c>
      <c r="I1981">
        <v>-0.8472203968984091</v>
      </c>
    </row>
    <row r="1982" spans="1:9">
      <c r="A1982" s="1" t="s">
        <v>1994</v>
      </c>
      <c r="B1982">
        <f>HYPERLINK("https://www.suredividend.com/sure-analysis-research-database/","Nelnet Inc")</f>
        <v>0</v>
      </c>
      <c r="C1982">
        <v>-0.014062145611249</v>
      </c>
      <c r="D1982">
        <v>-0.117277958956572</v>
      </c>
      <c r="E1982">
        <v>-0.07363800066062101</v>
      </c>
      <c r="F1982">
        <v>-0.033898022569048</v>
      </c>
      <c r="G1982">
        <v>-0.002759788301525</v>
      </c>
      <c r="H1982">
        <v>0.068556490061097</v>
      </c>
      <c r="I1982">
        <v>0.654314175078729</v>
      </c>
    </row>
    <row r="1983" spans="1:9">
      <c r="A1983" s="1" t="s">
        <v>1995</v>
      </c>
      <c r="B1983">
        <f>HYPERLINK("https://www.suredividend.com/sure-analysis-NNN/","NNN REIT Inc")</f>
        <v>0</v>
      </c>
      <c r="C1983">
        <v>0.131378569056621</v>
      </c>
      <c r="D1983">
        <v>-0.031556690337508</v>
      </c>
      <c r="E1983">
        <v>-0.074894484618096</v>
      </c>
      <c r="F1983">
        <v>-0.104241476571671</v>
      </c>
      <c r="G1983">
        <v>-0.029824649048308</v>
      </c>
      <c r="H1983">
        <v>-0.06540706767858001</v>
      </c>
      <c r="I1983">
        <v>0.056712600835249</v>
      </c>
    </row>
    <row r="1984" spans="1:9">
      <c r="A1984" s="1" t="s">
        <v>1996</v>
      </c>
      <c r="B1984">
        <f>HYPERLINK("https://www.suredividend.com/sure-analysis-research-database/","NanoViricides Inc")</f>
        <v>0</v>
      </c>
      <c r="C1984">
        <v>-0.155555555555555</v>
      </c>
      <c r="D1984">
        <v>-0.202797202797202</v>
      </c>
      <c r="E1984">
        <v>-0.149253731343283</v>
      </c>
      <c r="F1984">
        <v>0.027027027027026</v>
      </c>
      <c r="G1984">
        <v>-0.300613496932515</v>
      </c>
      <c r="H1984">
        <v>-0.782857142857142</v>
      </c>
      <c r="I1984">
        <v>-0.8103161397670541</v>
      </c>
    </row>
    <row r="1985" spans="1:9">
      <c r="A1985" s="1" t="s">
        <v>1997</v>
      </c>
      <c r="B1985">
        <f>HYPERLINK("https://www.suredividend.com/sure-analysis-NOC/","Northrop Grumman Corp.")</f>
        <v>0</v>
      </c>
      <c r="C1985">
        <v>0.07586721541314201</v>
      </c>
      <c r="D1985">
        <v>0.067865109224036</v>
      </c>
      <c r="E1985">
        <v>0.069289280092344</v>
      </c>
      <c r="F1985">
        <v>-0.117213201445056</v>
      </c>
      <c r="G1985">
        <v>-0.08870846639003101</v>
      </c>
      <c r="H1985">
        <v>0.389661702066134</v>
      </c>
      <c r="I1985">
        <v>0.885418904042057</v>
      </c>
    </row>
    <row r="1986" spans="1:9">
      <c r="A1986" s="1" t="s">
        <v>1998</v>
      </c>
      <c r="B1986">
        <f>HYPERLINK("https://www.suredividend.com/sure-analysis-research-database/","NI Holdings Inc")</f>
        <v>0</v>
      </c>
      <c r="C1986">
        <v>-0.01171875</v>
      </c>
      <c r="D1986">
        <v>-0.057377049180327</v>
      </c>
      <c r="E1986">
        <v>0.041152263374485</v>
      </c>
      <c r="F1986">
        <v>-0.046721929163526</v>
      </c>
      <c r="G1986">
        <v>-0.07258064516129001</v>
      </c>
      <c r="H1986">
        <v>-0.3675</v>
      </c>
      <c r="I1986">
        <v>-0.189102564102564</v>
      </c>
    </row>
    <row r="1987" spans="1:9">
      <c r="A1987" s="1" t="s">
        <v>1999</v>
      </c>
      <c r="B1987">
        <f>HYPERLINK("https://www.suredividend.com/sure-analysis-research-database/","Northern Oil and Gas Inc.")</f>
        <v>0</v>
      </c>
      <c r="C1987">
        <v>0.001812532366649</v>
      </c>
      <c r="D1987">
        <v>-0.008065715325884001</v>
      </c>
      <c r="E1987">
        <v>0.229932924309374</v>
      </c>
      <c r="F1987">
        <v>0.296720827970828</v>
      </c>
      <c r="G1987">
        <v>0.209315700474786</v>
      </c>
      <c r="H1987">
        <v>0.704848396719852</v>
      </c>
      <c r="I1987">
        <v>0.447686470548616</v>
      </c>
    </row>
    <row r="1988" spans="1:9">
      <c r="A1988" s="1" t="s">
        <v>2000</v>
      </c>
      <c r="B1988">
        <f>HYPERLINK("https://www.suredividend.com/sure-analysis-research-database/","NOV Inc")</f>
        <v>0</v>
      </c>
      <c r="C1988">
        <v>0.001466992665036</v>
      </c>
      <c r="D1988">
        <v>0.025481821231679</v>
      </c>
      <c r="E1988">
        <v>0.32286068623398</v>
      </c>
      <c r="F1988">
        <v>-0.011287161216193</v>
      </c>
      <c r="G1988">
        <v>-0.05196596705952</v>
      </c>
      <c r="H1988">
        <v>0.449860181940462</v>
      </c>
      <c r="I1988">
        <v>-0.41108810674028</v>
      </c>
    </row>
    <row r="1989" spans="1:9">
      <c r="A1989" s="1" t="s">
        <v>2001</v>
      </c>
      <c r="B1989">
        <f>HYPERLINK("https://www.suredividend.com/sure-analysis-research-database/","Novanta Inc")</f>
        <v>0</v>
      </c>
      <c r="C1989">
        <v>-0.03319005003171</v>
      </c>
      <c r="D1989">
        <v>-0.216716145238639</v>
      </c>
      <c r="E1989">
        <v>-0.132414316428481</v>
      </c>
      <c r="F1989">
        <v>0.00978876867594</v>
      </c>
      <c r="G1989">
        <v>0.006455399061032</v>
      </c>
      <c r="H1989">
        <v>-0.227999099707404</v>
      </c>
      <c r="I1989">
        <v>1.211476466795615</v>
      </c>
    </row>
    <row r="1990" spans="1:9">
      <c r="A1990" s="1" t="s">
        <v>2002</v>
      </c>
      <c r="B1990">
        <f>HYPERLINK("https://www.suredividend.com/sure-analysis-research-database/","ServiceNow Inc")</f>
        <v>0</v>
      </c>
      <c r="C1990">
        <v>0.07960664949660401</v>
      </c>
      <c r="D1990">
        <v>0.06438553189978101</v>
      </c>
      <c r="E1990">
        <v>0.351041291020555</v>
      </c>
      <c r="F1990">
        <v>0.543848352950266</v>
      </c>
      <c r="G1990">
        <v>0.5265101354792701</v>
      </c>
      <c r="H1990">
        <v>-0.126946212441194</v>
      </c>
      <c r="I1990">
        <v>2.352891822351493</v>
      </c>
    </row>
    <row r="1991" spans="1:9">
      <c r="A1991" s="1" t="s">
        <v>2003</v>
      </c>
      <c r="B1991">
        <f>HYPERLINK("https://www.suredividend.com/sure-analysis-research-database/","Neenah Inc")</f>
        <v>0</v>
      </c>
      <c r="C1991">
        <v>-0.160765801206399</v>
      </c>
      <c r="D1991">
        <v>-0.207023786808345</v>
      </c>
      <c r="E1991">
        <v>-0.308257674016428</v>
      </c>
      <c r="F1991">
        <v>-0.292861436198423</v>
      </c>
      <c r="G1991">
        <v>-0.331461425324241</v>
      </c>
      <c r="H1991">
        <v>-0.299431663937369</v>
      </c>
      <c r="I1991">
        <v>-0.528915740691669</v>
      </c>
    </row>
    <row r="1992" spans="1:9">
      <c r="A1992" s="1" t="s">
        <v>2004</v>
      </c>
      <c r="B1992">
        <f>HYPERLINK("https://www.suredividend.com/sure-analysis-research-database/","National Presto Industries, Inc.")</f>
        <v>0</v>
      </c>
      <c r="C1992">
        <v>0.03992395437262301</v>
      </c>
      <c r="D1992">
        <v>-0.029896123638206</v>
      </c>
      <c r="E1992">
        <v>0.126176470588235</v>
      </c>
      <c r="F1992">
        <v>0.164762659455217</v>
      </c>
      <c r="G1992">
        <v>0.149981078921918</v>
      </c>
      <c r="H1992">
        <v>-0.05440913536099801</v>
      </c>
      <c r="I1992">
        <v>-0.311266521329332</v>
      </c>
    </row>
    <row r="1993" spans="1:9">
      <c r="A1993" s="1" t="s">
        <v>2005</v>
      </c>
      <c r="B1993">
        <f>HYPERLINK("https://www.suredividend.com/sure-analysis-research-database/","EnPro Industries Inc")</f>
        <v>0</v>
      </c>
      <c r="C1993">
        <v>-0.04718529460036101</v>
      </c>
      <c r="D1993">
        <v>-0.162670282042591</v>
      </c>
      <c r="E1993">
        <v>0.17865488587015</v>
      </c>
      <c r="F1993">
        <v>0.07635831023518301</v>
      </c>
      <c r="G1993">
        <v>0.058697485696049</v>
      </c>
      <c r="H1993">
        <v>0.283796259952434</v>
      </c>
      <c r="I1993">
        <v>0.7303353372298541</v>
      </c>
    </row>
    <row r="1994" spans="1:9">
      <c r="A1994" s="1" t="s">
        <v>2006</v>
      </c>
      <c r="B1994">
        <f>HYPERLINK("https://www.suredividend.com/sure-analysis-research-database/","NeoPhotonics Corporation")</f>
        <v>0</v>
      </c>
      <c r="C1994">
        <v>0.019745222929936</v>
      </c>
      <c r="D1994">
        <v>0.056068601583113</v>
      </c>
      <c r="E1994">
        <v>0.04983606557377</v>
      </c>
      <c r="F1994">
        <v>0.0416395575797</v>
      </c>
      <c r="G1994">
        <v>0.7535596933187291</v>
      </c>
      <c r="H1994">
        <v>0.7574094401756311</v>
      </c>
      <c r="I1994">
        <v>1.090078328981723</v>
      </c>
    </row>
    <row r="1995" spans="1:9">
      <c r="A1995" s="1" t="s">
        <v>2007</v>
      </c>
      <c r="B1995">
        <f>HYPERLINK("https://www.suredividend.com/sure-analysis-research-database/","Newpark Resources, Inc.")</f>
        <v>0</v>
      </c>
      <c r="C1995">
        <v>0.098507462686567</v>
      </c>
      <c r="D1995">
        <v>0.396584440227704</v>
      </c>
      <c r="E1995">
        <v>0.9470899470899471</v>
      </c>
      <c r="F1995">
        <v>0.773493975903614</v>
      </c>
      <c r="G1995">
        <v>1.145772594752186</v>
      </c>
      <c r="H1995">
        <v>1.13953488372093</v>
      </c>
      <c r="I1995">
        <v>-0.105710814094775</v>
      </c>
    </row>
    <row r="1996" spans="1:9">
      <c r="A1996" s="1" t="s">
        <v>2008</v>
      </c>
      <c r="B1996">
        <f>HYPERLINK("https://www.suredividend.com/sure-analysis-research-database/","National Research Corp")</f>
        <v>0</v>
      </c>
      <c r="C1996">
        <v>-0.05349887133182801</v>
      </c>
      <c r="D1996">
        <v>0.00494202349738</v>
      </c>
      <c r="E1996">
        <v>0.00340290706857</v>
      </c>
      <c r="F1996">
        <v>0.19086501731057</v>
      </c>
      <c r="G1996">
        <v>0.264929211629022</v>
      </c>
      <c r="H1996">
        <v>-0.035484420071493</v>
      </c>
      <c r="I1996">
        <v>0.246473576722187</v>
      </c>
    </row>
    <row r="1997" spans="1:9">
      <c r="A1997" s="1" t="s">
        <v>2009</v>
      </c>
      <c r="B1997">
        <f>HYPERLINK("https://www.suredividend.com/sure-analysis-NRG/","NRG Energy Inc.")</f>
        <v>0</v>
      </c>
      <c r="C1997">
        <v>0.212054476651904</v>
      </c>
      <c r="D1997">
        <v>0.218540829082976</v>
      </c>
      <c r="E1997">
        <v>0.380059018699447</v>
      </c>
      <c r="F1997">
        <v>0.4783779445534561</v>
      </c>
      <c r="G1997">
        <v>0.084668038224153</v>
      </c>
      <c r="H1997">
        <v>0.232746870330763</v>
      </c>
      <c r="I1997">
        <v>0.398547221499138</v>
      </c>
    </row>
    <row r="1998" spans="1:9">
      <c r="A1998" s="1" t="s">
        <v>2010</v>
      </c>
      <c r="B1998">
        <f>HYPERLINK("https://www.suredividend.com/sure-analysis-NRIM/","Northrim Bancorp, Inc.")</f>
        <v>0</v>
      </c>
      <c r="C1998">
        <v>0.092331367017183</v>
      </c>
      <c r="D1998">
        <v>-0.109046141745131</v>
      </c>
      <c r="E1998">
        <v>0.22711229561334</v>
      </c>
      <c r="F1998">
        <v>-0.187148588245622</v>
      </c>
      <c r="G1998">
        <v>-0.085945581676846</v>
      </c>
      <c r="H1998">
        <v>0.03630599130369101</v>
      </c>
      <c r="I1998">
        <v>0.355941916402153</v>
      </c>
    </row>
    <row r="1999" spans="1:9">
      <c r="A1999" s="1" t="s">
        <v>2011</v>
      </c>
      <c r="B1999">
        <f>HYPERLINK("https://www.suredividend.com/sure-analysis-NSA/","National Storage Affiliates Trust")</f>
        <v>0</v>
      </c>
      <c r="C1999">
        <v>-0.04824702476680601</v>
      </c>
      <c r="D1999">
        <v>-0.09623190707590201</v>
      </c>
      <c r="E1999">
        <v>-0.167957798954534</v>
      </c>
      <c r="F1999">
        <v>-0.142701518742358</v>
      </c>
      <c r="G1999">
        <v>-0.200298367895182</v>
      </c>
      <c r="H1999">
        <v>-0.49450774723679</v>
      </c>
      <c r="I1999">
        <v>0.42909579143605</v>
      </c>
    </row>
    <row r="2000" spans="1:9">
      <c r="A2000" s="1" t="s">
        <v>2012</v>
      </c>
      <c r="B2000">
        <f>HYPERLINK("https://www.suredividend.com/sure-analysis-NSC/","Norfolk Southern Corp.")</f>
        <v>0</v>
      </c>
      <c r="C2000">
        <v>0.009042251343347001</v>
      </c>
      <c r="D2000">
        <v>-0.155714483109449</v>
      </c>
      <c r="E2000">
        <v>-0.040302205264081</v>
      </c>
      <c r="F2000">
        <v>-0.201605610815817</v>
      </c>
      <c r="G2000">
        <v>-0.122321871733466</v>
      </c>
      <c r="H2000">
        <v>-0.295858904599267</v>
      </c>
      <c r="I2000">
        <v>0.256533667256315</v>
      </c>
    </row>
    <row r="2001" spans="1:9">
      <c r="A2001" s="1" t="s">
        <v>2013</v>
      </c>
      <c r="B2001">
        <f>HYPERLINK("https://www.suredividend.com/sure-analysis-research-database/","National Security Group, Inc.")</f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</row>
    <row r="2002" spans="1:9">
      <c r="A2002" s="1" t="s">
        <v>2014</v>
      </c>
      <c r="B2002">
        <f>HYPERLINK("https://www.suredividend.com/sure-analysis-research-database/","Insight Enterprises Inc.")</f>
        <v>0</v>
      </c>
      <c r="C2002">
        <v>-0.012428364289166</v>
      </c>
      <c r="D2002">
        <v>-0.018931339598051</v>
      </c>
      <c r="E2002">
        <v>0.198106885575473</v>
      </c>
      <c r="F2002">
        <v>0.426448588810212</v>
      </c>
      <c r="G2002">
        <v>0.523216187433439</v>
      </c>
      <c r="H2002">
        <v>0.46727533853098</v>
      </c>
      <c r="I2002">
        <v>1.753224254090471</v>
      </c>
    </row>
    <row r="2003" spans="1:9">
      <c r="A2003" s="1" t="s">
        <v>2015</v>
      </c>
      <c r="B2003">
        <f>HYPERLINK("https://www.suredividend.com/sure-analysis-NSP/","Insperity Inc")</f>
        <v>0</v>
      </c>
      <c r="C2003">
        <v>0.109907120743034</v>
      </c>
      <c r="D2003">
        <v>0.122547070261739</v>
      </c>
      <c r="E2003">
        <v>-0.09799596593267801</v>
      </c>
      <c r="F2003">
        <v>-0.039219154512856</v>
      </c>
      <c r="G2003">
        <v>-0.041324229404738</v>
      </c>
      <c r="H2003">
        <v>-0.08115483160485601</v>
      </c>
      <c r="I2003">
        <v>0.07200633136607701</v>
      </c>
    </row>
    <row r="2004" spans="1:9">
      <c r="A2004" s="1" t="s">
        <v>2016</v>
      </c>
      <c r="B2004">
        <f>HYPERLINK("https://www.suredividend.com/sure-analysis-research-database/","NAPCO Security Technologies Inc")</f>
        <v>0</v>
      </c>
      <c r="C2004">
        <v>-0.160940325497287</v>
      </c>
      <c r="D2004">
        <v>-0.4880691989220761</v>
      </c>
      <c r="E2004">
        <v>-0.355991602907753</v>
      </c>
      <c r="F2004">
        <v>-0.317792529534143</v>
      </c>
      <c r="G2004">
        <v>-0.303342529512227</v>
      </c>
      <c r="H2004">
        <v>-0.201400990503728</v>
      </c>
      <c r="I2004">
        <v>1.48963768796362</v>
      </c>
    </row>
    <row r="2005" spans="1:9">
      <c r="A2005" s="1" t="s">
        <v>2017</v>
      </c>
      <c r="B2005">
        <f>HYPERLINK("https://www.suredividend.com/sure-analysis-research-database/","Nanostring Technologies Inc")</f>
        <v>0</v>
      </c>
      <c r="C2005">
        <v>-0.07843137254901901</v>
      </c>
      <c r="D2005">
        <v>-0.631372549019607</v>
      </c>
      <c r="E2005">
        <v>-0.849840255591054</v>
      </c>
      <c r="F2005">
        <v>-0.823086574654956</v>
      </c>
      <c r="G2005">
        <v>-0.85</v>
      </c>
      <c r="H2005">
        <v>-0.970139771283354</v>
      </c>
      <c r="I2005">
        <v>-0.9077225130890051</v>
      </c>
    </row>
    <row r="2006" spans="1:9">
      <c r="A2006" s="1" t="s">
        <v>2018</v>
      </c>
      <c r="B2006">
        <f>HYPERLINK("https://www.suredividend.com/sure-analysis-NTAP/","Netapp Inc")</f>
        <v>0</v>
      </c>
      <c r="C2006">
        <v>-0.00090377231355</v>
      </c>
      <c r="D2006">
        <v>-0.03477671219606601</v>
      </c>
      <c r="E2006">
        <v>0.233068613263944</v>
      </c>
      <c r="F2006">
        <v>0.298292917675755</v>
      </c>
      <c r="G2006">
        <v>0.13221097031071</v>
      </c>
      <c r="H2006">
        <v>-0.112377540645578</v>
      </c>
      <c r="I2006">
        <v>0.111468065929555</v>
      </c>
    </row>
    <row r="2007" spans="1:9">
      <c r="A2007" s="1" t="s">
        <v>2019</v>
      </c>
      <c r="B2007">
        <f>HYPERLINK("https://www.suredividend.com/sure-analysis-research-database/","Netscout Systems Inc")</f>
        <v>0</v>
      </c>
      <c r="C2007">
        <v>-0.227821149751596</v>
      </c>
      <c r="D2007">
        <v>-0.222579492675955</v>
      </c>
      <c r="E2007">
        <v>-0.167877629063097</v>
      </c>
      <c r="F2007">
        <v>-0.330667486927099</v>
      </c>
      <c r="G2007">
        <v>-0.3788181558664001</v>
      </c>
      <c r="H2007">
        <v>-0.319361901782921</v>
      </c>
      <c r="I2007">
        <v>-0.249396343566747</v>
      </c>
    </row>
    <row r="2008" spans="1:9">
      <c r="A2008" s="1" t="s">
        <v>2020</v>
      </c>
      <c r="B2008">
        <f>HYPERLINK("https://www.suredividend.com/sure-analysis-research-database/","Netgear Inc")</f>
        <v>0</v>
      </c>
      <c r="C2008">
        <v>-0.002407704654895</v>
      </c>
      <c r="D2008">
        <v>-0.13076923076923</v>
      </c>
      <c r="E2008">
        <v>-0.088041085840058</v>
      </c>
      <c r="F2008">
        <v>-0.313638873550524</v>
      </c>
      <c r="G2008">
        <v>-0.355290456431535</v>
      </c>
      <c r="H2008">
        <v>-0.5848363393453571</v>
      </c>
      <c r="I2008">
        <v>-0.6491752938121631</v>
      </c>
    </row>
    <row r="2009" spans="1:9">
      <c r="A2009" s="1" t="s">
        <v>2021</v>
      </c>
      <c r="B2009">
        <f>HYPERLINK("https://www.suredividend.com/sure-analysis-research-database/","Northern Technologies International Corp.")</f>
        <v>0</v>
      </c>
      <c r="C2009">
        <v>-0.049124718920038</v>
      </c>
      <c r="D2009">
        <v>-0.017056723522411</v>
      </c>
      <c r="E2009">
        <v>0.120780113615804</v>
      </c>
      <c r="F2009">
        <v>-0.030903160710514</v>
      </c>
      <c r="G2009">
        <v>0.057266466989222</v>
      </c>
      <c r="H2009">
        <v>-0.191675365344467</v>
      </c>
      <c r="I2009">
        <v>-0.147686232965762</v>
      </c>
    </row>
    <row r="2010" spans="1:9">
      <c r="A2010" s="1" t="s">
        <v>2022</v>
      </c>
      <c r="B2010">
        <f>HYPERLINK("https://www.suredividend.com/sure-analysis-research-database/","Network-1 Technologies Inc")</f>
        <v>0</v>
      </c>
      <c r="C2010">
        <v>-0.09191666666666601</v>
      </c>
      <c r="D2010">
        <v>-0.04829694323144101</v>
      </c>
      <c r="E2010">
        <v>-0.022690582959641</v>
      </c>
      <c r="F2010">
        <v>0.013768722671876</v>
      </c>
      <c r="G2010">
        <v>-0.05090798240648001</v>
      </c>
      <c r="H2010">
        <v>-0.198573214679708</v>
      </c>
      <c r="I2010">
        <v>-0.056945045434876</v>
      </c>
    </row>
    <row r="2011" spans="1:9">
      <c r="A2011" s="1" t="s">
        <v>2023</v>
      </c>
      <c r="B2011">
        <f>HYPERLINK("https://www.suredividend.com/sure-analysis-research-database/","Intellia Therapeutics Inc")</f>
        <v>0</v>
      </c>
      <c r="C2011">
        <v>-0.099625977558653</v>
      </c>
      <c r="D2011">
        <v>-0.333165449508939</v>
      </c>
      <c r="E2011">
        <v>-0.284324324324324</v>
      </c>
      <c r="F2011">
        <v>-0.241043278876468</v>
      </c>
      <c r="G2011">
        <v>-0.481800391389432</v>
      </c>
      <c r="H2011">
        <v>-0.8048349056603771</v>
      </c>
      <c r="I2011">
        <v>0.393684210526315</v>
      </c>
    </row>
    <row r="2012" spans="1:9">
      <c r="A2012" s="1" t="s">
        <v>2024</v>
      </c>
      <c r="B2012">
        <f>HYPERLINK("https://www.suredividend.com/sure-analysis-research-database/","Nutanix Inc")</f>
        <v>0</v>
      </c>
      <c r="C2012">
        <v>0.074798619102416</v>
      </c>
      <c r="D2012">
        <v>0.283407763655101</v>
      </c>
      <c r="E2012">
        <v>0.5586149353358361</v>
      </c>
      <c r="F2012">
        <v>0.434165067178502</v>
      </c>
      <c r="G2012">
        <v>0.361516034985422</v>
      </c>
      <c r="H2012">
        <v>0.061665245808468</v>
      </c>
      <c r="I2012">
        <v>-0.13297748897656</v>
      </c>
    </row>
    <row r="2013" spans="1:9">
      <c r="A2013" s="1" t="s">
        <v>2025</v>
      </c>
      <c r="B2013">
        <f>HYPERLINK("https://www.suredividend.com/sure-analysis-research-database/","Natera Inc")</f>
        <v>0</v>
      </c>
      <c r="C2013">
        <v>-0.071657509157509</v>
      </c>
      <c r="D2013">
        <v>-0.07694058729797401</v>
      </c>
      <c r="E2013">
        <v>-0.194157392686804</v>
      </c>
      <c r="F2013">
        <v>0.009459795867562001</v>
      </c>
      <c r="G2013">
        <v>-0.107810781078107</v>
      </c>
      <c r="H2013">
        <v>-0.6446411357462091</v>
      </c>
      <c r="I2013">
        <v>0.8151298119964181</v>
      </c>
    </row>
    <row r="2014" spans="1:9">
      <c r="A2014" s="1" t="s">
        <v>2026</v>
      </c>
      <c r="B2014">
        <f>HYPERLINK("https://www.suredividend.com/sure-analysis-NTRS/","Northern Trust Corp.")</f>
        <v>0</v>
      </c>
      <c r="C2014">
        <v>0.033313679245282</v>
      </c>
      <c r="D2014">
        <v>-0.107725872003849</v>
      </c>
      <c r="E2014">
        <v>-0.022452904123686</v>
      </c>
      <c r="F2014">
        <v>-0.169072917703843</v>
      </c>
      <c r="G2014">
        <v>-0.121084689320364</v>
      </c>
      <c r="H2014">
        <v>-0.385082864689282</v>
      </c>
      <c r="I2014">
        <v>-0.112933330802472</v>
      </c>
    </row>
    <row r="2015" spans="1:9">
      <c r="A2015" s="1" t="s">
        <v>2027</v>
      </c>
      <c r="B2015">
        <f>HYPERLINK("https://www.suredividend.com/sure-analysis-research-database/","Natus Medical Inc")</f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</row>
    <row r="2016" spans="1:9">
      <c r="A2016" s="1" t="s">
        <v>2028</v>
      </c>
      <c r="B2016">
        <f>HYPERLINK("https://www.suredividend.com/sure-analysis-research-database/","Netsol Technologies, Inc.")</f>
        <v>0</v>
      </c>
      <c r="C2016">
        <v>-0.010526315789473</v>
      </c>
      <c r="D2016">
        <v>-0.182608695652173</v>
      </c>
      <c r="E2016">
        <v>-0.209984451821658</v>
      </c>
      <c r="F2016">
        <v>-0.3483535528596181</v>
      </c>
      <c r="G2016">
        <v>-0.4050632911392401</v>
      </c>
      <c r="H2016">
        <v>-0.6008492569002121</v>
      </c>
      <c r="I2016">
        <v>-0.8059855521155831</v>
      </c>
    </row>
    <row r="2017" spans="1:9">
      <c r="A2017" s="1" t="s">
        <v>2029</v>
      </c>
      <c r="B2017">
        <f>HYPERLINK("https://www.suredividend.com/sure-analysis-research-database/","Nuance Communications Inc")</f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</row>
    <row r="2018" spans="1:9">
      <c r="A2018" s="1" t="s">
        <v>2030</v>
      </c>
      <c r="B2018">
        <f>HYPERLINK("https://www.suredividend.com/sure-analysis-NUE/","Nucor Corp.")</f>
        <v>0</v>
      </c>
      <c r="C2018">
        <v>-0.022741956325106</v>
      </c>
      <c r="D2018">
        <v>-0.105153090049664</v>
      </c>
      <c r="E2018">
        <v>0.03874806342090401</v>
      </c>
      <c r="F2018">
        <v>0.158930376066241</v>
      </c>
      <c r="G2018">
        <v>0.191278762065576</v>
      </c>
      <c r="H2018">
        <v>0.454704226489927</v>
      </c>
      <c r="I2018">
        <v>1.816591934931251</v>
      </c>
    </row>
    <row r="2019" spans="1:9">
      <c r="A2019" s="1" t="s">
        <v>2031</v>
      </c>
      <c r="B2019">
        <f>HYPERLINK("https://www.suredividend.com/sure-analysis-research-database/","Neurometrix Inc.")</f>
        <v>0</v>
      </c>
      <c r="C2019">
        <v>-0.322566995768688</v>
      </c>
      <c r="D2019">
        <v>-0.447994483392713</v>
      </c>
      <c r="E2019">
        <v>-0.654460431654676</v>
      </c>
      <c r="F2019">
        <v>-0.6776510067114091</v>
      </c>
      <c r="G2019">
        <v>-0.6940764331210191</v>
      </c>
      <c r="H2019">
        <v>-0.9409950859950861</v>
      </c>
      <c r="I2019">
        <v>-0.957868421052631</v>
      </c>
    </row>
    <row r="2020" spans="1:9">
      <c r="A2020" s="1" t="s">
        <v>2032</v>
      </c>
      <c r="B2020">
        <f>HYPERLINK("https://www.suredividend.com/sure-analysis-NUS/","Nu Skin Enterprises, Inc.")</f>
        <v>0</v>
      </c>
      <c r="C2020">
        <v>-0.1878612716763</v>
      </c>
      <c r="D2020">
        <v>-0.375925377554042</v>
      </c>
      <c r="E2020">
        <v>-0.5650435343437601</v>
      </c>
      <c r="F2020">
        <v>-0.584853812401199</v>
      </c>
      <c r="G2020">
        <v>-0.518511326121474</v>
      </c>
      <c r="H2020">
        <v>-0.5453895871026541</v>
      </c>
      <c r="I2020">
        <v>-0.7176858275271381</v>
      </c>
    </row>
    <row r="2021" spans="1:9">
      <c r="A2021" s="1" t="s">
        <v>2033</v>
      </c>
      <c r="B2021">
        <f>HYPERLINK("https://www.suredividend.com/sure-analysis-research-database/","Nuvasive Inc")</f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</row>
    <row r="2022" spans="1:9">
      <c r="A2022" s="1" t="s">
        <v>2034</v>
      </c>
      <c r="B2022">
        <f>HYPERLINK("https://www.suredividend.com/sure-analysis-research-database/","Novavax, Inc.")</f>
        <v>0</v>
      </c>
      <c r="C2022">
        <v>0.007052186177715001</v>
      </c>
      <c r="D2022">
        <v>-0.149493746277546</v>
      </c>
      <c r="E2022">
        <v>0.014204545454545</v>
      </c>
      <c r="F2022">
        <v>-0.30544747081712</v>
      </c>
      <c r="G2022">
        <v>-0.6517073170731701</v>
      </c>
      <c r="H2022">
        <v>-0.963440860215053</v>
      </c>
      <c r="I2022">
        <v>-0.8140624999999999</v>
      </c>
    </row>
    <row r="2023" spans="1:9">
      <c r="A2023" s="1" t="s">
        <v>2035</v>
      </c>
      <c r="B2023">
        <f>HYPERLINK("https://www.suredividend.com/sure-analysis-NVDA/","NVIDIA Corp")</f>
        <v>0</v>
      </c>
      <c r="C2023">
        <v>-0.028493591175025</v>
      </c>
      <c r="D2023">
        <v>-0.017154501206925</v>
      </c>
      <c r="E2023">
        <v>0.542505591254809</v>
      </c>
      <c r="F2023">
        <v>1.978068013799901</v>
      </c>
      <c r="G2023">
        <v>2.293184728996921</v>
      </c>
      <c r="H2023">
        <v>0.650221725074562</v>
      </c>
      <c r="I2023">
        <v>7.167993391408832</v>
      </c>
    </row>
    <row r="2024" spans="1:9">
      <c r="A2024" s="1" t="s">
        <v>2036</v>
      </c>
      <c r="B2024">
        <f>HYPERLINK("https://www.suredividend.com/sure-analysis-research-database/","NVE Corp")</f>
        <v>0</v>
      </c>
      <c r="C2024">
        <v>-0.148199740408493</v>
      </c>
      <c r="D2024">
        <v>-0.129829402109001</v>
      </c>
      <c r="E2024">
        <v>-0.06792694473786401</v>
      </c>
      <c r="F2024">
        <v>0.126030445139076</v>
      </c>
      <c r="G2024">
        <v>0.160809226490716</v>
      </c>
      <c r="H2024">
        <v>0.114361058217676</v>
      </c>
      <c r="I2024">
        <v>0.075165291669363</v>
      </c>
    </row>
    <row r="2025" spans="1:9">
      <c r="A2025" s="1" t="s">
        <v>2037</v>
      </c>
      <c r="B2025">
        <f>HYPERLINK("https://www.suredividend.com/sure-analysis-research-database/","NV5 Global Inc")</f>
        <v>0</v>
      </c>
      <c r="C2025">
        <v>-0.001672415595275</v>
      </c>
      <c r="D2025">
        <v>-0.13674981923355</v>
      </c>
      <c r="E2025">
        <v>0.023687031082529</v>
      </c>
      <c r="F2025">
        <v>-0.278189238210399</v>
      </c>
      <c r="G2025">
        <v>-0.325780036707609</v>
      </c>
      <c r="H2025">
        <v>-0.093488990129081</v>
      </c>
      <c r="I2025">
        <v>0.143284654057936</v>
      </c>
    </row>
    <row r="2026" spans="1:9">
      <c r="A2026" s="1" t="s">
        <v>2038</v>
      </c>
      <c r="B2026">
        <f>HYPERLINK("https://www.suredividend.com/sure-analysis-research-database/","Nova Lifestyle Inc")</f>
        <v>0</v>
      </c>
      <c r="C2026">
        <v>-0.234817813765182</v>
      </c>
      <c r="D2026">
        <v>-0.26171875</v>
      </c>
      <c r="E2026">
        <v>-0.37</v>
      </c>
      <c r="F2026">
        <v>-0.130634774609015</v>
      </c>
      <c r="G2026">
        <v>-0.398472310630171</v>
      </c>
      <c r="H2026">
        <v>-0.8398305084745761</v>
      </c>
      <c r="I2026">
        <v>-0.93952</v>
      </c>
    </row>
    <row r="2027" spans="1:9">
      <c r="A2027" s="1" t="s">
        <v>2039</v>
      </c>
      <c r="B2027">
        <f>HYPERLINK("https://www.suredividend.com/sure-analysis-research-database/","InVivo Therapeutics Holdings Corp")</f>
        <v>0</v>
      </c>
      <c r="C2027">
        <v>-0.206896551724137</v>
      </c>
      <c r="D2027">
        <v>-0.323529411764705</v>
      </c>
      <c r="E2027">
        <v>-0.297709923664122</v>
      </c>
      <c r="F2027">
        <v>-0.608510638297872</v>
      </c>
      <c r="G2027">
        <v>-0.605150214592274</v>
      </c>
      <c r="H2027">
        <v>-0.9396721311475411</v>
      </c>
      <c r="I2027">
        <v>-0.99940162601626</v>
      </c>
    </row>
    <row r="2028" spans="1:9">
      <c r="A2028" s="1" t="s">
        <v>2040</v>
      </c>
      <c r="B2028">
        <f>HYPERLINK("https://www.suredividend.com/sure-analysis-research-database/","NVR Inc.")</f>
        <v>0</v>
      </c>
      <c r="C2028">
        <v>-0.04395943599594</v>
      </c>
      <c r="D2028">
        <v>-0.09596214370923101</v>
      </c>
      <c r="E2028">
        <v>-0.03187770106819601</v>
      </c>
      <c r="F2028">
        <v>0.235514614380671</v>
      </c>
      <c r="G2028">
        <v>0.379974913553461</v>
      </c>
      <c r="H2028">
        <v>0.161073770809097</v>
      </c>
      <c r="I2028">
        <v>1.523495133593701</v>
      </c>
    </row>
    <row r="2029" spans="1:9">
      <c r="A2029" s="1" t="s">
        <v>2041</v>
      </c>
      <c r="B2029">
        <f>HYPERLINK("https://www.suredividend.com/sure-analysis-research-database/","Nevro Corp")</f>
        <v>0</v>
      </c>
      <c r="C2029">
        <v>-0.225556130367304</v>
      </c>
      <c r="D2029">
        <v>-0.253738783649052</v>
      </c>
      <c r="E2029">
        <v>-0.438905547226386</v>
      </c>
      <c r="F2029">
        <v>-0.6219696969696971</v>
      </c>
      <c r="G2029">
        <v>-0.592098092643051</v>
      </c>
      <c r="H2029">
        <v>-0.8680243321872521</v>
      </c>
      <c r="I2029">
        <v>-0.686097714405535</v>
      </c>
    </row>
    <row r="2030" spans="1:9">
      <c r="A2030" s="1" t="s">
        <v>2042</v>
      </c>
      <c r="B2030">
        <f>HYPERLINK("https://www.suredividend.com/sure-analysis-research-database/","nVent Electric plc")</f>
        <v>0</v>
      </c>
      <c r="C2030">
        <v>-0.046211662300281</v>
      </c>
      <c r="D2030">
        <v>-0.116366522015771</v>
      </c>
      <c r="E2030">
        <v>0.168443516958265</v>
      </c>
      <c r="F2030">
        <v>0.305036426987646</v>
      </c>
      <c r="G2030">
        <v>0.383049254345107</v>
      </c>
      <c r="H2030">
        <v>0.384102419099717</v>
      </c>
      <c r="I2030">
        <v>1.202276219960355</v>
      </c>
    </row>
    <row r="2031" spans="1:9">
      <c r="A2031" s="1" t="s">
        <v>2043</v>
      </c>
      <c r="B2031">
        <f>HYPERLINK("https://www.suredividend.com/sure-analysis-research-database/","Invitae Corp")</f>
        <v>0</v>
      </c>
      <c r="C2031">
        <v>-0.086584481508339</v>
      </c>
      <c r="D2031">
        <v>-0.492096774193548</v>
      </c>
      <c r="E2031">
        <v>-0.5228787878787871</v>
      </c>
      <c r="F2031">
        <v>-0.661397849462365</v>
      </c>
      <c r="G2031">
        <v>-0.7658736059479551</v>
      </c>
      <c r="H2031">
        <v>-0.976837072453107</v>
      </c>
      <c r="I2031">
        <v>-0.956803840877914</v>
      </c>
    </row>
    <row r="2032" spans="1:9">
      <c r="A2032" s="1" t="s">
        <v>2044</v>
      </c>
      <c r="B2032">
        <f>HYPERLINK("https://www.suredividend.com/sure-analysis-NWBI/","Northwest Bancshares Inc")</f>
        <v>0</v>
      </c>
      <c r="C2032">
        <v>0.092583705186198</v>
      </c>
      <c r="D2032">
        <v>-0.065338923829489</v>
      </c>
      <c r="E2032">
        <v>0.098731837551984</v>
      </c>
      <c r="F2032">
        <v>-0.134234161339914</v>
      </c>
      <c r="G2032">
        <v>-0.176073799146812</v>
      </c>
      <c r="H2032">
        <v>-0.075010589832032</v>
      </c>
      <c r="I2032">
        <v>-0.086196442144278</v>
      </c>
    </row>
    <row r="2033" spans="1:9">
      <c r="A2033" s="1" t="s">
        <v>2045</v>
      </c>
      <c r="B2033">
        <f>HYPERLINK("https://www.suredividend.com/sure-analysis-NWE/","NorthWestern Energy Group Inc")</f>
        <v>0</v>
      </c>
      <c r="C2033">
        <v>0.083457844183564</v>
      </c>
      <c r="D2033">
        <v>0.083457844183564</v>
      </c>
      <c r="E2033">
        <v>0.083457844183564</v>
      </c>
      <c r="F2033">
        <v>0.083457844183564</v>
      </c>
      <c r="G2033">
        <v>0.083457844183564</v>
      </c>
      <c r="H2033">
        <v>0.083457844183564</v>
      </c>
      <c r="I2033">
        <v>0.083457844183564</v>
      </c>
    </row>
    <row r="2034" spans="1:9">
      <c r="A2034" s="1" t="s">
        <v>2046</v>
      </c>
      <c r="B2034">
        <f>HYPERLINK("https://www.suredividend.com/sure-analysis-NWFL/","Norwood Financial Corp.")</f>
        <v>0</v>
      </c>
      <c r="C2034">
        <v>0.110721242846253</v>
      </c>
      <c r="D2034">
        <v>-0.100405699390471</v>
      </c>
      <c r="E2034">
        <v>0.05786774732556101</v>
      </c>
      <c r="F2034">
        <v>-0.126321700151323</v>
      </c>
      <c r="G2034">
        <v>0.003117897313363</v>
      </c>
      <c r="H2034">
        <v>0.141336781380545</v>
      </c>
      <c r="I2034">
        <v>-0.09722973438099201</v>
      </c>
    </row>
    <row r="2035" spans="1:9">
      <c r="A2035" s="1" t="s">
        <v>2047</v>
      </c>
      <c r="B2035">
        <f>HYPERLINK("https://www.suredividend.com/sure-analysis-research-database/","New Home Company Inc (The)")</f>
        <v>0</v>
      </c>
      <c r="C2035">
        <v>0.005592841163311</v>
      </c>
      <c r="D2035">
        <v>0.426984126984127</v>
      </c>
      <c r="E2035">
        <v>0.6648148148148141</v>
      </c>
      <c r="F2035">
        <v>0.91684434968017</v>
      </c>
      <c r="G2035">
        <v>1.293367346938775</v>
      </c>
      <c r="H2035">
        <v>1.353403141361256</v>
      </c>
      <c r="I2035">
        <v>-0.192998204667863</v>
      </c>
    </row>
    <row r="2036" spans="1:9">
      <c r="A2036" s="1" t="s">
        <v>2048</v>
      </c>
      <c r="B2036">
        <f>HYPERLINK("https://www.suredividend.com/sure-analysis-NWL/","Newell Brands Inc")</f>
        <v>0</v>
      </c>
      <c r="C2036">
        <v>-0.214780600461893</v>
      </c>
      <c r="D2036">
        <v>-0.371162240142043</v>
      </c>
      <c r="E2036">
        <v>-0.329362105014004</v>
      </c>
      <c r="F2036">
        <v>-0.460291759925075</v>
      </c>
      <c r="G2036">
        <v>-0.441262746193602</v>
      </c>
      <c r="H2036">
        <v>-0.68576128948779</v>
      </c>
      <c r="I2036">
        <v>-0.541785151143515</v>
      </c>
    </row>
    <row r="2037" spans="1:9">
      <c r="A2037" s="1" t="s">
        <v>2049</v>
      </c>
      <c r="B2037">
        <f>HYPERLINK("https://www.suredividend.com/sure-analysis-research-database/","National Western Life Group Inc")</f>
        <v>0</v>
      </c>
      <c r="C2037">
        <v>0.118469342434371</v>
      </c>
      <c r="D2037">
        <v>0.10628901734104</v>
      </c>
      <c r="E2037">
        <v>0.9064068850107581</v>
      </c>
      <c r="F2037">
        <v>0.7027402135231311</v>
      </c>
      <c r="G2037">
        <v>1.461185671452005</v>
      </c>
      <c r="H2037">
        <v>1.212652727699016</v>
      </c>
      <c r="I2037">
        <v>0.773866582039707</v>
      </c>
    </row>
    <row r="2038" spans="1:9">
      <c r="A2038" s="1" t="s">
        <v>2050</v>
      </c>
      <c r="B2038">
        <f>HYPERLINK("https://www.suredividend.com/sure-analysis-NWN/","Northwest Natural Holding Co")</f>
        <v>0</v>
      </c>
      <c r="C2038">
        <v>0.05860756610809401</v>
      </c>
      <c r="D2038">
        <v>-0.070950217091337</v>
      </c>
      <c r="E2038">
        <v>-0.140017921866014</v>
      </c>
      <c r="F2038">
        <v>-0.152397147414349</v>
      </c>
      <c r="G2038">
        <v>-0.138088961372623</v>
      </c>
      <c r="H2038">
        <v>-0.08056824600161501</v>
      </c>
      <c r="I2038">
        <v>-0.285282904219016</v>
      </c>
    </row>
    <row r="2039" spans="1:9">
      <c r="A2039" s="1" t="s">
        <v>2051</v>
      </c>
      <c r="B2039">
        <f>HYPERLINK("https://www.suredividend.com/sure-analysis-research-database/","Northwest Pipe Co.")</f>
        <v>0</v>
      </c>
      <c r="C2039">
        <v>-0.069499341238471</v>
      </c>
      <c r="D2039">
        <v>-0.134762633996937</v>
      </c>
      <c r="E2039">
        <v>0.015821646889608</v>
      </c>
      <c r="F2039">
        <v>-0.161721068249258</v>
      </c>
      <c r="G2039">
        <v>-0.160974160974161</v>
      </c>
      <c r="H2039">
        <v>0.163988463123197</v>
      </c>
      <c r="I2039">
        <v>0.489193463363205</v>
      </c>
    </row>
    <row r="2040" spans="1:9">
      <c r="A2040" s="1" t="s">
        <v>2052</v>
      </c>
      <c r="B2040">
        <f>HYPERLINK("https://www.suredividend.com/sure-analysis-research-database/","News Corp")</f>
        <v>0</v>
      </c>
      <c r="C2040">
        <v>0.0625</v>
      </c>
      <c r="D2040">
        <v>0.113047332211892</v>
      </c>
      <c r="E2040">
        <v>0.303650220617729</v>
      </c>
      <c r="F2040">
        <v>0.21734915336396</v>
      </c>
      <c r="G2040">
        <v>0.342575436337017</v>
      </c>
      <c r="H2040">
        <v>-0.019912191227992</v>
      </c>
      <c r="I2040">
        <v>0.76552826043539</v>
      </c>
    </row>
    <row r="2041" spans="1:9">
      <c r="A2041" s="1" t="s">
        <v>2053</v>
      </c>
      <c r="B2041">
        <f>HYPERLINK("https://www.suredividend.com/sure-analysis-research-database/","News Corp")</f>
        <v>0</v>
      </c>
      <c r="C2041">
        <v>0.0625</v>
      </c>
      <c r="D2041">
        <v>0.091220935009448</v>
      </c>
      <c r="E2041">
        <v>0.263452048278732</v>
      </c>
      <c r="F2041">
        <v>0.186362139136551</v>
      </c>
      <c r="G2041">
        <v>0.310975797844447</v>
      </c>
      <c r="H2041">
        <v>-0.07234406649437701</v>
      </c>
      <c r="I2041">
        <v>0.7235366160284851</v>
      </c>
    </row>
    <row r="2042" spans="1:9">
      <c r="A2042" s="1" t="s">
        <v>2054</v>
      </c>
      <c r="B2042">
        <f>HYPERLINK("https://www.suredividend.com/sure-analysis-research-database/","Quanex Building Products Corp")</f>
        <v>0</v>
      </c>
      <c r="C2042">
        <v>0.005351409204423001</v>
      </c>
      <c r="D2042">
        <v>0.009334011475891</v>
      </c>
      <c r="E2042">
        <v>0.4626575938296401</v>
      </c>
      <c r="F2042">
        <v>0.201869764744016</v>
      </c>
      <c r="G2042">
        <v>0.351416157527742</v>
      </c>
      <c r="H2042">
        <v>0.36214230471771</v>
      </c>
      <c r="I2042">
        <v>0.9868296741260901</v>
      </c>
    </row>
    <row r="2043" spans="1:9">
      <c r="A2043" s="1" t="s">
        <v>2055</v>
      </c>
      <c r="B2043">
        <f>HYPERLINK("https://www.suredividend.com/sure-analysis-research-database/","NextGen Healthcare Inc")</f>
        <v>0</v>
      </c>
      <c r="C2043">
        <v>0.007585335018963001</v>
      </c>
      <c r="D2043">
        <v>0.4552647595861231</v>
      </c>
      <c r="E2043">
        <v>0.424061941631923</v>
      </c>
      <c r="F2043">
        <v>0.273162939297124</v>
      </c>
      <c r="G2043">
        <v>0.205141129032258</v>
      </c>
      <c r="H2043">
        <v>0.449090909090909</v>
      </c>
      <c r="I2043">
        <v>0.584493041749503</v>
      </c>
    </row>
    <row r="2044" spans="1:9">
      <c r="A2044" s="1" t="s">
        <v>2056</v>
      </c>
      <c r="B2044">
        <f>HYPERLINK("https://www.suredividend.com/sure-analysis-NXRT/","NexPoint Residential Trust Inc")</f>
        <v>0</v>
      </c>
      <c r="C2044">
        <v>-0.08596995845317901</v>
      </c>
      <c r="D2044">
        <v>-0.280070281250865</v>
      </c>
      <c r="E2044">
        <v>-0.278624847086123</v>
      </c>
      <c r="F2044">
        <v>-0.322135132124395</v>
      </c>
      <c r="G2044">
        <v>-0.334515382932879</v>
      </c>
      <c r="H2044">
        <v>-0.5722846430745251</v>
      </c>
      <c r="I2044">
        <v>-0.004310014691649</v>
      </c>
    </row>
    <row r="2045" spans="1:9">
      <c r="A2045" s="1" t="s">
        <v>2057</v>
      </c>
      <c r="B2045">
        <f>HYPERLINK("https://www.suredividend.com/sure-analysis-NXST/","Nexstar Media Group Inc")</f>
        <v>0</v>
      </c>
      <c r="C2045">
        <v>0.072915926373392</v>
      </c>
      <c r="D2045">
        <v>-0.154398812114327</v>
      </c>
      <c r="E2045">
        <v>-0.084129975042132</v>
      </c>
      <c r="F2045">
        <v>-0.11750298413411</v>
      </c>
      <c r="G2045">
        <v>-0.085491437045077</v>
      </c>
      <c r="H2045">
        <v>-0.19619506418939</v>
      </c>
      <c r="I2045">
        <v>-0.19619506418939</v>
      </c>
    </row>
    <row r="2046" spans="1:9">
      <c r="A2046" s="1" t="s">
        <v>2058</v>
      </c>
      <c r="B2046">
        <f>HYPERLINK("https://www.suredividend.com/sure-analysis-research-database/","Nxt-ID Inc")</f>
        <v>0</v>
      </c>
      <c r="C2046">
        <v>-0.185185185185185</v>
      </c>
      <c r="D2046">
        <v>-0.110294117647058</v>
      </c>
      <c r="E2046">
        <v>-0.6482558139534881</v>
      </c>
      <c r="F2046">
        <v>-0.209150326797385</v>
      </c>
      <c r="G2046">
        <v>-0.8662983425414361</v>
      </c>
      <c r="H2046">
        <v>-0.345769126791024</v>
      </c>
      <c r="I2046">
        <v>-0.8874418604651161</v>
      </c>
    </row>
    <row r="2047" spans="1:9">
      <c r="A2047" s="1" t="s">
        <v>2059</v>
      </c>
      <c r="B2047">
        <f>HYPERLINK("https://www.suredividend.com/sure-analysis-NYCB/","New York Community Bancorp Inc.")</f>
        <v>0</v>
      </c>
      <c r="C2047">
        <v>-0.103354487760652</v>
      </c>
      <c r="D2047">
        <v>-0.255377619165932</v>
      </c>
      <c r="E2047">
        <v>0.006677252554863001</v>
      </c>
      <c r="F2047">
        <v>0.205465426666504</v>
      </c>
      <c r="G2047">
        <v>0.166562474197619</v>
      </c>
      <c r="H2047">
        <v>-0.09434722489308801</v>
      </c>
      <c r="I2047">
        <v>0.388888888888889</v>
      </c>
    </row>
    <row r="2048" spans="1:9">
      <c r="A2048" s="1" t="s">
        <v>2060</v>
      </c>
      <c r="B2048">
        <f>HYPERLINK("https://www.suredividend.com/sure-analysis-NYMT/","New York Mortgage Trust Inc")</f>
        <v>0</v>
      </c>
      <c r="C2048">
        <v>-0.060024009603841</v>
      </c>
      <c r="D2048">
        <v>-0.194933116729557</v>
      </c>
      <c r="E2048">
        <v>-0.102095111406717</v>
      </c>
      <c r="F2048">
        <v>-0.125813618551061</v>
      </c>
      <c r="G2048">
        <v>-0.107621120773167</v>
      </c>
      <c r="H2048">
        <v>-0.389368936581713</v>
      </c>
      <c r="I2048">
        <v>-0.430946895644527</v>
      </c>
    </row>
    <row r="2049" spans="1:9">
      <c r="A2049" s="1" t="s">
        <v>2061</v>
      </c>
      <c r="B2049">
        <f>HYPERLINK("https://www.suredividend.com/sure-analysis-research-database/","New York Times Co.")</f>
        <v>0</v>
      </c>
      <c r="C2049">
        <v>0.011187921125884</v>
      </c>
      <c r="D2049">
        <v>0.029136198005507</v>
      </c>
      <c r="E2049">
        <v>0.061553800607403</v>
      </c>
      <c r="F2049">
        <v>0.296771621167001</v>
      </c>
      <c r="G2049">
        <v>0.345259599879789</v>
      </c>
      <c r="H2049">
        <v>-0.238513684071894</v>
      </c>
      <c r="I2049">
        <v>0.554913122077301</v>
      </c>
    </row>
    <row r="2050" spans="1:9">
      <c r="A2050" s="1" t="s">
        <v>2062</v>
      </c>
      <c r="B2050">
        <f>HYPERLINK("https://www.suredividend.com/sure-analysis-O/","Realty Income Corp.")</f>
        <v>0</v>
      </c>
      <c r="C2050">
        <v>0.02691574282565</v>
      </c>
      <c r="D2050">
        <v>-0.158538821079754</v>
      </c>
      <c r="E2050">
        <v>-0.161897933474496</v>
      </c>
      <c r="F2050">
        <v>-0.175938660715021</v>
      </c>
      <c r="G2050">
        <v>-0.137326038338382</v>
      </c>
      <c r="H2050">
        <v>-0.235652246980726</v>
      </c>
      <c r="I2050">
        <v>0.03532265107164</v>
      </c>
    </row>
    <row r="2051" spans="1:9">
      <c r="A2051" s="1" t="s">
        <v>2063</v>
      </c>
      <c r="B2051">
        <f>HYPERLINK("https://www.suredividend.com/sure-analysis-research-database/","Oasis Petroleum Inc.")</f>
        <v>0</v>
      </c>
      <c r="C2051">
        <v>-0.244544895321431</v>
      </c>
      <c r="D2051">
        <v>-0.159303198493668</v>
      </c>
      <c r="E2051">
        <v>-0.05232912011403201</v>
      </c>
      <c r="F2051">
        <v>0.018601356892566</v>
      </c>
      <c r="G2051">
        <v>0.231337020209473</v>
      </c>
      <c r="H2051">
        <v>3.221674610470371</v>
      </c>
      <c r="I2051">
        <v>3.221674610470371</v>
      </c>
    </row>
    <row r="2052" spans="1:9">
      <c r="A2052" s="1" t="s">
        <v>2064</v>
      </c>
      <c r="B2052">
        <f>HYPERLINK("https://www.suredividend.com/sure-analysis-research-database/","Ocean Bio-Chem, Inc.")</f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</row>
    <row r="2053" spans="1:9">
      <c r="A2053" s="1" t="s">
        <v>2065</v>
      </c>
      <c r="B2053">
        <f>HYPERLINK("https://www.suredividend.com/sure-analysis-research-database/","Origin Bancorp Inc")</f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</row>
    <row r="2054" spans="1:9">
      <c r="A2054" s="1" t="s">
        <v>2066</v>
      </c>
      <c r="B2054">
        <f>HYPERLINK("https://www.suredividend.com/sure-analysis-research-database/","Owens Corning")</f>
        <v>0</v>
      </c>
      <c r="C2054">
        <v>-0.115561242571542</v>
      </c>
      <c r="D2054">
        <v>-0.161306618347815</v>
      </c>
      <c r="E2054">
        <v>0.133306436346879</v>
      </c>
      <c r="F2054">
        <v>0.416834199083492</v>
      </c>
      <c r="G2054">
        <v>0.467943986804107</v>
      </c>
      <c r="H2054">
        <v>0.317503434356008</v>
      </c>
      <c r="I2054">
        <v>1.601963655041167</v>
      </c>
    </row>
    <row r="2055" spans="1:9">
      <c r="A2055" s="1" t="s">
        <v>2067</v>
      </c>
      <c r="B2055">
        <f>HYPERLINK("https://www.suredividend.com/sure-analysis-research-database/","Optical Cable Corp.")</f>
        <v>0</v>
      </c>
      <c r="C2055">
        <v>-0.10167213114754</v>
      </c>
      <c r="D2055">
        <v>-0.306354430379746</v>
      </c>
      <c r="E2055">
        <v>-0.350734597156398</v>
      </c>
      <c r="F2055">
        <v>-0.380113122171945</v>
      </c>
      <c r="G2055">
        <v>-0.234664804469273</v>
      </c>
      <c r="H2055">
        <v>-0.336585956416464</v>
      </c>
      <c r="I2055">
        <v>-0.440836734693877</v>
      </c>
    </row>
    <row r="2056" spans="1:9">
      <c r="A2056" s="1" t="s">
        <v>2068</v>
      </c>
      <c r="B2056">
        <f>HYPERLINK("https://www.suredividend.com/sure-analysis-research-database/","OceanFirst Financial Corp.")</f>
        <v>0</v>
      </c>
      <c r="C2056">
        <v>-0.04971988795518201</v>
      </c>
      <c r="D2056">
        <v>-0.240762706174607</v>
      </c>
      <c r="E2056">
        <v>-0.014510014669784</v>
      </c>
      <c r="F2056">
        <v>-0.332326328582042</v>
      </c>
      <c r="G2056">
        <v>-0.359180204004533</v>
      </c>
      <c r="H2056">
        <v>-0.358000861045271</v>
      </c>
      <c r="I2056">
        <v>-0.363248605200058</v>
      </c>
    </row>
    <row r="2057" spans="1:9">
      <c r="A2057" s="1" t="s">
        <v>2069</v>
      </c>
      <c r="B2057">
        <f>HYPERLINK("https://www.suredividend.com/sure-analysis-research-database/","Ocwen Financial Corp.")</f>
        <v>0</v>
      </c>
      <c r="C2057">
        <v>0.045337895637296</v>
      </c>
      <c r="D2057">
        <v>-0.29159420289855</v>
      </c>
      <c r="E2057">
        <v>-0.141552511415525</v>
      </c>
      <c r="F2057">
        <v>-0.200784826684107</v>
      </c>
      <c r="G2057">
        <v>-0.180140892318014</v>
      </c>
      <c r="H2057">
        <v>-0.220414673046251</v>
      </c>
      <c r="I2057">
        <v>5.431578947368422</v>
      </c>
    </row>
    <row r="2058" spans="1:9">
      <c r="A2058" s="1" t="s">
        <v>2070</v>
      </c>
      <c r="B2058">
        <f>HYPERLINK("https://www.suredividend.com/sure-analysis-research-database/","Ocular Therapeutix Inc")</f>
        <v>0</v>
      </c>
      <c r="C2058">
        <v>0.108474576271186</v>
      </c>
      <c r="D2058">
        <v>-0.23953488372093</v>
      </c>
      <c r="E2058">
        <v>-0.4522613065326631</v>
      </c>
      <c r="F2058">
        <v>0.163701067615658</v>
      </c>
      <c r="G2058">
        <v>-0.078873239436619</v>
      </c>
      <c r="H2058">
        <v>-0.5368271954674221</v>
      </c>
      <c r="I2058">
        <v>-0.375954198473282</v>
      </c>
    </row>
    <row r="2059" spans="1:9">
      <c r="A2059" s="1" t="s">
        <v>2071</v>
      </c>
      <c r="B2059">
        <f>HYPERLINK("https://www.suredividend.com/sure-analysis-research-database/","Oncocyte Corporation")</f>
        <v>0</v>
      </c>
      <c r="C2059">
        <v>-0.244372990353697</v>
      </c>
      <c r="D2059">
        <v>-0.421182266009852</v>
      </c>
      <c r="E2059">
        <v>-0.561403508771929</v>
      </c>
      <c r="F2059">
        <v>-0.6338423184792771</v>
      </c>
      <c r="G2059">
        <v>-0.830691642651296</v>
      </c>
      <c r="H2059">
        <v>-0.966332378223495</v>
      </c>
      <c r="I2059">
        <v>-0.9437799043062201</v>
      </c>
    </row>
    <row r="2060" spans="1:9">
      <c r="A2060" s="1" t="s">
        <v>2072</v>
      </c>
      <c r="B2060">
        <f>HYPERLINK("https://www.suredividend.com/sure-analysis-ODC/","Oil-Dri Corp. Of America")</f>
        <v>0</v>
      </c>
      <c r="C2060">
        <v>-0.059066160699554</v>
      </c>
      <c r="D2060">
        <v>-0.099362304925002</v>
      </c>
      <c r="E2060">
        <v>0.354567478979621</v>
      </c>
      <c r="F2060">
        <v>0.7328026251823041</v>
      </c>
      <c r="G2060">
        <v>1.000975400949437</v>
      </c>
      <c r="H2060">
        <v>0.7540082610313681</v>
      </c>
      <c r="I2060">
        <v>1.169414414071712</v>
      </c>
    </row>
    <row r="2061" spans="1:9">
      <c r="A2061" s="1" t="s">
        <v>2073</v>
      </c>
      <c r="B2061">
        <f>HYPERLINK("https://www.suredividend.com/sure-analysis-ODFL/","Old Dominion Freight Line, Inc.")</f>
        <v>0</v>
      </c>
      <c r="C2061">
        <v>-0.035615962697487</v>
      </c>
      <c r="D2061">
        <v>-0.04658990934475701</v>
      </c>
      <c r="E2061">
        <v>0.235991272438758</v>
      </c>
      <c r="F2061">
        <v>0.376059126340651</v>
      </c>
      <c r="G2061">
        <v>0.501220226455189</v>
      </c>
      <c r="H2061">
        <v>0.131051992089064</v>
      </c>
      <c r="I2061">
        <v>3.455590199832928</v>
      </c>
    </row>
    <row r="2062" spans="1:9">
      <c r="A2062" s="1" t="s">
        <v>2074</v>
      </c>
      <c r="B2062">
        <f>HYPERLINK("https://www.suredividend.com/sure-analysis-research-database/","ODP Corporation (The)")</f>
        <v>0</v>
      </c>
      <c r="C2062">
        <v>-0.005515485787017001</v>
      </c>
      <c r="D2062">
        <v>-0.041896586960964</v>
      </c>
      <c r="E2062">
        <v>0.08846064546087701</v>
      </c>
      <c r="F2062">
        <v>0.029424681598594</v>
      </c>
      <c r="G2062">
        <v>0.138969873663751</v>
      </c>
      <c r="H2062">
        <v>0.05656975433851701</v>
      </c>
      <c r="I2062">
        <v>0.869956641577018</v>
      </c>
    </row>
    <row r="2063" spans="1:9">
      <c r="A2063" s="1" t="s">
        <v>2075</v>
      </c>
      <c r="B2063">
        <f>HYPERLINK("https://www.suredividend.com/sure-analysis-research-database/","Odonate Therapeutics Inc")</f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</row>
    <row r="2064" spans="1:9">
      <c r="A2064" s="1" t="s">
        <v>2076</v>
      </c>
      <c r="B2064">
        <f>HYPERLINK("https://www.suredividend.com/sure-analysis-research-database/","Orion Energy Systems Inc")</f>
        <v>0</v>
      </c>
      <c r="C2064">
        <v>-0.188976377952755</v>
      </c>
      <c r="D2064">
        <v>-0.379518072289156</v>
      </c>
      <c r="E2064">
        <v>-0.308724832214765</v>
      </c>
      <c r="F2064">
        <v>-0.434065934065934</v>
      </c>
      <c r="G2064">
        <v>-0.416430594900849</v>
      </c>
      <c r="H2064">
        <v>-0.762124711316397</v>
      </c>
      <c r="I2064">
        <v>0.170454545454545</v>
      </c>
    </row>
    <row r="2065" spans="1:9">
      <c r="A2065" s="1" t="s">
        <v>2077</v>
      </c>
      <c r="B2065">
        <f>HYPERLINK("https://www.suredividend.com/sure-analysis-research-database/","Oconee Federal Financial Corp")</f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</row>
    <row r="2066" spans="1:9">
      <c r="A2066" s="1" t="s">
        <v>2078</v>
      </c>
      <c r="B2066">
        <f>HYPERLINK("https://www.suredividend.com/sure-analysis-research-database/","OFG Bancorp")</f>
        <v>0</v>
      </c>
      <c r="C2066">
        <v>0.043071786310517</v>
      </c>
      <c r="D2066">
        <v>-0.06491422892839301</v>
      </c>
      <c r="E2066">
        <v>0.308010517677401</v>
      </c>
      <c r="F2066">
        <v>0.161990559756592</v>
      </c>
      <c r="G2066">
        <v>0.170164549707646</v>
      </c>
      <c r="H2066">
        <v>0.260094063359659</v>
      </c>
      <c r="I2066">
        <v>1.00039700580781</v>
      </c>
    </row>
    <row r="2067" spans="1:9">
      <c r="A2067" s="1" t="s">
        <v>2079</v>
      </c>
      <c r="B2067">
        <f>HYPERLINK("https://www.suredividend.com/sure-analysis-research-database/","Orthofix Medical Inc")</f>
        <v>0</v>
      </c>
      <c r="C2067">
        <v>-0.08097484276729501</v>
      </c>
      <c r="D2067">
        <v>-0.399280575539568</v>
      </c>
      <c r="E2067">
        <v>-0.3704900376952071</v>
      </c>
      <c r="F2067">
        <v>-0.4305893813930831</v>
      </c>
      <c r="G2067">
        <v>-0.237940026075619</v>
      </c>
      <c r="H2067">
        <v>-0.686427038626609</v>
      </c>
      <c r="I2067">
        <v>-0.8097949886104781</v>
      </c>
    </row>
    <row r="2068" spans="1:9">
      <c r="A2068" s="1" t="s">
        <v>2080</v>
      </c>
      <c r="B2068">
        <f>HYPERLINK("https://www.suredividend.com/sure-analysis-research-database/","Omega Flex Inc")</f>
        <v>0</v>
      </c>
      <c r="C2068">
        <v>-0.06974085365853601</v>
      </c>
      <c r="D2068">
        <v>-0.163856877143023</v>
      </c>
      <c r="E2068">
        <v>-0.359028783747707</v>
      </c>
      <c r="F2068">
        <v>-0.199128588911162</v>
      </c>
      <c r="G2068">
        <v>-0.186353222476783</v>
      </c>
      <c r="H2068">
        <v>-0.483024086714714</v>
      </c>
      <c r="I2068">
        <v>0.328804185107159</v>
      </c>
    </row>
    <row r="2069" spans="1:9">
      <c r="A2069" s="1" t="s">
        <v>2081</v>
      </c>
      <c r="B2069">
        <f>HYPERLINK("https://www.suredividend.com/sure-analysis-OGE/","Oge Energy Corp.")</f>
        <v>0</v>
      </c>
      <c r="C2069">
        <v>0.126834713993936</v>
      </c>
      <c r="D2069">
        <v>-0.00521889104165</v>
      </c>
      <c r="E2069">
        <v>-0.011215317396265</v>
      </c>
      <c r="F2069">
        <v>-0.05952046926037401</v>
      </c>
      <c r="G2069">
        <v>0.021305707584049</v>
      </c>
      <c r="H2069">
        <v>0.12623107231272</v>
      </c>
      <c r="I2069">
        <v>0.238350167646054</v>
      </c>
    </row>
    <row r="2070" spans="1:9">
      <c r="A2070" s="1" t="s">
        <v>2082</v>
      </c>
      <c r="B2070">
        <f>HYPERLINK("https://www.suredividend.com/sure-analysis-research-database/","Oragenics Inc")</f>
        <v>0</v>
      </c>
      <c r="C2070">
        <v>0.26797385620915</v>
      </c>
      <c r="D2070">
        <v>0.06593406593406501</v>
      </c>
      <c r="E2070">
        <v>0.385714285714285</v>
      </c>
      <c r="F2070">
        <v>-0.384712971772914</v>
      </c>
      <c r="G2070">
        <v>-0.6782752902155881</v>
      </c>
      <c r="H2070">
        <v>-0.9065915547209781</v>
      </c>
      <c r="I2070">
        <v>-0.939563862928348</v>
      </c>
    </row>
    <row r="2071" spans="1:9">
      <c r="A2071" s="1" t="s">
        <v>2083</v>
      </c>
      <c r="B2071">
        <f>HYPERLINK("https://www.suredividend.com/sure-analysis-OGS/","ONE Gas Inc")</f>
        <v>0</v>
      </c>
      <c r="C2071">
        <v>-0.050411209259823</v>
      </c>
      <c r="D2071">
        <v>-0.207240242443352</v>
      </c>
      <c r="E2071">
        <v>-0.190280771928001</v>
      </c>
      <c r="F2071">
        <v>-0.155722199428301</v>
      </c>
      <c r="G2071">
        <v>-0.188363462166802</v>
      </c>
      <c r="H2071">
        <v>-0.031417191218596</v>
      </c>
      <c r="I2071">
        <v>-0.076512460786956</v>
      </c>
    </row>
    <row r="2072" spans="1:9">
      <c r="A2072" s="1" t="s">
        <v>2084</v>
      </c>
      <c r="B2072">
        <f>HYPERLINK("https://www.suredividend.com/sure-analysis-OHI/","Omega Healthcare Investors, Inc.")</f>
        <v>0</v>
      </c>
      <c r="C2072">
        <v>0.05549071086814301</v>
      </c>
      <c r="D2072">
        <v>0.08236638085947501</v>
      </c>
      <c r="E2072">
        <v>0.324890901734966</v>
      </c>
      <c r="F2072">
        <v>0.319340681691947</v>
      </c>
      <c r="G2072">
        <v>0.182666381489675</v>
      </c>
      <c r="H2072">
        <v>0.383732426434088</v>
      </c>
      <c r="I2072">
        <v>0.549899598854921</v>
      </c>
    </row>
    <row r="2073" spans="1:9">
      <c r="A2073" s="1" t="s">
        <v>2085</v>
      </c>
      <c r="B2073">
        <f>HYPERLINK("https://www.suredividend.com/sure-analysis-research-database/","O-I Glass Inc")</f>
        <v>0</v>
      </c>
      <c r="C2073">
        <v>-0.125376732971669</v>
      </c>
      <c r="D2073">
        <v>-0.2745</v>
      </c>
      <c r="E2073">
        <v>-0.343735866123925</v>
      </c>
      <c r="F2073">
        <v>-0.124321062160531</v>
      </c>
      <c r="G2073">
        <v>-0.022237196765498</v>
      </c>
      <c r="H2073">
        <v>0.154335719968178</v>
      </c>
      <c r="I2073">
        <v>-0.159770920314318</v>
      </c>
    </row>
    <row r="2074" spans="1:9">
      <c r="A2074" s="1" t="s">
        <v>2086</v>
      </c>
      <c r="B2074">
        <f>HYPERLINK("https://www.suredividend.com/sure-analysis-research-database/","Oceaneering International, Inc.")</f>
        <v>0</v>
      </c>
      <c r="C2074">
        <v>-0.06818181818181801</v>
      </c>
      <c r="D2074">
        <v>0.067906976744186</v>
      </c>
      <c r="E2074">
        <v>0.405140758873929</v>
      </c>
      <c r="F2074">
        <v>0.312750142938822</v>
      </c>
      <c r="G2074">
        <v>0.7661538461538461</v>
      </c>
      <c r="H2074">
        <v>0.673469387755102</v>
      </c>
      <c r="I2074">
        <v>0.210970464135021</v>
      </c>
    </row>
    <row r="2075" spans="1:9">
      <c r="A2075" s="1" t="s">
        <v>2087</v>
      </c>
      <c r="B2075">
        <f>HYPERLINK("https://www.suredividend.com/sure-analysis-research-database/","Oil States International, Inc.")</f>
        <v>0</v>
      </c>
      <c r="C2075">
        <v>-0.04920049200492</v>
      </c>
      <c r="D2075">
        <v>-0.003865979381443</v>
      </c>
      <c r="E2075">
        <v>0.131771595900439</v>
      </c>
      <c r="F2075">
        <v>0.036193029490616</v>
      </c>
      <c r="G2075">
        <v>0.178353658536585</v>
      </c>
      <c r="H2075">
        <v>0.258957654723127</v>
      </c>
      <c r="I2075">
        <v>-0.657661647475642</v>
      </c>
    </row>
    <row r="2076" spans="1:9">
      <c r="A2076" s="1" t="s">
        <v>2088</v>
      </c>
      <c r="B2076">
        <f>HYPERLINK("https://www.suredividend.com/sure-analysis-OKE/","Oneok Inc.")</f>
        <v>0</v>
      </c>
      <c r="C2076">
        <v>0.093524660498739</v>
      </c>
      <c r="D2076">
        <v>0.032272253482079</v>
      </c>
      <c r="E2076">
        <v>0.09354798485276</v>
      </c>
      <c r="F2076">
        <v>0.074535523354421</v>
      </c>
      <c r="G2076">
        <v>0.195344165859607</v>
      </c>
      <c r="H2076">
        <v>0.17132237287242</v>
      </c>
      <c r="I2076">
        <v>0.516282117198483</v>
      </c>
    </row>
    <row r="2077" spans="1:9">
      <c r="A2077" s="1" t="s">
        <v>2089</v>
      </c>
      <c r="B2077">
        <f>HYPERLINK("https://www.suredividend.com/sure-analysis-research-database/","Okta Inc")</f>
        <v>0</v>
      </c>
      <c r="C2077">
        <v>-0.157705649157581</v>
      </c>
      <c r="D2077">
        <v>-0.06013270666298001</v>
      </c>
      <c r="E2077">
        <v>-0.032583949914627</v>
      </c>
      <c r="F2077">
        <v>-0.004975852480608001</v>
      </c>
      <c r="G2077">
        <v>0.334969566071077</v>
      </c>
      <c r="H2077">
        <v>-0.7320063066614111</v>
      </c>
      <c r="I2077">
        <v>0.176908429980958</v>
      </c>
    </row>
    <row r="2078" spans="1:9">
      <c r="A2078" s="1" t="s">
        <v>2090</v>
      </c>
      <c r="B2078">
        <f>HYPERLINK("https://www.suredividend.com/sure-analysis-research-database/","Universal Display Corp.")</f>
        <v>0</v>
      </c>
      <c r="C2078">
        <v>-0.09029157321371301</v>
      </c>
      <c r="D2078">
        <v>0.016068425008052</v>
      </c>
      <c r="E2078">
        <v>0.09378792256573201</v>
      </c>
      <c r="F2078">
        <v>0.32940517640184</v>
      </c>
      <c r="G2078">
        <v>0.527852966215249</v>
      </c>
      <c r="H2078">
        <v>-0.206130400183871</v>
      </c>
      <c r="I2078">
        <v>0.4227784871402711</v>
      </c>
    </row>
    <row r="2079" spans="1:9">
      <c r="A2079" s="1" t="s">
        <v>2091</v>
      </c>
      <c r="B2079">
        <f>HYPERLINK("https://www.suredividend.com/sure-analysis-research-database/","Ollies Bargain Outlet Holdings Inc")</f>
        <v>0</v>
      </c>
      <c r="C2079">
        <v>0.008219881839198001</v>
      </c>
      <c r="D2079">
        <v>0.096675048896339</v>
      </c>
      <c r="E2079">
        <v>0.180451127819548</v>
      </c>
      <c r="F2079">
        <v>0.675918018787361</v>
      </c>
      <c r="G2079">
        <v>0.458565589000371</v>
      </c>
      <c r="H2079">
        <v>0.103923498804668</v>
      </c>
      <c r="I2079">
        <v>-0.153456270893993</v>
      </c>
    </row>
    <row r="2080" spans="1:9">
      <c r="A2080" s="1" t="s">
        <v>2092</v>
      </c>
      <c r="B2080">
        <f>HYPERLINK("https://www.suredividend.com/sure-analysis-OLN/","Olin Corp.")</f>
        <v>0</v>
      </c>
      <c r="C2080">
        <v>-0.103335379578473</v>
      </c>
      <c r="D2080">
        <v>-0.244256035431319</v>
      </c>
      <c r="E2080">
        <v>-0.188028328212958</v>
      </c>
      <c r="F2080">
        <v>-0.16356646707044</v>
      </c>
      <c r="G2080">
        <v>-0.162244008381383</v>
      </c>
      <c r="H2080">
        <v>-0.234837756618339</v>
      </c>
      <c r="I2080">
        <v>1.377322663773226</v>
      </c>
    </row>
    <row r="2081" spans="1:9">
      <c r="A2081" s="1" t="s">
        <v>2093</v>
      </c>
      <c r="B2081">
        <f>HYPERLINK("https://www.suredividend.com/sure-analysis-OLP/","One Liberty Properties, Inc.")</f>
        <v>0</v>
      </c>
      <c r="C2081">
        <v>0.048565121412803</v>
      </c>
      <c r="D2081">
        <v>-0.028734133860884</v>
      </c>
      <c r="E2081">
        <v>-0.09348550053913701</v>
      </c>
      <c r="F2081">
        <v>-0.08578247396885801</v>
      </c>
      <c r="G2081">
        <v>-0.09934678940831801</v>
      </c>
      <c r="H2081">
        <v>-0.303069428957098</v>
      </c>
      <c r="I2081">
        <v>0.09051254089422001</v>
      </c>
    </row>
    <row r="2082" spans="1:9">
      <c r="A2082" s="1" t="s">
        <v>2094</v>
      </c>
      <c r="B2082">
        <f>HYPERLINK("https://www.suredividend.com/sure-analysis-OMC/","Omnicom Group, Inc.")</f>
        <v>0</v>
      </c>
      <c r="C2082">
        <v>0.04416575790621501</v>
      </c>
      <c r="D2082">
        <v>-0.06489802993791201</v>
      </c>
      <c r="E2082">
        <v>-0.144552721684806</v>
      </c>
      <c r="F2082">
        <v>-0.037758555281147</v>
      </c>
      <c r="G2082">
        <v>0.105782694933898</v>
      </c>
      <c r="H2082">
        <v>0.213707607379849</v>
      </c>
      <c r="I2082">
        <v>0.234011019106227</v>
      </c>
    </row>
    <row r="2083" spans="1:9">
      <c r="A2083" s="1" t="s">
        <v>2095</v>
      </c>
      <c r="B2083">
        <f>HYPERLINK("https://www.suredividend.com/sure-analysis-research-database/","Omnicell, Inc.")</f>
        <v>0</v>
      </c>
      <c r="C2083">
        <v>-0.352524357838795</v>
      </c>
      <c r="D2083">
        <v>-0.5472282440384021</v>
      </c>
      <c r="E2083">
        <v>-0.499828942866917</v>
      </c>
      <c r="F2083">
        <v>-0.420071400238</v>
      </c>
      <c r="G2083">
        <v>-0.4152</v>
      </c>
      <c r="H2083">
        <v>-0.8332382799133111</v>
      </c>
      <c r="I2083">
        <v>-0.5777007510109761</v>
      </c>
    </row>
    <row r="2084" spans="1:9">
      <c r="A2084" s="1" t="s">
        <v>2096</v>
      </c>
      <c r="B2084">
        <f>HYPERLINK("https://www.suredividend.com/sure-analysis-research-database/","OptMed Inc")</f>
        <v>0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</row>
    <row r="2085" spans="1:9">
      <c r="A2085" s="1" t="s">
        <v>2097</v>
      </c>
      <c r="B2085">
        <f>HYPERLINK("https://www.suredividend.com/sure-analysis-research-database/","Omeros Corporation")</f>
        <v>0</v>
      </c>
      <c r="C2085">
        <v>-0.5595667870036101</v>
      </c>
      <c r="D2085">
        <v>-0.691139240506329</v>
      </c>
      <c r="E2085">
        <v>-0.754032258064516</v>
      </c>
      <c r="F2085">
        <v>-0.460176991150442</v>
      </c>
      <c r="G2085">
        <v>-0.641176470588235</v>
      </c>
      <c r="H2085">
        <v>-0.8244604316546761</v>
      </c>
      <c r="I2085">
        <v>-0.925382262996942</v>
      </c>
    </row>
    <row r="2086" spans="1:9">
      <c r="A2086" s="1" t="s">
        <v>2098</v>
      </c>
      <c r="B2086">
        <f>HYPERLINK("https://www.suredividend.com/sure-analysis-research-database/","Odyssey Marine Exploration, Inc.")</f>
        <v>0</v>
      </c>
      <c r="C2086">
        <v>-0.02680965147453</v>
      </c>
      <c r="D2086">
        <v>-0.04221635883905001</v>
      </c>
      <c r="E2086">
        <v>0.21</v>
      </c>
      <c r="F2086">
        <v>-0.064432989690721</v>
      </c>
      <c r="G2086">
        <v>0.247422680412371</v>
      </c>
      <c r="H2086">
        <v>-0.437209302325581</v>
      </c>
      <c r="I2086">
        <v>-0.4310344827586201</v>
      </c>
    </row>
    <row r="2087" spans="1:9">
      <c r="A2087" s="1" t="s">
        <v>2099</v>
      </c>
      <c r="B2087">
        <f>HYPERLINK("https://www.suredividend.com/sure-analysis-OMF/","OneMain Holdings Inc")</f>
        <v>0</v>
      </c>
      <c r="C2087">
        <v>-0.025739041794087</v>
      </c>
      <c r="D2087">
        <v>-0.135302632769384</v>
      </c>
      <c r="E2087">
        <v>0.08653947267451201</v>
      </c>
      <c r="F2087">
        <v>0.233683463220226</v>
      </c>
      <c r="G2087">
        <v>0.09745945170087501</v>
      </c>
      <c r="H2087">
        <v>-0.143942209941287</v>
      </c>
      <c r="I2087">
        <v>0.9260513177052631</v>
      </c>
    </row>
    <row r="2088" spans="1:9">
      <c r="A2088" s="1" t="s">
        <v>2100</v>
      </c>
      <c r="B2088">
        <f>HYPERLINK("https://www.suredividend.com/sure-analysis-research-database/","Owens &amp; Minor, Inc.")</f>
        <v>0</v>
      </c>
      <c r="C2088">
        <v>-0.07070101857399601</v>
      </c>
      <c r="D2088">
        <v>-0.189655172413793</v>
      </c>
      <c r="E2088">
        <v>0.081589958158995</v>
      </c>
      <c r="F2088">
        <v>-0.205837173579109</v>
      </c>
      <c r="G2088">
        <v>-0.157523085279739</v>
      </c>
      <c r="H2088">
        <v>-0.580784751484551</v>
      </c>
      <c r="I2088">
        <v>0.672778257118205</v>
      </c>
    </row>
    <row r="2089" spans="1:9">
      <c r="A2089" s="1" t="s">
        <v>2101</v>
      </c>
      <c r="B2089">
        <f>HYPERLINK("https://www.suredividend.com/sure-analysis-research-database/","ON Semiconductor Corp.")</f>
        <v>0</v>
      </c>
      <c r="C2089">
        <v>-0.286387490628681</v>
      </c>
      <c r="D2089">
        <v>-0.356666988510186</v>
      </c>
      <c r="E2089">
        <v>-0.158393330807124</v>
      </c>
      <c r="F2089">
        <v>0.068302068302068</v>
      </c>
      <c r="G2089">
        <v>0.108467809016802</v>
      </c>
      <c r="H2089">
        <v>0.166083304165208</v>
      </c>
      <c r="I2089">
        <v>2.679182771949199</v>
      </c>
    </row>
    <row r="2090" spans="1:9">
      <c r="A2090" s="1" t="s">
        <v>2102</v>
      </c>
      <c r="B2090">
        <f>HYPERLINK("https://www.suredividend.com/sure-analysis-research-database/","Old National Bancorp")</f>
        <v>0</v>
      </c>
      <c r="C2090">
        <v>-0.010518934081346</v>
      </c>
      <c r="D2090">
        <v>-0.150348050196305</v>
      </c>
      <c r="E2090">
        <v>0.160648186230155</v>
      </c>
      <c r="F2090">
        <v>-0.184072352138412</v>
      </c>
      <c r="G2090">
        <v>-0.232171523413054</v>
      </c>
      <c r="H2090">
        <v>-0.126699717152211</v>
      </c>
      <c r="I2090">
        <v>-0.079552496819857</v>
      </c>
    </row>
    <row r="2091" spans="1:9">
      <c r="A2091" s="1" t="s">
        <v>2103</v>
      </c>
      <c r="B2091">
        <f>HYPERLINK("https://www.suredividend.com/sure-analysis-research-database/","OncoSec Medical Inc")</f>
        <v>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</row>
    <row r="2092" spans="1:9">
      <c r="A2092" s="1" t="s">
        <v>2104</v>
      </c>
      <c r="B2092">
        <f>HYPERLINK("https://www.suredividend.com/sure-analysis-research-database/","Oncternal Therapeutics Inc")</f>
        <v>0</v>
      </c>
      <c r="C2092">
        <v>0.07402597402597301</v>
      </c>
      <c r="D2092">
        <v>-0.130160399684459</v>
      </c>
      <c r="E2092">
        <v>-0.030480656506447</v>
      </c>
      <c r="F2092">
        <v>-0.6692</v>
      </c>
      <c r="G2092">
        <v>-0.675686274509804</v>
      </c>
      <c r="H2092">
        <v>-0.9134031413612561</v>
      </c>
      <c r="I2092">
        <v>-0.8030952380952381</v>
      </c>
    </row>
    <row r="2093" spans="1:9">
      <c r="A2093" s="1" t="s">
        <v>2105</v>
      </c>
      <c r="B2093">
        <f>HYPERLINK("https://www.suredividend.com/sure-analysis-research-database/","Onconova Therapeutics Inc")</f>
        <v>0</v>
      </c>
      <c r="C2093">
        <v>-0.122192151556156</v>
      </c>
      <c r="D2093">
        <v>-0.370194174757281</v>
      </c>
      <c r="E2093">
        <v>-0.393738317757009</v>
      </c>
      <c r="F2093">
        <v>0.004646120489391</v>
      </c>
      <c r="G2093">
        <v>-0.07566258193217401</v>
      </c>
      <c r="H2093">
        <v>-0.821785714285714</v>
      </c>
      <c r="I2093">
        <v>-0.9922773809523801</v>
      </c>
    </row>
    <row r="2094" spans="1:9">
      <c r="A2094" s="1" t="s">
        <v>2106</v>
      </c>
      <c r="B2094">
        <f>HYPERLINK("https://www.suredividend.com/sure-analysis-research-database/","Organovo Holdings Inc")</f>
        <v>0</v>
      </c>
      <c r="C2094">
        <v>0.15126050420168</v>
      </c>
      <c r="D2094">
        <v>-0.169696969696969</v>
      </c>
      <c r="E2094">
        <v>-0.301020408163265</v>
      </c>
      <c r="F2094">
        <v>-0.02836879432624</v>
      </c>
      <c r="G2094">
        <v>-0.127388535031847</v>
      </c>
      <c r="H2094">
        <v>-0.781150159744408</v>
      </c>
      <c r="I2094">
        <v>-0.9365740740740741</v>
      </c>
    </row>
    <row r="2095" spans="1:9">
      <c r="A2095" s="1" t="s">
        <v>2107</v>
      </c>
      <c r="B2095">
        <f>HYPERLINK("https://www.suredividend.com/sure-analysis-research-database/","Ooma Inc")</f>
        <v>0</v>
      </c>
      <c r="C2095">
        <v>-0.173228346456692</v>
      </c>
      <c r="D2095">
        <v>-0.294354838709677</v>
      </c>
      <c r="E2095">
        <v>-0.152542372881355</v>
      </c>
      <c r="F2095">
        <v>-0.229074889867841</v>
      </c>
      <c r="G2095">
        <v>-0.336702463676563</v>
      </c>
      <c r="H2095">
        <v>-0.5329181494661921</v>
      </c>
      <c r="I2095">
        <v>-0.291497975708502</v>
      </c>
    </row>
    <row r="2096" spans="1:9">
      <c r="A2096" s="1" t="s">
        <v>2108</v>
      </c>
      <c r="B2096">
        <f>HYPERLINK("https://www.suredividend.com/sure-analysis-research-database/","Opgen Inc")</f>
        <v>0</v>
      </c>
      <c r="C2096">
        <v>0.55</v>
      </c>
      <c r="D2096">
        <v>0.103763987792472</v>
      </c>
      <c r="E2096">
        <v>-0.045454545454545</v>
      </c>
      <c r="F2096">
        <v>-0.7691489361702121</v>
      </c>
      <c r="G2096">
        <v>-0.815945716709075</v>
      </c>
      <c r="H2096">
        <v>-0.9819166666666661</v>
      </c>
      <c r="I2096">
        <v>-0.998785447761194</v>
      </c>
    </row>
    <row r="2097" spans="1:9">
      <c r="A2097" s="1" t="s">
        <v>2109</v>
      </c>
      <c r="B2097">
        <f>HYPERLINK("https://www.suredividend.com/sure-analysis-OPI/","Office Properties Income Trust")</f>
        <v>0</v>
      </c>
      <c r="C2097">
        <v>0.412952060555088</v>
      </c>
      <c r="D2097">
        <v>-0.235042345870139</v>
      </c>
      <c r="E2097">
        <v>0.003864079990439</v>
      </c>
      <c r="F2097">
        <v>-0.502340186029978</v>
      </c>
      <c r="G2097">
        <v>-0.5631976703875751</v>
      </c>
      <c r="H2097">
        <v>-0.713821729107282</v>
      </c>
      <c r="I2097">
        <v>-0.8590604026845631</v>
      </c>
    </row>
    <row r="2098" spans="1:9">
      <c r="A2098" s="1" t="s">
        <v>2110</v>
      </c>
      <c r="B2098">
        <f>HYPERLINK("https://www.suredividend.com/sure-analysis-research-database/","Opko Health Inc")</f>
        <v>0</v>
      </c>
      <c r="C2098">
        <v>-0.163398692810457</v>
      </c>
      <c r="D2098">
        <v>-0.272727272727272</v>
      </c>
      <c r="E2098">
        <v>-0.129251700680272</v>
      </c>
      <c r="F2098">
        <v>0.024</v>
      </c>
      <c r="G2098">
        <v>-0.319148936170212</v>
      </c>
      <c r="H2098">
        <v>-0.6923076923076921</v>
      </c>
      <c r="I2098">
        <v>-0.660477453580901</v>
      </c>
    </row>
    <row r="2099" spans="1:9">
      <c r="A2099" s="1" t="s">
        <v>2111</v>
      </c>
      <c r="B2099">
        <f>HYPERLINK("https://www.suredividend.com/sure-analysis-research-database/","Old Point Financial Corp.")</f>
        <v>0</v>
      </c>
      <c r="C2099">
        <v>-0.141364136413641</v>
      </c>
      <c r="D2099">
        <v>-0.208433906005963</v>
      </c>
      <c r="E2099">
        <v>-0.239186060679907</v>
      </c>
      <c r="F2099">
        <v>-0.4052177756440291</v>
      </c>
      <c r="G2099">
        <v>-0.398170995003392</v>
      </c>
      <c r="H2099">
        <v>-0.252924172521392</v>
      </c>
      <c r="I2099">
        <v>-0.346219085711892</v>
      </c>
    </row>
    <row r="2100" spans="1:9">
      <c r="A2100" s="1" t="s">
        <v>2112</v>
      </c>
      <c r="B2100">
        <f>HYPERLINK("https://www.suredividend.com/sure-analysis-research-database/","OptimizeRx Corp")</f>
        <v>0</v>
      </c>
      <c r="C2100">
        <v>0.103585657370518</v>
      </c>
      <c r="D2100">
        <v>-0.4112646121147711</v>
      </c>
      <c r="E2100">
        <v>-0.436610169491525</v>
      </c>
      <c r="F2100">
        <v>-0.5053571428571421</v>
      </c>
      <c r="G2100">
        <v>-0.437753721244925</v>
      </c>
      <c r="H2100">
        <v>-0.913778792280556</v>
      </c>
      <c r="I2100">
        <v>-0.513466042154566</v>
      </c>
    </row>
    <row r="2101" spans="1:9">
      <c r="A2101" s="1" t="s">
        <v>2113</v>
      </c>
      <c r="B2101">
        <f>HYPERLINK("https://www.suredividend.com/sure-analysis-research-database/","OptiNose Inc")</f>
        <v>0</v>
      </c>
      <c r="C2101">
        <v>0.042016806722689</v>
      </c>
      <c r="D2101">
        <v>0.004048582995951001</v>
      </c>
      <c r="E2101">
        <v>-0.283236994219653</v>
      </c>
      <c r="F2101">
        <v>-0.329729729729729</v>
      </c>
      <c r="G2101">
        <v>-0.638483965014577</v>
      </c>
      <c r="H2101">
        <v>-0.5587188612099641</v>
      </c>
      <c r="I2101">
        <v>-0.887985546522131</v>
      </c>
    </row>
    <row r="2102" spans="1:9">
      <c r="A2102" s="1" t="s">
        <v>2114</v>
      </c>
      <c r="B2102">
        <f>HYPERLINK("https://www.suredividend.com/sure-analysis-research-database/","Ocean Power Technologies")</f>
        <v>0</v>
      </c>
      <c r="C2102">
        <v>-0.289340101522842</v>
      </c>
      <c r="D2102">
        <v>-0.504337050805452</v>
      </c>
      <c r="E2102">
        <v>-0.436959581741403</v>
      </c>
      <c r="F2102">
        <v>-0.377916018662519</v>
      </c>
      <c r="G2102">
        <v>-0.6365524402907581</v>
      </c>
      <c r="H2102">
        <v>-0.874439461883408</v>
      </c>
      <c r="I2102">
        <v>-0.973584905660377</v>
      </c>
    </row>
    <row r="2103" spans="1:9">
      <c r="A2103" s="1" t="s">
        <v>2115</v>
      </c>
      <c r="B2103">
        <f>HYPERLINK("https://www.suredividend.com/sure-analysis-research-database/","Oppenheimer Holdings Inc")</f>
        <v>0</v>
      </c>
      <c r="C2103">
        <v>-0.019697787371829</v>
      </c>
      <c r="D2103">
        <v>-0.04894541056605101</v>
      </c>
      <c r="E2103">
        <v>-0.007040636718451</v>
      </c>
      <c r="F2103">
        <v>-0.132092509908192</v>
      </c>
      <c r="G2103">
        <v>0.040208213435951</v>
      </c>
      <c r="H2103">
        <v>-0.266213292991559</v>
      </c>
      <c r="I2103">
        <v>0.342031480298032</v>
      </c>
    </row>
    <row r="2104" spans="1:9">
      <c r="A2104" s="1" t="s">
        <v>2116</v>
      </c>
      <c r="B2104">
        <f>HYPERLINK("https://www.suredividend.com/sure-analysis-research-database/","Ormat Technologies Inc")</f>
        <v>0</v>
      </c>
      <c r="C2104">
        <v>-0.06658844235846201</v>
      </c>
      <c r="D2104">
        <v>-0.193895697905952</v>
      </c>
      <c r="E2104">
        <v>-0.235929101328239</v>
      </c>
      <c r="F2104">
        <v>-0.260900669881353</v>
      </c>
      <c r="G2104">
        <v>-0.275918016261124</v>
      </c>
      <c r="H2104">
        <v>-0.128530758180979</v>
      </c>
      <c r="I2104">
        <v>0.2300508140099</v>
      </c>
    </row>
    <row r="2105" spans="1:9">
      <c r="A2105" s="1" t="s">
        <v>2117</v>
      </c>
      <c r="B2105">
        <f>HYPERLINK("https://www.suredividend.com/sure-analysis-research-database/","Orbcomm Inc")</f>
        <v>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</row>
    <row r="2106" spans="1:9">
      <c r="A2106" s="1" t="s">
        <v>2118</v>
      </c>
      <c r="B2106">
        <f>HYPERLINK("https://www.suredividend.com/sure-analysis-ORC/","Orchid Island Capital Inc")</f>
        <v>0</v>
      </c>
      <c r="C2106">
        <v>-0.136797211190989</v>
      </c>
      <c r="D2106">
        <v>-0.313105858922511</v>
      </c>
      <c r="E2106">
        <v>-0.212534218649892</v>
      </c>
      <c r="F2106">
        <v>-0.245805069617993</v>
      </c>
      <c r="G2106">
        <v>-0.182972963173352</v>
      </c>
      <c r="H2106">
        <v>-0.589454569747174</v>
      </c>
      <c r="I2106">
        <v>-0.5116347952984011</v>
      </c>
    </row>
    <row r="2107" spans="1:9">
      <c r="A2107" s="1" t="s">
        <v>2119</v>
      </c>
      <c r="B2107">
        <f>HYPERLINK("https://www.suredividend.com/sure-analysis-ORCL/","Oracle Corp.")</f>
        <v>0</v>
      </c>
      <c r="C2107">
        <v>0.005164553723679</v>
      </c>
      <c r="D2107">
        <v>-0.07301794374267501</v>
      </c>
      <c r="E2107">
        <v>0.135417109345119</v>
      </c>
      <c r="F2107">
        <v>0.327300637879299</v>
      </c>
      <c r="G2107">
        <v>0.4442692095102561</v>
      </c>
      <c r="H2107">
        <v>0.151308701984814</v>
      </c>
      <c r="I2107">
        <v>1.375453718995405</v>
      </c>
    </row>
    <row r="2108" spans="1:9">
      <c r="A2108" s="1" t="s">
        <v>2120</v>
      </c>
      <c r="B2108">
        <f>HYPERLINK("https://www.suredividend.com/sure-analysis-research-database/","Organogenesis Holdings Inc")</f>
        <v>0</v>
      </c>
      <c r="C2108">
        <v>-0.218855218855218</v>
      </c>
      <c r="D2108">
        <v>-0.450236966824644</v>
      </c>
      <c r="E2108">
        <v>0.214659685863874</v>
      </c>
      <c r="F2108">
        <v>-0.137546468401487</v>
      </c>
      <c r="G2108">
        <v>-0.288343558282208</v>
      </c>
      <c r="H2108">
        <v>-0.7888989990900811</v>
      </c>
      <c r="I2108">
        <v>-0.771428571428571</v>
      </c>
    </row>
    <row r="2109" spans="1:9">
      <c r="A2109" s="1" t="s">
        <v>2121</v>
      </c>
      <c r="B2109">
        <f>HYPERLINK("https://www.suredividend.com/sure-analysis-ORI/","Old Republic International Corp.")</f>
        <v>0</v>
      </c>
      <c r="C2109">
        <v>0.058801213960546</v>
      </c>
      <c r="D2109">
        <v>0.014492226830429</v>
      </c>
      <c r="E2109">
        <v>0.116542917493439</v>
      </c>
      <c r="F2109">
        <v>0.189162473423859</v>
      </c>
      <c r="G2109">
        <v>0.245331679435294</v>
      </c>
      <c r="H2109">
        <v>0.160277036408836</v>
      </c>
      <c r="I2109">
        <v>0.8108443037235521</v>
      </c>
    </row>
    <row r="2110" spans="1:9">
      <c r="A2110" s="1" t="s">
        <v>2122</v>
      </c>
      <c r="B2110">
        <f>HYPERLINK("https://www.suredividend.com/sure-analysis-research-database/","O`Reilly Automotive, Inc.")</f>
        <v>0</v>
      </c>
      <c r="C2110">
        <v>0.05505107832009001</v>
      </c>
      <c r="D2110">
        <v>0.032260523049452</v>
      </c>
      <c r="E2110">
        <v>0.012354247640199</v>
      </c>
      <c r="F2110">
        <v>0.123289456535905</v>
      </c>
      <c r="G2110">
        <v>0.163143624786838</v>
      </c>
      <c r="H2110">
        <v>0.52646916760586</v>
      </c>
      <c r="I2110">
        <v>1.915136979983396</v>
      </c>
    </row>
    <row r="2111" spans="1:9">
      <c r="A2111" s="1" t="s">
        <v>2123</v>
      </c>
      <c r="B2111">
        <f>HYPERLINK("https://www.suredividend.com/sure-analysis-research-database/","Orion Group Holdings Inc")</f>
        <v>0</v>
      </c>
      <c r="C2111">
        <v>-0.076171874999999</v>
      </c>
      <c r="D2111">
        <v>0.261333333333333</v>
      </c>
      <c r="E2111">
        <v>0.8695652173913041</v>
      </c>
      <c r="F2111">
        <v>0.9873949579831931</v>
      </c>
      <c r="G2111">
        <v>1.083700440528634</v>
      </c>
      <c r="H2111">
        <v>0.079908675799086</v>
      </c>
      <c r="I2111">
        <v>-0.024742268041236</v>
      </c>
    </row>
    <row r="2112" spans="1:9">
      <c r="A2112" s="1" t="s">
        <v>2124</v>
      </c>
      <c r="B2112">
        <f>HYPERLINK("https://www.suredividend.com/sure-analysis-research-database/","Orrstown Financial Services, Inc.")</f>
        <v>0</v>
      </c>
      <c r="C2112">
        <v>0.043982600289995</v>
      </c>
      <c r="D2112">
        <v>-0.06186072975074101</v>
      </c>
      <c r="E2112">
        <v>0.258946681276665</v>
      </c>
      <c r="F2112">
        <v>-0.019638991135902</v>
      </c>
      <c r="G2112">
        <v>-0.11307839812104</v>
      </c>
      <c r="H2112">
        <v>-0.021451061227263</v>
      </c>
      <c r="I2112">
        <v>0.278348563041522</v>
      </c>
    </row>
    <row r="2113" spans="1:9">
      <c r="A2113" s="1" t="s">
        <v>2125</v>
      </c>
      <c r="B2113">
        <f>HYPERLINK("https://www.suredividend.com/sure-analysis-research-database/","Old Second Bancorporation Inc.")</f>
        <v>0</v>
      </c>
      <c r="C2113">
        <v>0.04844890578842</v>
      </c>
      <c r="D2113">
        <v>-0.116065771231046</v>
      </c>
      <c r="E2113">
        <v>0.231847946774376</v>
      </c>
      <c r="F2113">
        <v>-0.102021566777984</v>
      </c>
      <c r="G2113">
        <v>-0.120661033238888</v>
      </c>
      <c r="H2113">
        <v>0.07664094139222101</v>
      </c>
      <c r="I2113">
        <v>0.051955711843274</v>
      </c>
    </row>
    <row r="2114" spans="1:9">
      <c r="A2114" s="1" t="s">
        <v>2126</v>
      </c>
      <c r="B2114">
        <f>HYPERLINK("https://www.suredividend.com/sure-analysis-research-database/","Overseas Shipholding Group, Inc.")</f>
        <v>0</v>
      </c>
      <c r="C2114">
        <v>0.12756264236902</v>
      </c>
      <c r="D2114">
        <v>0.2375</v>
      </c>
      <c r="E2114">
        <v>0.2924281984334201</v>
      </c>
      <c r="F2114">
        <v>0.71280276816609</v>
      </c>
      <c r="G2114">
        <v>0.661073825503355</v>
      </c>
      <c r="H2114">
        <v>1.45049504950495</v>
      </c>
      <c r="I2114">
        <v>0.5566037735849051</v>
      </c>
    </row>
    <row r="2115" spans="1:9">
      <c r="A2115" s="1" t="s">
        <v>2127</v>
      </c>
      <c r="B2115">
        <f>HYPERLINK("https://www.suredividend.com/sure-analysis-research-database/","OSI Systems, Inc.")</f>
        <v>0</v>
      </c>
      <c r="C2115">
        <v>-0.106924045321023</v>
      </c>
      <c r="D2115">
        <v>-0.106624128956426</v>
      </c>
      <c r="E2115">
        <v>-0.09422880490296201</v>
      </c>
      <c r="F2115">
        <v>0.338153923541247</v>
      </c>
      <c r="G2115">
        <v>0.271782000717102</v>
      </c>
      <c r="H2115">
        <v>0.147153945666235</v>
      </c>
      <c r="I2115">
        <v>0.474231088944305</v>
      </c>
    </row>
    <row r="2116" spans="1:9">
      <c r="A2116" s="1" t="s">
        <v>2128</v>
      </c>
      <c r="B2116">
        <f>HYPERLINK("https://www.suredividend.com/sure-analysis-OSK/","Oshkosh Corp")</f>
        <v>0</v>
      </c>
      <c r="C2116">
        <v>-0.025630163101037</v>
      </c>
      <c r="D2116">
        <v>-0.093577305540311</v>
      </c>
      <c r="E2116">
        <v>0.187676053610664</v>
      </c>
      <c r="F2116">
        <v>0.05795768169273201</v>
      </c>
      <c r="G2116">
        <v>0.095802955571145</v>
      </c>
      <c r="H2116">
        <v>-0.140390169427228</v>
      </c>
      <c r="I2116">
        <v>0.541270878356871</v>
      </c>
    </row>
    <row r="2117" spans="1:9">
      <c r="A2117" s="1" t="s">
        <v>2129</v>
      </c>
      <c r="B2117">
        <f>HYPERLINK("https://www.suredividend.com/sure-analysis-research-database/","OneSpan Inc")</f>
        <v>0</v>
      </c>
      <c r="C2117">
        <v>-0.252525252525252</v>
      </c>
      <c r="D2117">
        <v>-0.4067055393586</v>
      </c>
      <c r="E2117">
        <v>-0.426760563380281</v>
      </c>
      <c r="F2117">
        <v>-0.272564789991063</v>
      </c>
      <c r="G2117">
        <v>-0.300085984522785</v>
      </c>
      <c r="H2117">
        <v>-0.601371204701273</v>
      </c>
      <c r="I2117">
        <v>-0.471428571428571</v>
      </c>
    </row>
    <row r="2118" spans="1:9">
      <c r="A2118" s="1" t="s">
        <v>2130</v>
      </c>
      <c r="B2118">
        <f>HYPERLINK("https://www.suredividend.com/sure-analysis-research-database/","Overstock.com Inc")</f>
        <v>0</v>
      </c>
      <c r="C2118">
        <v>0.05784574468085101</v>
      </c>
      <c r="D2118">
        <v>-0.579767564712097</v>
      </c>
      <c r="E2118">
        <v>-0.204897551224387</v>
      </c>
      <c r="F2118">
        <v>-0.178202479338842</v>
      </c>
      <c r="G2118">
        <v>-0.264107308048103</v>
      </c>
      <c r="H2118">
        <v>-0.8430347277032361</v>
      </c>
      <c r="I2118">
        <v>-0.279438405797101</v>
      </c>
    </row>
    <row r="2119" spans="1:9">
      <c r="A2119" s="1" t="s">
        <v>2131</v>
      </c>
      <c r="B2119">
        <f>HYPERLINK("https://www.suredividend.com/sure-analysis-research-database/","Orasure Technologies Inc.")</f>
        <v>0</v>
      </c>
      <c r="C2119">
        <v>-0.106598984771573</v>
      </c>
      <c r="D2119">
        <v>0.170731707317073</v>
      </c>
      <c r="E2119">
        <v>-0.228070175438596</v>
      </c>
      <c r="F2119">
        <v>0.09543568464730201</v>
      </c>
      <c r="G2119">
        <v>0.208237986270023</v>
      </c>
      <c r="H2119">
        <v>-0.513364055299539</v>
      </c>
      <c r="I2119">
        <v>-0.6281690140845071</v>
      </c>
    </row>
    <row r="2120" spans="1:9">
      <c r="A2120" s="1" t="s">
        <v>2132</v>
      </c>
      <c r="B2120">
        <f>HYPERLINK("https://www.suredividend.com/sure-analysis-research-database/","OneSpaWorld Holdings Limited")</f>
        <v>0</v>
      </c>
      <c r="C2120">
        <v>-0.044223826714801</v>
      </c>
      <c r="D2120">
        <v>-0.107834877843302</v>
      </c>
      <c r="E2120">
        <v>-0.164826498422712</v>
      </c>
      <c r="F2120">
        <v>0.135048231511254</v>
      </c>
      <c r="G2120">
        <v>0.15359477124183</v>
      </c>
      <c r="H2120">
        <v>-0.010280373831775</v>
      </c>
      <c r="I2120">
        <v>-0.134160200802884</v>
      </c>
    </row>
    <row r="2121" spans="1:9">
      <c r="A2121" s="1" t="s">
        <v>2133</v>
      </c>
      <c r="B2121">
        <f>HYPERLINK("https://www.suredividend.com/sure-analysis-research-database/","Otelco Inc")</f>
        <v>0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</row>
    <row r="2122" spans="1:9">
      <c r="A2122" s="1" t="s">
        <v>2134</v>
      </c>
      <c r="B2122">
        <f>HYPERLINK("https://www.suredividend.com/sure-analysis-research-database/","Otonomy Inc")</f>
        <v>0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</row>
    <row r="2123" spans="1:9">
      <c r="A2123" s="1" t="s">
        <v>2135</v>
      </c>
      <c r="B2123">
        <f>HYPERLINK("https://www.suredividend.com/sure-analysis-OTTR/","Otter Tail Corporation")</f>
        <v>0</v>
      </c>
      <c r="C2123">
        <v>0.09962100703844001</v>
      </c>
      <c r="D2123">
        <v>-0.08530509533701501</v>
      </c>
      <c r="E2123">
        <v>0.06928925959221101</v>
      </c>
      <c r="F2123">
        <v>0.4146236986036591</v>
      </c>
      <c r="G2123">
        <v>0.486099373291918</v>
      </c>
      <c r="H2123">
        <v>0.361280582314411</v>
      </c>
      <c r="I2123">
        <v>1.095872493350429</v>
      </c>
    </row>
    <row r="2124" spans="1:9">
      <c r="A2124" s="1" t="s">
        <v>2136</v>
      </c>
      <c r="B2124">
        <f>HYPERLINK("https://www.suredividend.com/sure-analysis-research-database/","Outfront Media Inc")</f>
        <v>0</v>
      </c>
      <c r="C2124">
        <v>0.120707596253902</v>
      </c>
      <c r="D2124">
        <v>-0.250996237594842</v>
      </c>
      <c r="E2124">
        <v>-0.318173185277099</v>
      </c>
      <c r="F2124">
        <v>-0.307475661981249</v>
      </c>
      <c r="G2124">
        <v>-0.327173566729763</v>
      </c>
      <c r="H2124">
        <v>-0.5329190176120321</v>
      </c>
      <c r="I2124">
        <v>-0.253498575617059</v>
      </c>
    </row>
    <row r="2125" spans="1:9">
      <c r="A2125" s="1" t="s">
        <v>2137</v>
      </c>
      <c r="B2125">
        <f>HYPERLINK("https://www.suredividend.com/sure-analysis-research-database/","Ohio Valley Banc Corp.")</f>
        <v>0</v>
      </c>
      <c r="C2125">
        <v>-0.027076640660853</v>
      </c>
      <c r="D2125">
        <v>-0.025079536285686</v>
      </c>
      <c r="E2125">
        <v>0.019097146353187</v>
      </c>
      <c r="F2125">
        <v>-0.058245801076636</v>
      </c>
      <c r="G2125">
        <v>-0.04450116978951901</v>
      </c>
      <c r="H2125">
        <v>-0.08398145965904601</v>
      </c>
      <c r="I2125">
        <v>-0.209274410939953</v>
      </c>
    </row>
    <row r="2126" spans="1:9">
      <c r="A2126" s="1" t="s">
        <v>2138</v>
      </c>
      <c r="B2126">
        <f>HYPERLINK("https://www.suredividend.com/sure-analysis-research-database/","Oak Valley Bancorp")</f>
        <v>0</v>
      </c>
      <c r="C2126">
        <v>-0.01430274135876</v>
      </c>
      <c r="D2126">
        <v>-0.08954128440366901</v>
      </c>
      <c r="E2126">
        <v>0.037111971306986</v>
      </c>
      <c r="F2126">
        <v>0.115301796800194</v>
      </c>
      <c r="G2126">
        <v>0.312288756419953</v>
      </c>
      <c r="H2126">
        <v>0.44811645634638</v>
      </c>
      <c r="I2126">
        <v>0.5132662397072271</v>
      </c>
    </row>
    <row r="2127" spans="1:9">
      <c r="A2127" s="1" t="s">
        <v>2139</v>
      </c>
      <c r="B2127">
        <f>HYPERLINK("https://www.suredividend.com/sure-analysis-research-database/","Oxford Industries, Inc.")</f>
        <v>0</v>
      </c>
      <c r="C2127">
        <v>-0.106867269917514</v>
      </c>
      <c r="D2127">
        <v>-0.185539487687847</v>
      </c>
      <c r="E2127">
        <v>-0.159307098445393</v>
      </c>
      <c r="F2127">
        <v>-0.05438132617682401</v>
      </c>
      <c r="G2127">
        <v>-0.11131884461109</v>
      </c>
      <c r="H2127">
        <v>-0.029129504001988</v>
      </c>
      <c r="I2127">
        <v>0.039957404583847</v>
      </c>
    </row>
    <row r="2128" spans="1:9">
      <c r="A2128" s="1" t="s">
        <v>2140</v>
      </c>
      <c r="B2128">
        <f>HYPERLINK("https://www.suredividend.com/sure-analysis-OXY/","Occidental Petroleum Corp.")</f>
        <v>0</v>
      </c>
      <c r="C2128">
        <v>0.015569823434992</v>
      </c>
      <c r="D2128">
        <v>0.032115142745749</v>
      </c>
      <c r="E2128">
        <v>0.05987533440432</v>
      </c>
      <c r="F2128">
        <v>0.013172686132649</v>
      </c>
      <c r="G2128">
        <v>-0.100559111903411</v>
      </c>
      <c r="H2128">
        <v>0.873523123663778</v>
      </c>
      <c r="I2128">
        <v>0.052580794351632</v>
      </c>
    </row>
    <row r="2129" spans="1:9">
      <c r="A2129" s="1" t="s">
        <v>2141</v>
      </c>
      <c r="B2129">
        <f>HYPERLINK("https://www.suredividend.com/sure-analysis-OZK/","Bank OZK")</f>
        <v>0</v>
      </c>
      <c r="C2129">
        <v>0.09998461161424101</v>
      </c>
      <c r="D2129">
        <v>-0.08763652952063</v>
      </c>
      <c r="E2129">
        <v>0.202896924822058</v>
      </c>
      <c r="F2129">
        <v>0.029844136024801</v>
      </c>
      <c r="G2129">
        <v>-0.036986215929645</v>
      </c>
      <c r="H2129">
        <v>-0.08609635290886501</v>
      </c>
      <c r="I2129">
        <v>0.718809835510789</v>
      </c>
    </row>
    <row r="2130" spans="1:9">
      <c r="A2130" s="1" t="s">
        <v>2142</v>
      </c>
      <c r="B2130">
        <f>HYPERLINK("https://www.suredividend.com/sure-analysis-research-database/","Pacific Biosciences of California Inc")</f>
        <v>0</v>
      </c>
      <c r="C2130">
        <v>-0.190062111801242</v>
      </c>
      <c r="D2130">
        <v>-0.47923322683706</v>
      </c>
      <c r="E2130">
        <v>-0.423008849557522</v>
      </c>
      <c r="F2130">
        <v>-0.202933985330073</v>
      </c>
      <c r="G2130">
        <v>-0.193069306930693</v>
      </c>
      <c r="H2130">
        <v>-0.7667262969588551</v>
      </c>
      <c r="I2130">
        <v>-0.137566137566137</v>
      </c>
    </row>
    <row r="2131" spans="1:9">
      <c r="A2131" s="1" t="s">
        <v>2143</v>
      </c>
      <c r="B2131">
        <f>HYPERLINK("https://www.suredividend.com/sure-analysis-PACW/","Pacwest Bancorp")</f>
        <v>0</v>
      </c>
      <c r="C2131">
        <v>0.013037809647979</v>
      </c>
      <c r="D2131">
        <v>-0.137557856881222</v>
      </c>
      <c r="E2131">
        <v>0.191516768643327</v>
      </c>
      <c r="F2131">
        <v>-0.656876382761681</v>
      </c>
      <c r="G2131">
        <v>-0.667156436474856</v>
      </c>
      <c r="H2131">
        <v>-0.834307514164895</v>
      </c>
      <c r="I2131">
        <v>-0.7771512646737431</v>
      </c>
    </row>
    <row r="2132" spans="1:9">
      <c r="A2132" s="1" t="s">
        <v>2144</v>
      </c>
      <c r="B2132">
        <f>HYPERLINK("https://www.suredividend.com/sure-analysis-research-database/","Penske Automotive Group Inc")</f>
        <v>0</v>
      </c>
      <c r="C2132">
        <v>-0.07604166666666601</v>
      </c>
      <c r="D2132">
        <v>-0.12593969163565</v>
      </c>
      <c r="E2132">
        <v>0.07559325612515301</v>
      </c>
      <c r="F2132">
        <v>0.32982452736507</v>
      </c>
      <c r="G2132">
        <v>0.395194771188612</v>
      </c>
      <c r="H2132">
        <v>0.4574278172604531</v>
      </c>
      <c r="I2132">
        <v>2.731973102272249</v>
      </c>
    </row>
    <row r="2133" spans="1:9">
      <c r="A2133" s="1" t="s">
        <v>2145</v>
      </c>
      <c r="B2133">
        <f>HYPERLINK("https://www.suredividend.com/sure-analysis-research-database/","Phibro Animal Health Corp.")</f>
        <v>0</v>
      </c>
      <c r="C2133">
        <v>-0.07142857142857101</v>
      </c>
      <c r="D2133">
        <v>-0.190518875348118</v>
      </c>
      <c r="E2133">
        <v>-0.222871106965255</v>
      </c>
      <c r="F2133">
        <v>-0.08790217500250501</v>
      </c>
      <c r="G2133">
        <v>-0.134284668862056</v>
      </c>
      <c r="H2133">
        <v>-0.4075609841598931</v>
      </c>
      <c r="I2133">
        <v>-0.6822164796140391</v>
      </c>
    </row>
    <row r="2134" spans="1:9">
      <c r="A2134" s="1" t="s">
        <v>2146</v>
      </c>
      <c r="B2134">
        <f>HYPERLINK("https://www.suredividend.com/sure-analysis-research-database/","Pangaea Logistics Solutions Ltd")</f>
        <v>0</v>
      </c>
      <c r="C2134">
        <v>0.023648648648648</v>
      </c>
      <c r="D2134">
        <v>-0.09950071326676101</v>
      </c>
      <c r="E2134">
        <v>0.07553599318472201</v>
      </c>
      <c r="F2134">
        <v>0.280588309877012</v>
      </c>
      <c r="G2134">
        <v>0.41578861294769</v>
      </c>
      <c r="H2134">
        <v>0.540651853358417</v>
      </c>
      <c r="I2134">
        <v>1.14202396521862</v>
      </c>
    </row>
    <row r="2135" spans="1:9">
      <c r="A2135" s="1" t="s">
        <v>2147</v>
      </c>
      <c r="B2135">
        <f>HYPERLINK("https://www.suredividend.com/sure-analysis-research-database/","Palo Alto Networks Inc")</f>
        <v>0</v>
      </c>
      <c r="C2135">
        <v>0.057397474342188</v>
      </c>
      <c r="D2135">
        <v>0.06008383791336701</v>
      </c>
      <c r="E2135">
        <v>0.4153428684493191</v>
      </c>
      <c r="F2135">
        <v>0.794180880034399</v>
      </c>
      <c r="G2135">
        <v>0.5475336877240691</v>
      </c>
      <c r="H2135">
        <v>0.477166054917583</v>
      </c>
      <c r="I2135">
        <v>3.076641378984683</v>
      </c>
    </row>
    <row r="2136" spans="1:9">
      <c r="A2136" s="1" t="s">
        <v>2148</v>
      </c>
      <c r="B2136">
        <f>HYPERLINK("https://www.suredividend.com/sure-analysis-research-database/","Par Technology Corp.")</f>
        <v>0</v>
      </c>
      <c r="C2136">
        <v>-0.22354694485842</v>
      </c>
      <c r="D2136">
        <v>-0.106601886253215</v>
      </c>
      <c r="E2136">
        <v>0.09377186843946801</v>
      </c>
      <c r="F2136">
        <v>0.199079401611047</v>
      </c>
      <c r="G2136">
        <v>0.141709276844412</v>
      </c>
      <c r="H2136">
        <v>-0.5092621664050231</v>
      </c>
      <c r="I2136">
        <v>0.6400839454354671</v>
      </c>
    </row>
    <row r="2137" spans="1:9">
      <c r="A2137" s="1" t="s">
        <v>2149</v>
      </c>
      <c r="B2137">
        <f>HYPERLINK("https://www.suredividend.com/sure-analysis-research-database/","Par Pacific Holdings Inc")</f>
        <v>0</v>
      </c>
      <c r="C2137">
        <v>-0.07601683029453001</v>
      </c>
      <c r="D2137">
        <v>0.037480314960629</v>
      </c>
      <c r="E2137">
        <v>0.463349622390048</v>
      </c>
      <c r="F2137">
        <v>0.416774193548387</v>
      </c>
      <c r="G2137">
        <v>0.4296875</v>
      </c>
      <c r="H2137">
        <v>1.129282482223659</v>
      </c>
      <c r="I2137">
        <v>0.8289838978345361</v>
      </c>
    </row>
    <row r="2138" spans="1:9">
      <c r="A2138" s="1" t="s">
        <v>2150</v>
      </c>
      <c r="B2138">
        <f>HYPERLINK("https://www.suredividend.com/sure-analysis-research-database/","Patriot Transportation Holding Inc")</f>
        <v>0</v>
      </c>
      <c r="C2138">
        <v>0.8923118005486371</v>
      </c>
      <c r="D2138">
        <v>0.787844036697247</v>
      </c>
      <c r="E2138">
        <v>0.658510638297872</v>
      </c>
      <c r="F2138">
        <v>1.217638691322901</v>
      </c>
      <c r="G2138">
        <v>0.829318376494608</v>
      </c>
      <c r="H2138">
        <v>0.308885138822423</v>
      </c>
      <c r="I2138">
        <v>0.578478423749063</v>
      </c>
    </row>
    <row r="2139" spans="1:9">
      <c r="A2139" s="1" t="s">
        <v>2151</v>
      </c>
      <c r="B2139">
        <f>HYPERLINK("https://www.suredividend.com/sure-analysis-research-database/","Patrick Industries, Inc.")</f>
        <v>0</v>
      </c>
      <c r="C2139">
        <v>0.058901918976545</v>
      </c>
      <c r="D2139">
        <v>-0.056133115402159</v>
      </c>
      <c r="E2139">
        <v>0.192745656670579</v>
      </c>
      <c r="F2139">
        <v>0.341701661339371</v>
      </c>
      <c r="G2139">
        <v>0.792198770316172</v>
      </c>
      <c r="H2139">
        <v>0.06394516652094201</v>
      </c>
      <c r="I2139">
        <v>0.8400205630286931</v>
      </c>
    </row>
    <row r="2140" spans="1:9">
      <c r="A2140" s="1" t="s">
        <v>2152</v>
      </c>
      <c r="B2140">
        <f>HYPERLINK("https://www.suredividend.com/sure-analysis-research-database/","Paycom Software Inc")</f>
        <v>0</v>
      </c>
      <c r="C2140">
        <v>-0.374480849100138</v>
      </c>
      <c r="D2140">
        <v>-0.456396052204159</v>
      </c>
      <c r="E2140">
        <v>-0.435172835515009</v>
      </c>
      <c r="F2140">
        <v>-0.474416497622175</v>
      </c>
      <c r="G2140">
        <v>-0.4846143146425491</v>
      </c>
      <c r="H2140">
        <v>-0.7051970572627441</v>
      </c>
      <c r="I2140">
        <v>0.303499076828392</v>
      </c>
    </row>
    <row r="2141" spans="1:9">
      <c r="A2141" s="1" t="s">
        <v>2153</v>
      </c>
      <c r="B2141">
        <f>HYPERLINK("https://www.suredividend.com/sure-analysis-research-database/","PaySign Inc")</f>
        <v>0</v>
      </c>
      <c r="C2141">
        <v>0.032258064516129</v>
      </c>
      <c r="D2141">
        <v>0.066666666666666</v>
      </c>
      <c r="E2141">
        <v>-0.426865671641791</v>
      </c>
      <c r="F2141">
        <v>-0.255813953488372</v>
      </c>
      <c r="G2141">
        <v>-0.193277310924369</v>
      </c>
      <c r="H2141">
        <v>-0.288888888888889</v>
      </c>
      <c r="I2141">
        <v>-0.549295774647887</v>
      </c>
    </row>
    <row r="2142" spans="1:9">
      <c r="A2142" s="1" t="s">
        <v>2154</v>
      </c>
      <c r="B2142">
        <f>HYPERLINK("https://www.suredividend.com/sure-analysis-PAYX/","Paychex Inc.")</f>
        <v>0</v>
      </c>
      <c r="C2142">
        <v>-0.011513447002988</v>
      </c>
      <c r="D2142">
        <v>-0.08928593118023501</v>
      </c>
      <c r="E2142">
        <v>0.070510746035674</v>
      </c>
      <c r="F2142">
        <v>0.003498459553578</v>
      </c>
      <c r="G2142">
        <v>0.019770694399738</v>
      </c>
      <c r="H2142">
        <v>-0.03626495473093001</v>
      </c>
      <c r="I2142">
        <v>0.9834194807874421</v>
      </c>
    </row>
    <row r="2143" spans="1:9">
      <c r="A2143" s="1" t="s">
        <v>2155</v>
      </c>
      <c r="B2143">
        <f>HYPERLINK("https://www.suredividend.com/sure-analysis-PB/","Prosperity Bancshares Inc.")</f>
        <v>0</v>
      </c>
      <c r="C2143">
        <v>0.060549078600977</v>
      </c>
      <c r="D2143">
        <v>-0.09658962583753601</v>
      </c>
      <c r="E2143">
        <v>-0.028000144765935</v>
      </c>
      <c r="F2143">
        <v>-0.202028319505597</v>
      </c>
      <c r="G2143">
        <v>-0.179662614432701</v>
      </c>
      <c r="H2143">
        <v>-0.218369968776374</v>
      </c>
      <c r="I2143">
        <v>-0.029694112789457</v>
      </c>
    </row>
    <row r="2144" spans="1:9">
      <c r="A2144" s="1" t="s">
        <v>2156</v>
      </c>
      <c r="B2144">
        <f>HYPERLINK("https://www.suredividend.com/sure-analysis-research-database/","People`s United Financial Inc")</f>
        <v>0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</row>
    <row r="2145" spans="1:9">
      <c r="A2145" s="1" t="s">
        <v>2157</v>
      </c>
      <c r="B2145">
        <f>HYPERLINK("https://www.suredividend.com/sure-analysis-research-database/","PBF Energy Inc")</f>
        <v>0</v>
      </c>
      <c r="C2145">
        <v>-0.092057416267942</v>
      </c>
      <c r="D2145">
        <v>0.004916549984218001</v>
      </c>
      <c r="E2145">
        <v>0.424102881226697</v>
      </c>
      <c r="F2145">
        <v>0.1800349234619</v>
      </c>
      <c r="G2145">
        <v>0.075390690525953</v>
      </c>
      <c r="H2145">
        <v>2.322594200868469</v>
      </c>
      <c r="I2145">
        <v>0.185019396449438</v>
      </c>
    </row>
    <row r="2146" spans="1:9">
      <c r="A2146" s="1" t="s">
        <v>2158</v>
      </c>
      <c r="B2146">
        <f>HYPERLINK("https://www.suredividend.com/sure-analysis-research-database/","Prestige Consumer Healthcare Inc")</f>
        <v>0</v>
      </c>
      <c r="C2146">
        <v>0.033898305084745</v>
      </c>
      <c r="D2146">
        <v>-0.102124430955994</v>
      </c>
      <c r="E2146">
        <v>-0.041470921756034</v>
      </c>
      <c r="F2146">
        <v>-0.05479233226837001</v>
      </c>
      <c r="G2146">
        <v>0.09008843036109</v>
      </c>
      <c r="H2146">
        <v>-0.019227581634344</v>
      </c>
      <c r="I2146">
        <v>0.5682480784521601</v>
      </c>
    </row>
    <row r="2147" spans="1:9">
      <c r="A2147" s="1" t="s">
        <v>2159</v>
      </c>
      <c r="B2147">
        <f>HYPERLINK("https://www.suredividend.com/sure-analysis-research-database/","Pathfinder Bancorp, Inc.")</f>
        <v>0</v>
      </c>
      <c r="C2147">
        <v>-0.05561236082708401</v>
      </c>
      <c r="D2147">
        <v>-0.08010679061017201</v>
      </c>
      <c r="E2147">
        <v>-0.094788568472778</v>
      </c>
      <c r="F2147">
        <v>-0.280731166513438</v>
      </c>
      <c r="G2147">
        <v>-0.274286836763646</v>
      </c>
      <c r="H2147">
        <v>-0.179417571569595</v>
      </c>
      <c r="I2147">
        <v>-0.021173561382721</v>
      </c>
    </row>
    <row r="2148" spans="1:9">
      <c r="A2148" s="1" t="s">
        <v>2160</v>
      </c>
      <c r="B2148">
        <f>HYPERLINK("https://www.suredividend.com/sure-analysis-research-database/","Pitney Bowes, Inc.")</f>
        <v>0</v>
      </c>
      <c r="C2148">
        <v>0.140401146131805</v>
      </c>
      <c r="D2148">
        <v>0.06221142811390701</v>
      </c>
      <c r="E2148">
        <v>0.23848643266119</v>
      </c>
      <c r="F2148">
        <v>0.09157730177449801</v>
      </c>
      <c r="G2148">
        <v>0.376115068114238</v>
      </c>
      <c r="H2148">
        <v>-0.387673466875903</v>
      </c>
      <c r="I2148">
        <v>-0.3794436821753771</v>
      </c>
    </row>
    <row r="2149" spans="1:9">
      <c r="A2149" s="1" t="s">
        <v>2161</v>
      </c>
      <c r="B2149">
        <f>HYPERLINK("https://www.suredividend.com/sure-analysis-research-database/","Prudential Bancorp Inc")</f>
        <v>0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</row>
    <row r="2150" spans="1:9">
      <c r="A2150" s="1" t="s">
        <v>2162</v>
      </c>
      <c r="B2150">
        <f>HYPERLINK("https://www.suredividend.com/sure-analysis-research-database/","Potbelly Corp")</f>
        <v>0</v>
      </c>
      <c r="C2150">
        <v>0.278145695364238</v>
      </c>
      <c r="D2150">
        <v>0.033190578158458</v>
      </c>
      <c r="E2150">
        <v>-0.093045112781954</v>
      </c>
      <c r="F2150">
        <v>0.7324955116696581</v>
      </c>
      <c r="G2150">
        <v>0.884765625</v>
      </c>
      <c r="H2150">
        <v>0.584564860426929</v>
      </c>
      <c r="I2150">
        <v>-0.17238421955403</v>
      </c>
    </row>
    <row r="2151" spans="1:9">
      <c r="A2151" s="1" t="s">
        <v>2163</v>
      </c>
      <c r="B2151">
        <f>HYPERLINK("https://www.suredividend.com/sure-analysis-research-database/","Puma Biotechnology Inc")</f>
        <v>0</v>
      </c>
      <c r="C2151">
        <v>-0.027343749999999</v>
      </c>
      <c r="D2151">
        <v>-0.310249307479224</v>
      </c>
      <c r="E2151">
        <v>-0.060377358490565</v>
      </c>
      <c r="F2151">
        <v>-0.411347517730496</v>
      </c>
      <c r="G2151">
        <v>0.152777777777777</v>
      </c>
      <c r="H2151">
        <v>-0.593800978792822</v>
      </c>
      <c r="I2151">
        <v>-0.875934230194319</v>
      </c>
    </row>
    <row r="2152" spans="1:9">
      <c r="A2152" s="1" t="s">
        <v>2164</v>
      </c>
      <c r="B2152">
        <f>HYPERLINK("https://www.suredividend.com/sure-analysis-PCAR/","Paccar Inc.")</f>
        <v>0</v>
      </c>
      <c r="C2152">
        <v>-0.004365266635205</v>
      </c>
      <c r="D2152">
        <v>-0.01639688193499</v>
      </c>
      <c r="E2152">
        <v>0.176903734880782</v>
      </c>
      <c r="F2152">
        <v>0.296395011052923</v>
      </c>
      <c r="G2152">
        <v>0.383234004051847</v>
      </c>
      <c r="H2152">
        <v>0.491424178426573</v>
      </c>
      <c r="I2152">
        <v>1.647454660103714</v>
      </c>
    </row>
    <row r="2153" spans="1:9">
      <c r="A2153" s="1" t="s">
        <v>2165</v>
      </c>
      <c r="B2153">
        <f>HYPERLINK("https://www.suredividend.com/sure-analysis-research-database/","PotlatchDeltic Corp")</f>
        <v>0</v>
      </c>
      <c r="C2153">
        <v>-0.015418502202643</v>
      </c>
      <c r="D2153">
        <v>-0.108104872500897</v>
      </c>
      <c r="E2153">
        <v>0.029060010083406</v>
      </c>
      <c r="F2153">
        <v>0.056590215549131</v>
      </c>
      <c r="G2153">
        <v>0.09665532393039301</v>
      </c>
      <c r="H2153">
        <v>-0.000840456349915</v>
      </c>
      <c r="I2153">
        <v>0.608938064883037</v>
      </c>
    </row>
    <row r="2154" spans="1:9">
      <c r="A2154" s="1" t="s">
        <v>2166</v>
      </c>
      <c r="B2154">
        <f>HYPERLINK("https://www.suredividend.com/sure-analysis-research-database/","Pacira BioSciences Inc")</f>
        <v>0</v>
      </c>
      <c r="C2154">
        <v>-0.022438044206296</v>
      </c>
      <c r="D2154">
        <v>-0.204848815036774</v>
      </c>
      <c r="E2154">
        <v>-0.371582346609257</v>
      </c>
      <c r="F2154">
        <v>-0.243978243978244</v>
      </c>
      <c r="G2154">
        <v>-0.4274225186347581</v>
      </c>
      <c r="H2154">
        <v>-0.455816554809843</v>
      </c>
      <c r="I2154">
        <v>-0.419912559618442</v>
      </c>
    </row>
    <row r="2155" spans="1:9">
      <c r="A2155" s="1" t="s">
        <v>2167</v>
      </c>
      <c r="B2155">
        <f>HYPERLINK("https://www.suredividend.com/sure-analysis-research-database/","PCSB Financial Corp")</f>
        <v>0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</row>
    <row r="2156" spans="1:9">
      <c r="A2156" s="1" t="s">
        <v>2168</v>
      </c>
      <c r="B2156">
        <f>HYPERLINK("https://www.suredividend.com/sure-analysis-research-database/","PCTEL Inc")</f>
        <v>0</v>
      </c>
      <c r="C2156">
        <v>0.5606407322654461</v>
      </c>
      <c r="D2156">
        <v>0.4506317267197</v>
      </c>
      <c r="E2156">
        <v>0.518694190215333</v>
      </c>
      <c r="F2156">
        <v>0.6834102633722501</v>
      </c>
      <c r="G2156">
        <v>0.6318912710566611</v>
      </c>
      <c r="H2156">
        <v>0.274385230585245</v>
      </c>
      <c r="I2156">
        <v>0.927370354670058</v>
      </c>
    </row>
    <row r="2157" spans="1:9">
      <c r="A2157" s="1" t="s">
        <v>2169</v>
      </c>
      <c r="B2157">
        <f>HYPERLINK("https://www.suredividend.com/sure-analysis-research-database/","Paylocity Holding Corp")</f>
        <v>0</v>
      </c>
      <c r="C2157">
        <v>-0.07132821787528301</v>
      </c>
      <c r="D2157">
        <v>-0.192766557069046</v>
      </c>
      <c r="E2157">
        <v>-0.09399546628709901</v>
      </c>
      <c r="F2157">
        <v>-0.115309379182538</v>
      </c>
      <c r="G2157">
        <v>-0.183834354371467</v>
      </c>
      <c r="H2157">
        <v>-0.432786560612561</v>
      </c>
      <c r="I2157">
        <v>1.744490578090067</v>
      </c>
    </row>
    <row r="2158" spans="1:9">
      <c r="A2158" s="1" t="s">
        <v>2170</v>
      </c>
      <c r="B2158">
        <f>HYPERLINK("https://www.suredividend.com/sure-analysis-research-database/","ReposiTrak")</f>
        <v>0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</row>
    <row r="2159" spans="1:9">
      <c r="A2159" s="1" t="s">
        <v>2171</v>
      </c>
      <c r="B2159">
        <f>HYPERLINK("https://www.suredividend.com/sure-analysis-research-database/","Pure Cycle Corp.")</f>
        <v>0</v>
      </c>
      <c r="C2159">
        <v>0.014721345951629</v>
      </c>
      <c r="D2159">
        <v>-0.226142742582197</v>
      </c>
      <c r="E2159">
        <v>0.005208333333333</v>
      </c>
      <c r="F2159">
        <v>-0.07919847328244201</v>
      </c>
      <c r="G2159">
        <v>0.164053075995175</v>
      </c>
      <c r="H2159">
        <v>-0.373783257624918</v>
      </c>
      <c r="I2159">
        <v>-0.043607532210108</v>
      </c>
    </row>
    <row r="2160" spans="1:9">
      <c r="A2160" s="1" t="s">
        <v>2172</v>
      </c>
      <c r="B2160">
        <f>HYPERLINK("https://www.suredividend.com/sure-analysis-research-database/","Pagerduty Inc")</f>
        <v>0</v>
      </c>
      <c r="C2160">
        <v>-0.091555555555555</v>
      </c>
      <c r="D2160">
        <v>-0.154323541580471</v>
      </c>
      <c r="E2160">
        <v>-0.299760191846522</v>
      </c>
      <c r="F2160">
        <v>-0.230421686746987</v>
      </c>
      <c r="G2160">
        <v>-0.104294478527607</v>
      </c>
      <c r="H2160">
        <v>-0.5035219820257461</v>
      </c>
      <c r="I2160">
        <v>-0.4656209150326791</v>
      </c>
    </row>
    <row r="2161" spans="1:9">
      <c r="A2161" s="1" t="s">
        <v>2173</v>
      </c>
      <c r="B2161">
        <f>HYPERLINK("https://www.suredividend.com/sure-analysis-research-database/","PDC Energy Inc")</f>
        <v>0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</row>
    <row r="2162" spans="1:9">
      <c r="A2162" s="1" t="s">
        <v>2174</v>
      </c>
      <c r="B2162">
        <f>HYPERLINK("https://www.suredividend.com/sure-analysis-PDCO/","Patterson Companies Inc.")</f>
        <v>0</v>
      </c>
      <c r="C2162">
        <v>0.026591062618984</v>
      </c>
      <c r="D2162">
        <v>-0.07544821864773901</v>
      </c>
      <c r="E2162">
        <v>0.170452777345573</v>
      </c>
      <c r="F2162">
        <v>0.130552727190751</v>
      </c>
      <c r="G2162">
        <v>0.210441414876884</v>
      </c>
      <c r="H2162">
        <v>-0.010571658747513</v>
      </c>
      <c r="I2162">
        <v>0.634846295109044</v>
      </c>
    </row>
    <row r="2163" spans="1:9">
      <c r="A2163" s="1" t="s">
        <v>2175</v>
      </c>
      <c r="B2163">
        <f>HYPERLINK("https://www.suredividend.com/sure-analysis-research-database/","Pro-Dex Inc. (co)")</f>
        <v>0</v>
      </c>
      <c r="C2163">
        <v>0.194230769230769</v>
      </c>
      <c r="D2163">
        <v>0.059726962457338</v>
      </c>
      <c r="E2163">
        <v>0.187380497131931</v>
      </c>
      <c r="F2163">
        <v>0.171698113207547</v>
      </c>
      <c r="G2163">
        <v>-0.009042553191489</v>
      </c>
      <c r="H2163">
        <v>-0.254203362690152</v>
      </c>
      <c r="I2163">
        <v>0.9406249999999999</v>
      </c>
    </row>
    <row r="2164" spans="1:9">
      <c r="A2164" s="1" t="s">
        <v>2176</v>
      </c>
      <c r="B2164">
        <f>HYPERLINK("https://www.suredividend.com/sure-analysis-research-database/","PDF Solutions Inc.")</f>
        <v>0</v>
      </c>
      <c r="C2164">
        <v>-0.152808283652337</v>
      </c>
      <c r="D2164">
        <v>-0.392712550607287</v>
      </c>
      <c r="E2164">
        <v>-0.258649093904448</v>
      </c>
      <c r="F2164">
        <v>-0.053295932678821</v>
      </c>
      <c r="G2164">
        <v>0.166810717372515</v>
      </c>
      <c r="H2164">
        <v>0.142131979695431</v>
      </c>
      <c r="I2164">
        <v>2.218116805721096</v>
      </c>
    </row>
    <row r="2165" spans="1:9">
      <c r="A2165" s="1" t="s">
        <v>2177</v>
      </c>
      <c r="B2165">
        <f>HYPERLINK("https://www.suredividend.com/sure-analysis-research-database/","Ponce Financial Group Inc")</f>
        <v>0</v>
      </c>
      <c r="C2165">
        <v>0.03385416666666601</v>
      </c>
      <c r="D2165">
        <v>-0.159788359788359</v>
      </c>
      <c r="E2165">
        <v>0.169366715758468</v>
      </c>
      <c r="F2165">
        <v>-0.148068669527897</v>
      </c>
      <c r="G2165">
        <v>-0.178903826266804</v>
      </c>
      <c r="H2165">
        <v>-0.264133456904541</v>
      </c>
      <c r="I2165">
        <v>-0.264133456904541</v>
      </c>
    </row>
    <row r="2166" spans="1:9">
      <c r="A2166" s="1" t="s">
        <v>2178</v>
      </c>
      <c r="B2166">
        <f>HYPERLINK("https://www.suredividend.com/sure-analysis-research-database/","PDL Biopharma Inc")</f>
        <v>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</row>
    <row r="2167" spans="1:9">
      <c r="A2167" s="1" t="s">
        <v>2179</v>
      </c>
      <c r="B2167">
        <f>HYPERLINK("https://www.suredividend.com/sure-analysis-PDM/","Piedmont Office Realty Trust Inc")</f>
        <v>0</v>
      </c>
      <c r="C2167">
        <v>0.056363636363636</v>
      </c>
      <c r="D2167">
        <v>-0.187583024540306</v>
      </c>
      <c r="E2167">
        <v>-0.042170859573345</v>
      </c>
      <c r="F2167">
        <v>-0.317746803039021</v>
      </c>
      <c r="G2167">
        <v>-0.3805441828727391</v>
      </c>
      <c r="H2167">
        <v>-0.627210430408336</v>
      </c>
      <c r="I2167">
        <v>-0.567698683750381</v>
      </c>
    </row>
    <row r="2168" spans="1:9">
      <c r="A2168" s="1" t="s">
        <v>2180</v>
      </c>
      <c r="B2168">
        <f>HYPERLINK("https://www.suredividend.com/sure-analysis-research-database/","PDS Biotechnology Corporation")</f>
        <v>0</v>
      </c>
      <c r="C2168">
        <v>-0.05744680851063801</v>
      </c>
      <c r="D2168">
        <v>-0.194545454545454</v>
      </c>
      <c r="E2168">
        <v>-0.251689189189189</v>
      </c>
      <c r="F2168">
        <v>-0.6643939393939391</v>
      </c>
      <c r="G2168">
        <v>-0.126232741617357</v>
      </c>
      <c r="H2168">
        <v>-0.646448523543495</v>
      </c>
      <c r="I2168">
        <v>5.324957167332952</v>
      </c>
    </row>
    <row r="2169" spans="1:9">
      <c r="A2169" s="1" t="s">
        <v>2181</v>
      </c>
      <c r="B2169">
        <f>HYPERLINK("https://www.suredividend.com/sure-analysis-research-database/","Parsley Energy Inc")</f>
        <v>0</v>
      </c>
      <c r="C2169">
        <v>0.178148921363952</v>
      </c>
      <c r="D2169">
        <v>0.6788140215181711</v>
      </c>
      <c r="E2169">
        <v>0.6351484479128431</v>
      </c>
      <c r="F2169">
        <v>0.19225352112676</v>
      </c>
      <c r="G2169">
        <v>-0.050055829559928</v>
      </c>
      <c r="H2169">
        <v>-0.07683583163841101</v>
      </c>
      <c r="I2169">
        <v>0.056982138063219</v>
      </c>
    </row>
    <row r="2170" spans="1:9">
      <c r="A2170" s="1" t="s">
        <v>2182</v>
      </c>
      <c r="B2170">
        <f>HYPERLINK("https://www.suredividend.com/sure-analysis-research-database/","Pebblebrook Hotel Trust")</f>
        <v>0</v>
      </c>
      <c r="C2170">
        <v>-0.09321401938851601</v>
      </c>
      <c r="D2170">
        <v>-0.193029259325622</v>
      </c>
      <c r="E2170">
        <v>-0.131385140685605</v>
      </c>
      <c r="F2170">
        <v>-0.089833984521189</v>
      </c>
      <c r="G2170">
        <v>-0.201806438061229</v>
      </c>
      <c r="H2170">
        <v>-0.489907210094467</v>
      </c>
      <c r="I2170">
        <v>-0.606161499695552</v>
      </c>
    </row>
    <row r="2171" spans="1:9">
      <c r="A2171" s="1" t="s">
        <v>2183</v>
      </c>
      <c r="B2171">
        <f>HYPERLINK("https://www.suredividend.com/sure-analysis-research-database/","Peoples Bancorp Of North Carolina Inc")</f>
        <v>0</v>
      </c>
      <c r="C2171">
        <v>0.066363636363636</v>
      </c>
      <c r="D2171">
        <v>0.108989146465983</v>
      </c>
      <c r="E2171">
        <v>-0.007584826961881</v>
      </c>
      <c r="F2171">
        <v>-0.240968299264263</v>
      </c>
      <c r="G2171">
        <v>-0.09615925473591701</v>
      </c>
      <c r="H2171">
        <v>-0.09002048035747501</v>
      </c>
      <c r="I2171">
        <v>-0.016232581739498</v>
      </c>
    </row>
    <row r="2172" spans="1:9">
      <c r="A2172" s="1" t="s">
        <v>2184</v>
      </c>
      <c r="B2172">
        <f>HYPERLINK("https://www.suredividend.com/sure-analysis-research-database/","Peoples Bancorp, Inc. (Marietta, OH)")</f>
        <v>0</v>
      </c>
      <c r="C2172">
        <v>0.13095238095238</v>
      </c>
      <c r="D2172">
        <v>0.044997213340764</v>
      </c>
      <c r="E2172">
        <v>0.236378149510654</v>
      </c>
      <c r="F2172">
        <v>0.085048789123623</v>
      </c>
      <c r="G2172">
        <v>0.03435135282269</v>
      </c>
      <c r="H2172">
        <v>0.018934301976375</v>
      </c>
      <c r="I2172">
        <v>0.08626880007318001</v>
      </c>
    </row>
    <row r="2173" spans="1:9">
      <c r="A2173" s="1" t="s">
        <v>2185</v>
      </c>
      <c r="B2173">
        <f>HYPERLINK("https://www.suredividend.com/sure-analysis-research-database/","PEDEVCO Corp")</f>
        <v>0</v>
      </c>
      <c r="C2173">
        <v>-0.09090909090909001</v>
      </c>
      <c r="D2173">
        <v>-0.019287348806799</v>
      </c>
      <c r="E2173">
        <v>0.034482758620689</v>
      </c>
      <c r="F2173">
        <v>-0.181818181818181</v>
      </c>
      <c r="G2173">
        <v>-0.262295081967213</v>
      </c>
      <c r="H2173">
        <v>-0.4155844155844151</v>
      </c>
      <c r="I2173">
        <v>-0.461077844311377</v>
      </c>
    </row>
    <row r="2174" spans="1:9">
      <c r="A2174" s="1" t="s">
        <v>2186</v>
      </c>
      <c r="B2174">
        <f>HYPERLINK("https://www.suredividend.com/sure-analysis-PEG/","Public Service Enterprise Group Inc.")</f>
        <v>0</v>
      </c>
      <c r="C2174">
        <v>0.159626988480526</v>
      </c>
      <c r="D2174">
        <v>0.014192619837684</v>
      </c>
      <c r="E2174">
        <v>0.028872344878269</v>
      </c>
      <c r="F2174">
        <v>0.065016020581577</v>
      </c>
      <c r="G2174">
        <v>0.163163908538855</v>
      </c>
      <c r="H2174">
        <v>0.06262304695681301</v>
      </c>
      <c r="I2174">
        <v>0.420062695924765</v>
      </c>
    </row>
    <row r="2175" spans="1:9">
      <c r="A2175" s="1" t="s">
        <v>2187</v>
      </c>
      <c r="B2175">
        <f>HYPERLINK("https://www.suredividend.com/sure-analysis-research-database/","Pegasystems Inc.")</f>
        <v>0</v>
      </c>
      <c r="C2175">
        <v>0.036591014358499</v>
      </c>
      <c r="D2175">
        <v>-0.115408026940924</v>
      </c>
      <c r="E2175">
        <v>0.016494185135475</v>
      </c>
      <c r="F2175">
        <v>0.311552267233169</v>
      </c>
      <c r="G2175">
        <v>0.325860802388682</v>
      </c>
      <c r="H2175">
        <v>-0.63253735582879</v>
      </c>
      <c r="I2175">
        <v>-0.165552765364847</v>
      </c>
    </row>
    <row r="2176" spans="1:9">
      <c r="A2176" s="1" t="s">
        <v>2188</v>
      </c>
      <c r="B2176">
        <f>HYPERLINK("https://www.suredividend.com/sure-analysis-research-database/","Pennsylvania Real Estate Investment Trust")</f>
        <v>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</row>
    <row r="2177" spans="1:9">
      <c r="A2177" s="1" t="s">
        <v>2189</v>
      </c>
      <c r="B2177">
        <f>HYPERLINK("https://www.suredividend.com/sure-analysis-research-database/","Penumbra Inc")</f>
        <v>0</v>
      </c>
      <c r="C2177">
        <v>-0.169174035117126</v>
      </c>
      <c r="D2177">
        <v>-0.264232168039783</v>
      </c>
      <c r="E2177">
        <v>-0.295276010379269</v>
      </c>
      <c r="F2177">
        <v>-0.108783601546345</v>
      </c>
      <c r="G2177">
        <v>0.259753462955902</v>
      </c>
      <c r="H2177">
        <v>-0.290611134964934</v>
      </c>
      <c r="I2177">
        <v>0.439274047186932</v>
      </c>
    </row>
    <row r="2178" spans="1:9">
      <c r="A2178" s="1" t="s">
        <v>2190</v>
      </c>
      <c r="B2178">
        <f>HYPERLINK("https://www.suredividend.com/sure-analysis-research-database/","PENN Entertainment Inc")</f>
        <v>0</v>
      </c>
      <c r="C2178">
        <v>-0.008873114463176001</v>
      </c>
      <c r="D2178">
        <v>-0.122200392927308</v>
      </c>
      <c r="E2178">
        <v>-0.267060367454068</v>
      </c>
      <c r="F2178">
        <v>-0.247811447811447</v>
      </c>
      <c r="G2178">
        <v>-0.319524824855315</v>
      </c>
      <c r="H2178">
        <v>-0.6939726027397261</v>
      </c>
      <c r="I2178">
        <v>-0.037068965517241</v>
      </c>
    </row>
    <row r="2179" spans="1:9">
      <c r="A2179" s="1" t="s">
        <v>2191</v>
      </c>
      <c r="B2179">
        <f>HYPERLINK("https://www.suredividend.com/sure-analysis-PEP/","PepsiCo Inc")</f>
        <v>0</v>
      </c>
      <c r="C2179">
        <v>-0.013832239758822</v>
      </c>
      <c r="D2179">
        <v>-0.101556483516956</v>
      </c>
      <c r="E2179">
        <v>-0.113821578707495</v>
      </c>
      <c r="F2179">
        <v>-0.050597793890432</v>
      </c>
      <c r="G2179">
        <v>-0.031704804329845</v>
      </c>
      <c r="H2179">
        <v>0.089455794529538</v>
      </c>
      <c r="I2179">
        <v>0.7413896044792011</v>
      </c>
    </row>
    <row r="2180" spans="1:9">
      <c r="A2180" s="1" t="s">
        <v>2192</v>
      </c>
      <c r="B2180">
        <f>HYPERLINK("https://www.suredividend.com/sure-analysis-research-database/","Perma-Fix Environmental Services, Inc.")</f>
        <v>0</v>
      </c>
      <c r="C2180">
        <v>-0.163618388531883</v>
      </c>
      <c r="D2180">
        <v>-0.07032967032967001</v>
      </c>
      <c r="E2180">
        <v>0.005945303210463</v>
      </c>
      <c r="F2180">
        <v>1.396600566572238</v>
      </c>
      <c r="G2180">
        <v>1.058394160583941</v>
      </c>
      <c r="H2180">
        <v>0.178272980501392</v>
      </c>
      <c r="I2180">
        <v>1.417142857142857</v>
      </c>
    </row>
    <row r="2181" spans="1:9">
      <c r="A2181" s="1" t="s">
        <v>2193</v>
      </c>
      <c r="B2181">
        <f>HYPERLINK("https://www.suredividend.com/sure-analysis-research-database/","PetIQ Inc")</f>
        <v>0</v>
      </c>
      <c r="C2181">
        <v>-0.113268608414239</v>
      </c>
      <c r="D2181">
        <v>0.181762168823166</v>
      </c>
      <c r="E2181">
        <v>0.662045060658579</v>
      </c>
      <c r="F2181">
        <v>1.080260303687635</v>
      </c>
      <c r="G2181">
        <v>1.400500625782228</v>
      </c>
      <c r="H2181">
        <v>-0.221590909090909</v>
      </c>
      <c r="I2181">
        <v>-0.403235843186061</v>
      </c>
    </row>
    <row r="2182" spans="1:9">
      <c r="A2182" s="1" t="s">
        <v>2194</v>
      </c>
      <c r="B2182">
        <f>HYPERLINK("https://www.suredividend.com/sure-analysis-PETS/","Petmed Express, Inc.")</f>
        <v>0</v>
      </c>
      <c r="C2182">
        <v>-0.34873188405797</v>
      </c>
      <c r="D2182">
        <v>-0.4518730846051801</v>
      </c>
      <c r="E2182">
        <v>-0.509897480641291</v>
      </c>
      <c r="F2182">
        <v>-0.5778336229977921</v>
      </c>
      <c r="G2182">
        <v>-0.650169319995329</v>
      </c>
      <c r="H2182">
        <v>-0.729943922987068</v>
      </c>
      <c r="I2182">
        <v>-0.683393807024342</v>
      </c>
    </row>
    <row r="2183" spans="1:9">
      <c r="A2183" s="1" t="s">
        <v>2195</v>
      </c>
      <c r="B2183">
        <f>HYPERLINK("https://www.suredividend.com/sure-analysis-research-database/","Preferred Bank (Los Angeles, CA)")</f>
        <v>0</v>
      </c>
      <c r="C2183">
        <v>0.010188946397567</v>
      </c>
      <c r="D2183">
        <v>-0.062281294265278</v>
      </c>
      <c r="E2183">
        <v>0.4084700579877421</v>
      </c>
      <c r="F2183">
        <v>-0.119456153211765</v>
      </c>
      <c r="G2183">
        <v>-0.125200208245023</v>
      </c>
      <c r="H2183">
        <v>-0.02909249354307</v>
      </c>
      <c r="I2183">
        <v>0.380059376213162</v>
      </c>
    </row>
    <row r="2184" spans="1:9">
      <c r="A2184" s="1" t="s">
        <v>2196</v>
      </c>
      <c r="B2184">
        <f>HYPERLINK("https://www.suredividend.com/sure-analysis-research-database/","Premier Financial Bancorp, Inc.")</f>
        <v>0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</row>
    <row r="2185" spans="1:9">
      <c r="A2185" s="1" t="s">
        <v>2197</v>
      </c>
      <c r="B2185">
        <f>HYPERLINK("https://www.suredividend.com/sure-analysis-PFE/","Pfizer Inc.")</f>
        <v>0</v>
      </c>
      <c r="C2185">
        <v>-0.101355332940483</v>
      </c>
      <c r="D2185">
        <v>-0.137199434229137</v>
      </c>
      <c r="E2185">
        <v>-0.201907049646614</v>
      </c>
      <c r="F2185">
        <v>-0.3860325422882661</v>
      </c>
      <c r="G2185">
        <v>-0.325911732009026</v>
      </c>
      <c r="H2185">
        <v>-0.279063775673011</v>
      </c>
      <c r="I2185">
        <v>-0.144733521398486</v>
      </c>
    </row>
    <row r="2186" spans="1:9">
      <c r="A2186" s="1" t="s">
        <v>2198</v>
      </c>
      <c r="B2186">
        <f>HYPERLINK("https://www.suredividend.com/sure-analysis-PFG/","Principal Financial Group Inc")</f>
        <v>0</v>
      </c>
      <c r="C2186">
        <v>0.004557755305512</v>
      </c>
      <c r="D2186">
        <v>-0.09319296874196401</v>
      </c>
      <c r="E2186">
        <v>0.016691148170518</v>
      </c>
      <c r="F2186">
        <v>-0.128589025880399</v>
      </c>
      <c r="G2186">
        <v>-0.15136055444925</v>
      </c>
      <c r="H2186">
        <v>0.118715848077975</v>
      </c>
      <c r="I2186">
        <v>0.829059563079604</v>
      </c>
    </row>
    <row r="2187" spans="1:9">
      <c r="A2187" s="1" t="s">
        <v>2199</v>
      </c>
      <c r="B2187">
        <f>HYPERLINK("https://www.suredividend.com/sure-analysis-research-database/","Performance Food Group Company")</f>
        <v>0</v>
      </c>
      <c r="C2187">
        <v>0.015324365741529</v>
      </c>
      <c r="D2187">
        <v>-0.004507512520868001</v>
      </c>
      <c r="E2187">
        <v>-0.03417557499190101</v>
      </c>
      <c r="F2187">
        <v>0.021236513101558</v>
      </c>
      <c r="G2187">
        <v>0.168070519098922</v>
      </c>
      <c r="H2187">
        <v>0.298845567414506</v>
      </c>
      <c r="I2187">
        <v>1.029611980939414</v>
      </c>
    </row>
    <row r="2188" spans="1:9">
      <c r="A2188" s="1" t="s">
        <v>2200</v>
      </c>
      <c r="B2188">
        <f>HYPERLINK("https://www.suredividend.com/sure-analysis-research-database/","Profire Energy Inc")</f>
        <v>0</v>
      </c>
      <c r="C2188">
        <v>-0.334494773519163</v>
      </c>
      <c r="D2188">
        <v>0.364285714285714</v>
      </c>
      <c r="E2188">
        <v>0.705357142857142</v>
      </c>
      <c r="F2188">
        <v>0.80188679245283</v>
      </c>
      <c r="G2188">
        <v>0.91</v>
      </c>
      <c r="H2188">
        <v>0.565573770491803</v>
      </c>
      <c r="I2188">
        <v>-0.151111111111111</v>
      </c>
    </row>
    <row r="2189" spans="1:9">
      <c r="A2189" s="1" t="s">
        <v>2201</v>
      </c>
      <c r="B2189">
        <f>HYPERLINK("https://www.suredividend.com/sure-analysis-research-database/","P &amp; F Industries, Inc.")</f>
        <v>0</v>
      </c>
      <c r="C2189">
        <v>0.9304084720121021</v>
      </c>
      <c r="D2189">
        <v>0.680561592055527</v>
      </c>
      <c r="E2189">
        <v>1.470426516427561</v>
      </c>
      <c r="F2189">
        <v>1.617221151085039</v>
      </c>
      <c r="G2189">
        <v>1.498482504748291</v>
      </c>
      <c r="H2189">
        <v>0.9670715915397421</v>
      </c>
      <c r="I2189">
        <v>0.787014733068175</v>
      </c>
    </row>
    <row r="2190" spans="1:9">
      <c r="A2190" s="1" t="s">
        <v>2202</v>
      </c>
      <c r="B2190">
        <f>HYPERLINK("https://www.suredividend.com/sure-analysis-research-database/","Peoples Financial Services Corp")</f>
        <v>0</v>
      </c>
      <c r="C2190">
        <v>-0.024447753785058</v>
      </c>
      <c r="D2190">
        <v>-0.132129214599571</v>
      </c>
      <c r="E2190">
        <v>0.08208184783955201</v>
      </c>
      <c r="F2190">
        <v>-0.204252355558794</v>
      </c>
      <c r="G2190">
        <v>-0.240261409609374</v>
      </c>
      <c r="H2190">
        <v>-0.085711228503571</v>
      </c>
      <c r="I2190">
        <v>0.149901115232935</v>
      </c>
    </row>
    <row r="2191" spans="1:9">
      <c r="A2191" s="1" t="s">
        <v>2203</v>
      </c>
      <c r="B2191">
        <f>HYPERLINK("https://www.suredividend.com/sure-analysis-research-database/","Performant Financial Corp")</f>
        <v>0</v>
      </c>
      <c r="C2191">
        <v>-0.015486725663716</v>
      </c>
      <c r="D2191">
        <v>-0.238013698630136</v>
      </c>
      <c r="E2191">
        <v>-0.295886075949367</v>
      </c>
      <c r="F2191">
        <v>-0.38365650969529</v>
      </c>
      <c r="G2191">
        <v>-0.057203389830508</v>
      </c>
      <c r="H2191">
        <v>-0.272875816993464</v>
      </c>
      <c r="I2191">
        <v>0.286127167630057</v>
      </c>
    </row>
    <row r="2192" spans="1:9">
      <c r="A2192" s="1" t="s">
        <v>2204</v>
      </c>
      <c r="B2192">
        <f>HYPERLINK("https://www.suredividend.com/sure-analysis-research-database/","Proofpoint Inc")</f>
        <v>0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</row>
    <row r="2193" spans="1:9">
      <c r="A2193" s="1" t="s">
        <v>2205</v>
      </c>
      <c r="B2193">
        <f>HYPERLINK("https://www.suredividend.com/sure-analysis-research-database/","Provident Financial Services Inc")</f>
        <v>0</v>
      </c>
      <c r="C2193">
        <v>-0.007232084155161001</v>
      </c>
      <c r="D2193">
        <v>-0.16148844131252</v>
      </c>
      <c r="E2193">
        <v>-0.005289750531939001</v>
      </c>
      <c r="F2193">
        <v>-0.264874127950848</v>
      </c>
      <c r="G2193">
        <v>-0.276417933334611</v>
      </c>
      <c r="H2193">
        <v>-0.340115720104183</v>
      </c>
      <c r="I2193">
        <v>-0.230635973627627</v>
      </c>
    </row>
    <row r="2194" spans="1:9">
      <c r="A2194" s="1" t="s">
        <v>2206</v>
      </c>
      <c r="B2194">
        <f>HYPERLINK("https://www.suredividend.com/sure-analysis-research-database/","PFSWEB Inc")</f>
        <v>0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</row>
    <row r="2195" spans="1:9">
      <c r="A2195" s="1" t="s">
        <v>2207</v>
      </c>
      <c r="B2195">
        <f>HYPERLINK("https://www.suredividend.com/sure-analysis-PG/","Procter &amp; Gamble Co.")</f>
        <v>0</v>
      </c>
      <c r="C2195">
        <v>0.04962863772841</v>
      </c>
      <c r="D2195">
        <v>-0.026786506109575</v>
      </c>
      <c r="E2195">
        <v>-0.019654807666164</v>
      </c>
      <c r="F2195">
        <v>0.024570338742817</v>
      </c>
      <c r="G2195">
        <v>0.168075082607528</v>
      </c>
      <c r="H2195">
        <v>0.104676566253239</v>
      </c>
      <c r="I2195">
        <v>0.9137135571138101</v>
      </c>
    </row>
    <row r="2196" spans="1:9">
      <c r="A2196" s="1" t="s">
        <v>2208</v>
      </c>
      <c r="B2196">
        <f>HYPERLINK("https://www.suredividend.com/sure-analysis-research-database/","Peapack-Gladstone Financial Corp.")</f>
        <v>0</v>
      </c>
      <c r="C2196">
        <v>-0.044094488188976</v>
      </c>
      <c r="D2196">
        <v>-0.168208290510448</v>
      </c>
      <c r="E2196">
        <v>-0.007233132571993</v>
      </c>
      <c r="F2196">
        <v>-0.342998933861531</v>
      </c>
      <c r="G2196">
        <v>-0.365525675566205</v>
      </c>
      <c r="H2196">
        <v>-0.269209584551066</v>
      </c>
      <c r="I2196">
        <v>-0.08825660995182101</v>
      </c>
    </row>
    <row r="2197" spans="1:9">
      <c r="A2197" s="1" t="s">
        <v>2209</v>
      </c>
      <c r="B2197">
        <f>HYPERLINK("https://www.suredividend.com/sure-analysis-PGR/","Progressive Corp.")</f>
        <v>0</v>
      </c>
      <c r="C2197">
        <v>0.143297018873006</v>
      </c>
      <c r="D2197">
        <v>0.267421355934097</v>
      </c>
      <c r="E2197">
        <v>0.239224979004124</v>
      </c>
      <c r="F2197">
        <v>0.227635682081251</v>
      </c>
      <c r="G2197">
        <v>0.246665834352133</v>
      </c>
      <c r="H2197">
        <v>0.7137941158691911</v>
      </c>
      <c r="I2197">
        <v>1.688688271683339</v>
      </c>
    </row>
    <row r="2198" spans="1:9">
      <c r="A2198" s="1" t="s">
        <v>2210</v>
      </c>
      <c r="B2198">
        <f>HYPERLINK("https://www.suredividend.com/sure-analysis-PGRE/","Paramount Group Inc")</f>
        <v>0</v>
      </c>
      <c r="C2198">
        <v>0.040178571428571</v>
      </c>
      <c r="D2198">
        <v>-0.041586113282053</v>
      </c>
      <c r="E2198">
        <v>0.116114198122245</v>
      </c>
      <c r="F2198">
        <v>-0.189212701174423</v>
      </c>
      <c r="G2198">
        <v>-0.22879602813405</v>
      </c>
      <c r="H2198">
        <v>-0.409745531925673</v>
      </c>
      <c r="I2198">
        <v>-0.603640384451815</v>
      </c>
    </row>
    <row r="2199" spans="1:9">
      <c r="A2199" s="1" t="s">
        <v>2211</v>
      </c>
      <c r="B2199">
        <f>HYPERLINK("https://www.suredividend.com/sure-analysis-research-database/","PGT Innovations Inc")</f>
        <v>0</v>
      </c>
      <c r="C2199">
        <v>0.120931952662721</v>
      </c>
      <c r="D2199">
        <v>0.046977547495682</v>
      </c>
      <c r="E2199">
        <v>0.196132596685082</v>
      </c>
      <c r="F2199">
        <v>0.687639198218262</v>
      </c>
      <c r="G2199">
        <v>0.4706453178068891</v>
      </c>
      <c r="H2199">
        <v>0.391643709825527</v>
      </c>
      <c r="I2199">
        <v>0.351315202853321</v>
      </c>
    </row>
    <row r="2200" spans="1:9">
      <c r="A2200" s="1" t="s">
        <v>2212</v>
      </c>
      <c r="B2200">
        <f>HYPERLINK("https://www.suredividend.com/sure-analysis-PH/","Parker-Hannifin Corp.")</f>
        <v>0</v>
      </c>
      <c r="C2200">
        <v>0.050202471186792</v>
      </c>
      <c r="D2200">
        <v>0.00053912088673</v>
      </c>
      <c r="E2200">
        <v>0.255109799616127</v>
      </c>
      <c r="F2200">
        <v>0.407158428968723</v>
      </c>
      <c r="G2200">
        <v>0.457190832282226</v>
      </c>
      <c r="H2200">
        <v>0.3905644540957</v>
      </c>
      <c r="I2200">
        <v>1.736455364353438</v>
      </c>
    </row>
    <row r="2201" spans="1:9">
      <c r="A2201" s="1" t="s">
        <v>2213</v>
      </c>
      <c r="B2201">
        <f>HYPERLINK("https://www.suredividend.com/sure-analysis-research-database/","PhaseBio Pharmaceuticals Inc")</f>
        <v>0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</row>
    <row r="2202" spans="1:9">
      <c r="A2202" s="1" t="s">
        <v>2214</v>
      </c>
      <c r="B2202">
        <f>HYPERLINK("https://www.suredividend.com/sure-analysis-research-database/","Phio Pharmaceuticals Corp")</f>
        <v>0</v>
      </c>
      <c r="C2202">
        <v>-0.178947368421052</v>
      </c>
      <c r="D2202">
        <v>-0.506719367588932</v>
      </c>
      <c r="E2202">
        <v>-0.679999999999999</v>
      </c>
      <c r="F2202">
        <v>-0.7204301075268811</v>
      </c>
      <c r="G2202">
        <v>-0.8230991665249191</v>
      </c>
      <c r="H2202">
        <v>-0.9384615384615381</v>
      </c>
      <c r="I2202">
        <v>1.94826364280652</v>
      </c>
    </row>
    <row r="2203" spans="1:9">
      <c r="A2203" s="1" t="s">
        <v>2215</v>
      </c>
      <c r="B2203">
        <f>HYPERLINK("https://www.suredividend.com/sure-analysis-PHM/","PulteGroup Inc")</f>
        <v>0</v>
      </c>
      <c r="C2203">
        <v>0.09491942092324501</v>
      </c>
      <c r="D2203">
        <v>-0.03861258977406101</v>
      </c>
      <c r="E2203">
        <v>0.224079726265419</v>
      </c>
      <c r="F2203">
        <v>0.773303781956849</v>
      </c>
      <c r="G2203">
        <v>1.096994839253064</v>
      </c>
      <c r="H2203">
        <v>0.717919981828662</v>
      </c>
      <c r="I2203">
        <v>2.516737071593695</v>
      </c>
    </row>
    <row r="2204" spans="1:9">
      <c r="A2204" s="1" t="s">
        <v>2216</v>
      </c>
      <c r="B2204">
        <f>HYPERLINK("https://www.suredividend.com/sure-analysis-research-database/","PHX Minerals Inc")</f>
        <v>0</v>
      </c>
      <c r="C2204">
        <v>-0.005555555555555001</v>
      </c>
      <c r="D2204">
        <v>0.170317097090552</v>
      </c>
      <c r="E2204">
        <v>0.391804680817976</v>
      </c>
      <c r="F2204">
        <v>-0.059379926431949</v>
      </c>
      <c r="G2204">
        <v>-0.058959598349236</v>
      </c>
      <c r="H2204">
        <v>0.212449622379517</v>
      </c>
      <c r="I2204">
        <v>-0.779190901184844</v>
      </c>
    </row>
    <row r="2205" spans="1:9">
      <c r="A2205" s="1" t="s">
        <v>2217</v>
      </c>
      <c r="B2205">
        <f>HYPERLINK("https://www.suredividend.com/sure-analysis-research-database/","Impinj Inc")</f>
        <v>0</v>
      </c>
      <c r="C2205">
        <v>0.248712569139805</v>
      </c>
      <c r="D2205">
        <v>0.04701743163281601</v>
      </c>
      <c r="E2205">
        <v>-0.252540244320127</v>
      </c>
      <c r="F2205">
        <v>-0.40034804909324</v>
      </c>
      <c r="G2205">
        <v>-0.409967555875991</v>
      </c>
      <c r="H2205">
        <v>-0.159779260780287</v>
      </c>
      <c r="I2205">
        <v>1.929306487695749</v>
      </c>
    </row>
    <row r="2206" spans="1:9">
      <c r="A2206" s="1" t="s">
        <v>2218</v>
      </c>
      <c r="B2206">
        <f>HYPERLINK("https://www.suredividend.com/sure-analysis-PII/","Polaris Inc")</f>
        <v>0</v>
      </c>
      <c r="C2206">
        <v>-0.135814497272018</v>
      </c>
      <c r="D2206">
        <v>-0.331721529039223</v>
      </c>
      <c r="E2206">
        <v>-0.171278202935001</v>
      </c>
      <c r="F2206">
        <v>-0.106320640466849</v>
      </c>
      <c r="G2206">
        <v>-0.096309744674391</v>
      </c>
      <c r="H2206">
        <v>-0.235987651768856</v>
      </c>
      <c r="I2206">
        <v>0.029372512156343</v>
      </c>
    </row>
    <row r="2207" spans="1:9">
      <c r="A2207" s="1" t="s">
        <v>2219</v>
      </c>
      <c r="B2207">
        <f>HYPERLINK("https://www.suredividend.com/sure-analysis-PINC/","Premier Inc")</f>
        <v>0</v>
      </c>
      <c r="C2207">
        <v>-0.084905660377358</v>
      </c>
      <c r="D2207">
        <v>-0.287775436329326</v>
      </c>
      <c r="E2207">
        <v>-0.254282111996063</v>
      </c>
      <c r="F2207">
        <v>-0.4215637457623581</v>
      </c>
      <c r="G2207">
        <v>-0.3624775306191521</v>
      </c>
      <c r="H2207">
        <v>-0.475321162947937</v>
      </c>
      <c r="I2207">
        <v>-0.522860867212671</v>
      </c>
    </row>
    <row r="2208" spans="1:9">
      <c r="A2208" s="1" t="s">
        <v>2220</v>
      </c>
      <c r="B2208">
        <f>HYPERLINK("https://www.suredividend.com/sure-analysis-research-database/","Pinterest Inc")</f>
        <v>0</v>
      </c>
      <c r="C2208">
        <v>0.136094674556213</v>
      </c>
      <c r="D2208">
        <v>0.103052064631956</v>
      </c>
      <c r="E2208">
        <v>0.437529246607393</v>
      </c>
      <c r="F2208">
        <v>0.265238879736408</v>
      </c>
      <c r="G2208">
        <v>0.308347529812606</v>
      </c>
      <c r="H2208">
        <v>-0.307328072153325</v>
      </c>
      <c r="I2208">
        <v>0.259016393442623</v>
      </c>
    </row>
    <row r="2209" spans="1:9">
      <c r="A2209" s="1" t="s">
        <v>2221</v>
      </c>
      <c r="B2209">
        <f>HYPERLINK("https://www.suredividend.com/sure-analysis-research-database/","PJT Partners Inc")</f>
        <v>0</v>
      </c>
      <c r="C2209">
        <v>0.037337045943551</v>
      </c>
      <c r="D2209">
        <v>0.016292170359136</v>
      </c>
      <c r="E2209">
        <v>0.285794294876118</v>
      </c>
      <c r="F2209">
        <v>0.123506172704118</v>
      </c>
      <c r="G2209">
        <v>0.105157130259137</v>
      </c>
      <c r="H2209">
        <v>0.003828658352868</v>
      </c>
      <c r="I2209">
        <v>0.9352690746552</v>
      </c>
    </row>
    <row r="2210" spans="1:9">
      <c r="A2210" s="1" t="s">
        <v>2222</v>
      </c>
      <c r="B2210">
        <f>HYPERLINK("https://www.suredividend.com/sure-analysis-research-database/","Park Hotels &amp; Resorts Inc")</f>
        <v>0</v>
      </c>
      <c r="C2210">
        <v>0.059161873459326</v>
      </c>
      <c r="D2210">
        <v>-0.03373313343328301</v>
      </c>
      <c r="E2210">
        <v>0.06261953439293</v>
      </c>
      <c r="F2210">
        <v>0.121025533987337</v>
      </c>
      <c r="G2210">
        <v>0.07741687423728201</v>
      </c>
      <c r="H2210">
        <v>-0.304997654569276</v>
      </c>
      <c r="I2210">
        <v>-0.459262180234753</v>
      </c>
    </row>
    <row r="2211" spans="1:9">
      <c r="A2211" s="1" t="s">
        <v>2223</v>
      </c>
      <c r="B2211">
        <f>HYPERLINK("https://www.suredividend.com/sure-analysis-research-database/","Parke Bancorp Inc")</f>
        <v>0</v>
      </c>
      <c r="C2211">
        <v>0.073110285006195</v>
      </c>
      <c r="D2211">
        <v>-0.021081783756287</v>
      </c>
      <c r="E2211">
        <v>0.106560780981465</v>
      </c>
      <c r="F2211">
        <v>-0.101720319687987</v>
      </c>
      <c r="G2211">
        <v>-0.123690215383992</v>
      </c>
      <c r="H2211">
        <v>-0.16190439322749</v>
      </c>
      <c r="I2211">
        <v>0.181389701719563</v>
      </c>
    </row>
    <row r="2212" spans="1:9">
      <c r="A2212" s="1" t="s">
        <v>2224</v>
      </c>
      <c r="B2212">
        <f>HYPERLINK("https://www.suredividend.com/sure-analysis-research-database/","Park Aerospace Corp")</f>
        <v>0</v>
      </c>
      <c r="C2212">
        <v>-0.041343669250646</v>
      </c>
      <c r="D2212">
        <v>0.013460448408443</v>
      </c>
      <c r="E2212">
        <v>0.138255033557046</v>
      </c>
      <c r="F2212">
        <v>0.226760575023353</v>
      </c>
      <c r="G2212">
        <v>0.346214904522157</v>
      </c>
      <c r="H2212">
        <v>0.272247179452007</v>
      </c>
      <c r="I2212">
        <v>0.3362387221091681</v>
      </c>
    </row>
    <row r="2213" spans="1:9">
      <c r="A2213" s="1" t="s">
        <v>2225</v>
      </c>
      <c r="B2213">
        <f>HYPERLINK("https://www.suredividend.com/sure-analysis-PKG/","Packaging Corp Of America")</f>
        <v>0</v>
      </c>
      <c r="C2213">
        <v>0.013961377870563</v>
      </c>
      <c r="D2213">
        <v>0.013500515488455</v>
      </c>
      <c r="E2213">
        <v>0.184773427899729</v>
      </c>
      <c r="F2213">
        <v>0.248960338156292</v>
      </c>
      <c r="G2213">
        <v>0.36048228755704</v>
      </c>
      <c r="H2213">
        <v>0.247725041284429</v>
      </c>
      <c r="I2213">
        <v>0.9277999116848831</v>
      </c>
    </row>
    <row r="2214" spans="1:9">
      <c r="A2214" s="1" t="s">
        <v>2226</v>
      </c>
      <c r="B2214">
        <f>HYPERLINK("https://www.suredividend.com/sure-analysis-research-database/","Revvity Inc.")</f>
        <v>0</v>
      </c>
      <c r="C2214">
        <v>-0.159072732473627</v>
      </c>
      <c r="D2214">
        <v>-0.148011867505642</v>
      </c>
      <c r="E2214">
        <v>-0.189200978812563</v>
      </c>
      <c r="F2214">
        <v>-0.177289653439334</v>
      </c>
      <c r="G2214">
        <v>-0.22292230841434</v>
      </c>
      <c r="H2214">
        <v>-0.19423518767384</v>
      </c>
      <c r="I2214">
        <v>0.580362040592429</v>
      </c>
    </row>
    <row r="2215" spans="1:9">
      <c r="A2215" s="1" t="s">
        <v>2227</v>
      </c>
      <c r="B2215">
        <f>HYPERLINK("https://www.suredividend.com/sure-analysis-research-database/","Park-Ohio Holdings Corp.")</f>
        <v>0</v>
      </c>
      <c r="C2215">
        <v>0.359199609565642</v>
      </c>
      <c r="D2215">
        <v>0.4341993459844991</v>
      </c>
      <c r="E2215">
        <v>1.212529990307768</v>
      </c>
      <c r="F2215">
        <v>1.371686239110256</v>
      </c>
      <c r="G2215">
        <v>1.511112914423796</v>
      </c>
      <c r="H2215">
        <v>0.229634862466334</v>
      </c>
      <c r="I2215">
        <v>-0.08157645669888501</v>
      </c>
    </row>
    <row r="2216" spans="1:9">
      <c r="A2216" s="1" t="s">
        <v>2228</v>
      </c>
      <c r="B2216">
        <f>HYPERLINK("https://www.suredividend.com/sure-analysis-research-database/","Photronics, Inc.")</f>
        <v>0</v>
      </c>
      <c r="C2216">
        <v>-0.058099458394879</v>
      </c>
      <c r="D2216">
        <v>-0.266487730061349</v>
      </c>
      <c r="E2216">
        <v>0.329395413481584</v>
      </c>
      <c r="F2216">
        <v>0.136660724896019</v>
      </c>
      <c r="G2216">
        <v>0.171463563992651</v>
      </c>
      <c r="H2216">
        <v>0.41808747220163</v>
      </c>
      <c r="I2216">
        <v>0.879174852652259</v>
      </c>
    </row>
    <row r="2217" spans="1:9">
      <c r="A2217" s="1" t="s">
        <v>2229</v>
      </c>
      <c r="B2217">
        <f>HYPERLINK("https://www.suredividend.com/sure-analysis-research-database/","Anaplan Inc")</f>
        <v>0</v>
      </c>
      <c r="C2217">
        <v>-0.019689278572527</v>
      </c>
      <c r="D2217">
        <v>-0.013467492260061</v>
      </c>
      <c r="E2217">
        <v>0.400967245548472</v>
      </c>
      <c r="F2217">
        <v>0.389967284623773</v>
      </c>
      <c r="G2217">
        <v>0.168500183351668</v>
      </c>
      <c r="H2217">
        <v>0.341119528619528</v>
      </c>
      <c r="I2217">
        <v>1.622633744855967</v>
      </c>
    </row>
    <row r="2218" spans="1:9">
      <c r="A2218" s="1" t="s">
        <v>2230</v>
      </c>
      <c r="B2218">
        <f>HYPERLINK("https://www.suredividend.com/sure-analysis-research-database/","Dave &amp; Buster`s Entertainment Inc")</f>
        <v>0</v>
      </c>
      <c r="C2218">
        <v>-0.052046625101653</v>
      </c>
      <c r="D2218">
        <v>-0.205407861849579</v>
      </c>
      <c r="E2218">
        <v>0.01157072606306</v>
      </c>
      <c r="F2218">
        <v>-0.013261851015801</v>
      </c>
      <c r="G2218">
        <v>-0.026176552492341</v>
      </c>
      <c r="H2218">
        <v>-0.053841991341991</v>
      </c>
      <c r="I2218">
        <v>-0.413792062975864</v>
      </c>
    </row>
    <row r="2219" spans="1:9">
      <c r="A2219" s="1" t="s">
        <v>2231</v>
      </c>
      <c r="B2219">
        <f>HYPERLINK("https://www.suredividend.com/sure-analysis-research-database/","Plumas Bancorp.")</f>
        <v>0</v>
      </c>
      <c r="C2219">
        <v>0.030741791210873</v>
      </c>
      <c r="D2219">
        <v>-0.03610865786498201</v>
      </c>
      <c r="E2219">
        <v>-0.007394577309972001</v>
      </c>
      <c r="F2219">
        <v>-0.028980415268836</v>
      </c>
      <c r="G2219">
        <v>0.08525609763821401</v>
      </c>
      <c r="H2219">
        <v>-0.01804876231737</v>
      </c>
      <c r="I2219">
        <v>0.494652919523386</v>
      </c>
    </row>
    <row r="2220" spans="1:9">
      <c r="A2220" s="1" t="s">
        <v>2232</v>
      </c>
      <c r="B2220">
        <f>HYPERLINK("https://www.suredividend.com/sure-analysis-research-database/","Childrens Place Inc")</f>
        <v>0</v>
      </c>
      <c r="C2220">
        <v>-0.010630220197418</v>
      </c>
      <c r="D2220">
        <v>-0.169799299139853</v>
      </c>
      <c r="E2220">
        <v>-0.047862623310193</v>
      </c>
      <c r="F2220">
        <v>-0.28445908841296</v>
      </c>
      <c r="G2220">
        <v>-0.319226750261233</v>
      </c>
      <c r="H2220">
        <v>-0.713815066988798</v>
      </c>
      <c r="I2220">
        <v>-0.8294838516758151</v>
      </c>
    </row>
    <row r="2221" spans="1:9">
      <c r="A2221" s="1" t="s">
        <v>2233</v>
      </c>
      <c r="B2221">
        <f>HYPERLINK("https://www.suredividend.com/sure-analysis-PLD/","Prologis Inc")</f>
        <v>0</v>
      </c>
      <c r="C2221">
        <v>-0.043652968036529</v>
      </c>
      <c r="D2221">
        <v>-0.147331951846076</v>
      </c>
      <c r="E2221">
        <v>-0.132807486077469</v>
      </c>
      <c r="F2221">
        <v>-0.050924016824528</v>
      </c>
      <c r="G2221">
        <v>0.009057621892464</v>
      </c>
      <c r="H2221">
        <v>-0.250711223304083</v>
      </c>
      <c r="I2221">
        <v>0.8466595424262621</v>
      </c>
    </row>
    <row r="2222" spans="1:9">
      <c r="A2222" s="1" t="s">
        <v>2234</v>
      </c>
      <c r="B2222">
        <f>HYPERLINK("https://www.suredividend.com/sure-analysis-research-database/","Planet Fitness Inc")</f>
        <v>0</v>
      </c>
      <c r="C2222">
        <v>0.148040638606676</v>
      </c>
      <c r="D2222">
        <v>-0.164226415094339</v>
      </c>
      <c r="E2222">
        <v>-0.329904393077574</v>
      </c>
      <c r="F2222">
        <v>-0.29733502538071</v>
      </c>
      <c r="G2222">
        <v>-0.135384134915677</v>
      </c>
      <c r="H2222">
        <v>-0.328604340972474</v>
      </c>
      <c r="I2222">
        <v>0.146614205839718</v>
      </c>
    </row>
    <row r="2223" spans="1:9">
      <c r="A2223" s="1" t="s">
        <v>2235</v>
      </c>
      <c r="B2223">
        <f>HYPERLINK("https://www.suredividend.com/sure-analysis-research-database/","Douglas Dynamics Inc")</f>
        <v>0</v>
      </c>
      <c r="C2223">
        <v>-0.120948880721683</v>
      </c>
      <c r="D2223">
        <v>-0.173968873916442</v>
      </c>
      <c r="E2223">
        <v>-0.010909692408327</v>
      </c>
      <c r="F2223">
        <v>-0.251269938388423</v>
      </c>
      <c r="G2223">
        <v>-0.24466008268259</v>
      </c>
      <c r="H2223">
        <v>-0.310957117490846</v>
      </c>
      <c r="I2223">
        <v>-0.30143271344669</v>
      </c>
    </row>
    <row r="2224" spans="1:9">
      <c r="A2224" s="1" t="s">
        <v>2236</v>
      </c>
      <c r="B2224">
        <f>HYPERLINK("https://www.suredividend.com/sure-analysis-research-database/","Preformed Line Products Co.")</f>
        <v>0</v>
      </c>
      <c r="C2224">
        <v>-0.305847548309939</v>
      </c>
      <c r="D2224">
        <v>-0.38066829193504</v>
      </c>
      <c r="E2224">
        <v>-0.143465624451462</v>
      </c>
      <c r="F2224">
        <v>0.336090807651627</v>
      </c>
      <c r="G2224">
        <v>0.347252169982469</v>
      </c>
      <c r="H2224">
        <v>0.6678664980853111</v>
      </c>
      <c r="I2224">
        <v>0.8494263726054131</v>
      </c>
    </row>
    <row r="2225" spans="1:9">
      <c r="A2225" s="1" t="s">
        <v>2237</v>
      </c>
      <c r="B2225">
        <f>HYPERLINK("https://www.suredividend.com/sure-analysis-research-database/","Pulse Biosciences Inc")</f>
        <v>0</v>
      </c>
      <c r="C2225">
        <v>0.107274969173859</v>
      </c>
      <c r="D2225">
        <v>-0.379834254143646</v>
      </c>
      <c r="E2225">
        <v>-0.371148459383753</v>
      </c>
      <c r="F2225">
        <v>0.620938628158844</v>
      </c>
      <c r="G2225">
        <v>1.158653846153846</v>
      </c>
      <c r="H2225">
        <v>-0.8039301310043661</v>
      </c>
      <c r="I2225">
        <v>-0.6758122743682311</v>
      </c>
    </row>
    <row r="2226" spans="1:9">
      <c r="A2226" s="1" t="s">
        <v>2238</v>
      </c>
      <c r="B2226">
        <f>HYPERLINK("https://www.suredividend.com/sure-analysis-research-database/","Plug Power Inc")</f>
        <v>0</v>
      </c>
      <c r="C2226">
        <v>-0.081318681318681</v>
      </c>
      <c r="D2226">
        <v>-0.4618025751072961</v>
      </c>
      <c r="E2226">
        <v>-0.270081490104773</v>
      </c>
      <c r="F2226">
        <v>-0.493128536782538</v>
      </c>
      <c r="G2226">
        <v>-0.574048913043478</v>
      </c>
      <c r="H2226">
        <v>-0.8479262672811061</v>
      </c>
      <c r="I2226">
        <v>2.3</v>
      </c>
    </row>
    <row r="2227" spans="1:9">
      <c r="A2227" s="1" t="s">
        <v>2239</v>
      </c>
      <c r="B2227">
        <f>HYPERLINK("https://www.suredividend.com/sure-analysis-research-database/","ePlus Inc")</f>
        <v>0</v>
      </c>
      <c r="C2227">
        <v>-0.014387376237623</v>
      </c>
      <c r="D2227">
        <v>0.093921703296703</v>
      </c>
      <c r="E2227">
        <v>0.4819725517562221</v>
      </c>
      <c r="F2227">
        <v>0.438798554652213</v>
      </c>
      <c r="G2227">
        <v>0.34778929553628</v>
      </c>
      <c r="H2227">
        <v>0.124327186093708</v>
      </c>
      <c r="I2227">
        <v>0.463420236591248</v>
      </c>
    </row>
    <row r="2228" spans="1:9">
      <c r="A2228" s="1" t="s">
        <v>2240</v>
      </c>
      <c r="B2228">
        <f>HYPERLINK("https://www.suredividend.com/sure-analysis-research-database/","PLx Pharma Inc.")</f>
        <v>0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</row>
    <row r="2229" spans="1:9">
      <c r="A2229" s="1" t="s">
        <v>2241</v>
      </c>
      <c r="B2229">
        <f>HYPERLINK("https://www.suredividend.com/sure-analysis-research-database/","Plexus Corp.")</f>
        <v>0</v>
      </c>
      <c r="C2229">
        <v>0.044904083163648</v>
      </c>
      <c r="D2229">
        <v>0.001335113484646</v>
      </c>
      <c r="E2229">
        <v>0.119146005509641</v>
      </c>
      <c r="F2229">
        <v>-0.052754299038181</v>
      </c>
      <c r="G2229">
        <v>-0.026265854389293</v>
      </c>
      <c r="H2229">
        <v>0.08804820890525601</v>
      </c>
      <c r="I2229">
        <v>0.620139581256231</v>
      </c>
    </row>
    <row r="2230" spans="1:9">
      <c r="A2230" s="1" t="s">
        <v>2242</v>
      </c>
      <c r="B2230">
        <f>HYPERLINK("https://www.suredividend.com/sure-analysis-research-database/","Playa Hotels &amp; Resorts N.V.")</f>
        <v>0</v>
      </c>
      <c r="C2230">
        <v>0.007012622720897001</v>
      </c>
      <c r="D2230">
        <v>-0.101376720901126</v>
      </c>
      <c r="E2230">
        <v>-0.247379454926624</v>
      </c>
      <c r="F2230">
        <v>0.09954058192955501</v>
      </c>
      <c r="G2230">
        <v>0.198664440734557</v>
      </c>
      <c r="H2230">
        <v>-0.180365296803652</v>
      </c>
      <c r="I2230">
        <v>-0.207505518763796</v>
      </c>
    </row>
    <row r="2231" spans="1:9">
      <c r="A2231" s="1" t="s">
        <v>2243</v>
      </c>
      <c r="B2231">
        <f>HYPERLINK("https://www.suredividend.com/sure-analysis-PLYM/","Plymouth Industrial Reit Inc")</f>
        <v>0</v>
      </c>
      <c r="C2231">
        <v>0.008716707021791</v>
      </c>
      <c r="D2231">
        <v>-0.06911684527586801</v>
      </c>
      <c r="E2231">
        <v>0.076741757730519</v>
      </c>
      <c r="F2231">
        <v>0.121134159337761</v>
      </c>
      <c r="G2231">
        <v>0.1955461172014</v>
      </c>
      <c r="H2231">
        <v>-0.124521386811921</v>
      </c>
      <c r="I2231">
        <v>1.082770895201528</v>
      </c>
    </row>
    <row r="2232" spans="1:9">
      <c r="A2232" s="1" t="s">
        <v>2244</v>
      </c>
      <c r="B2232">
        <f>HYPERLINK("https://www.suredividend.com/sure-analysis-PM/","Philip Morris International Inc")</f>
        <v>0</v>
      </c>
      <c r="C2232">
        <v>-0.005141669401597</v>
      </c>
      <c r="D2232">
        <v>-0.058411807644321</v>
      </c>
      <c r="E2232">
        <v>-0.035693343272598</v>
      </c>
      <c r="F2232">
        <v>-0.064244444787438</v>
      </c>
      <c r="G2232">
        <v>0.07311305447812801</v>
      </c>
      <c r="H2232">
        <v>0.07607293725077201</v>
      </c>
      <c r="I2232">
        <v>0.356975201703456</v>
      </c>
    </row>
    <row r="2233" spans="1:9">
      <c r="A2233" s="1" t="s">
        <v>2245</v>
      </c>
      <c r="B2233">
        <f>HYPERLINK("https://www.suredividend.com/sure-analysis-research-database/","Pacific Mercantile Bancorp")</f>
        <v>0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</row>
    <row r="2234" spans="1:9">
      <c r="A2234" s="1" t="s">
        <v>2246</v>
      </c>
      <c r="B2234">
        <f>HYPERLINK("https://www.suredividend.com/sure-analysis-research-database/","Psychemedics Corp.")</f>
        <v>0</v>
      </c>
      <c r="C2234">
        <v>-0.336043360433604</v>
      </c>
      <c r="D2234">
        <v>-0.5104895104895101</v>
      </c>
      <c r="E2234">
        <v>-0.546010451024719</v>
      </c>
      <c r="F2234">
        <v>-0.479410139815562</v>
      </c>
      <c r="G2234">
        <v>-0.599182004089979</v>
      </c>
      <c r="H2234">
        <v>-0.6817603200581921</v>
      </c>
      <c r="I2234">
        <v>-0.8354434630755281</v>
      </c>
    </row>
    <row r="2235" spans="1:9">
      <c r="A2235" s="1" t="s">
        <v>2247</v>
      </c>
      <c r="B2235">
        <f>HYPERLINK("https://www.suredividend.com/sure-analysis-PMT/","Pennymac Mortgage Investment Trust")</f>
        <v>0</v>
      </c>
      <c r="C2235">
        <v>0.142501746553751</v>
      </c>
      <c r="D2235">
        <v>0.09726461178434301</v>
      </c>
      <c r="E2235">
        <v>0.211217992141986</v>
      </c>
      <c r="F2235">
        <v>0.189979678945079</v>
      </c>
      <c r="G2235">
        <v>0.128056730906735</v>
      </c>
      <c r="H2235">
        <v>-0.137919950628077</v>
      </c>
      <c r="I2235">
        <v>0.120478605626624</v>
      </c>
    </row>
    <row r="2236" spans="1:9">
      <c r="A2236" s="1" t="s">
        <v>2248</v>
      </c>
      <c r="B2236">
        <f>HYPERLINK("https://www.suredividend.com/sure-analysis-research-database/","CPI Card Group Inc")</f>
        <v>0</v>
      </c>
      <c r="C2236">
        <v>-0.09386869234943</v>
      </c>
      <c r="D2236">
        <v>-0.315293152931529</v>
      </c>
      <c r="E2236">
        <v>-0.5651041666666661</v>
      </c>
      <c r="F2236">
        <v>-0.5371396895787131</v>
      </c>
      <c r="G2236">
        <v>-0.239526411657559</v>
      </c>
      <c r="H2236">
        <v>-0.451199474203089</v>
      </c>
      <c r="I2236">
        <v>4.566666666666666</v>
      </c>
    </row>
    <row r="2237" spans="1:9">
      <c r="A2237" s="1" t="s">
        <v>2249</v>
      </c>
      <c r="B2237">
        <f>HYPERLINK("https://www.suredividend.com/sure-analysis-research-database/","Patriot National Bancorp Inc")</f>
        <v>0</v>
      </c>
      <c r="C2237">
        <v>-0.12330623306233</v>
      </c>
      <c r="D2237">
        <v>-0.273033707865168</v>
      </c>
      <c r="E2237">
        <v>-0.196273291925465</v>
      </c>
      <c r="F2237">
        <v>-0.389622641509433</v>
      </c>
      <c r="G2237">
        <v>-0.361932938856015</v>
      </c>
      <c r="H2237">
        <v>-0.337768679631525</v>
      </c>
      <c r="I2237">
        <v>-0.6820341948388301</v>
      </c>
    </row>
    <row r="2238" spans="1:9">
      <c r="A2238" s="1" t="s">
        <v>2250</v>
      </c>
      <c r="B2238">
        <f>HYPERLINK("https://www.suredividend.com/sure-analysis-PNC/","PNC Financial Services Group Inc")</f>
        <v>0</v>
      </c>
      <c r="C2238">
        <v>0.011859482816118</v>
      </c>
      <c r="D2238">
        <v>-0.09451701152082601</v>
      </c>
      <c r="E2238">
        <v>0.031653736204805</v>
      </c>
      <c r="F2238">
        <v>-0.205022585716275</v>
      </c>
      <c r="G2238">
        <v>-0.208979289579581</v>
      </c>
      <c r="H2238">
        <v>-0.382346711440732</v>
      </c>
      <c r="I2238">
        <v>0.102765609171034</v>
      </c>
    </row>
    <row r="2239" spans="1:9">
      <c r="A2239" s="1" t="s">
        <v>2251</v>
      </c>
      <c r="B2239">
        <f>HYPERLINK("https://www.suredividend.com/sure-analysis-research-database/","Pinnacle Financial Partners Inc.")</f>
        <v>0</v>
      </c>
      <c r="C2239">
        <v>0.024645243810883</v>
      </c>
      <c r="D2239">
        <v>-0.08598972306852801</v>
      </c>
      <c r="E2239">
        <v>0.364031759545446</v>
      </c>
      <c r="F2239">
        <v>-0.07343382658000201</v>
      </c>
      <c r="G2239">
        <v>-0.155259980744053</v>
      </c>
      <c r="H2239">
        <v>-0.308630393996247</v>
      </c>
      <c r="I2239">
        <v>0.333523654815803</v>
      </c>
    </row>
    <row r="2240" spans="1:9">
      <c r="A2240" s="1" t="s">
        <v>2252</v>
      </c>
      <c r="B2240">
        <f>HYPERLINK("https://www.suredividend.com/sure-analysis-PNM/","PNM Resources Inc")</f>
        <v>0</v>
      </c>
      <c r="C2240">
        <v>-0.022128585586272</v>
      </c>
      <c r="D2240">
        <v>-0.027332575052562</v>
      </c>
      <c r="E2240">
        <v>-0.10425589544785</v>
      </c>
      <c r="F2240">
        <v>-0.104445403539059</v>
      </c>
      <c r="G2240">
        <v>-0.06356394334041901</v>
      </c>
      <c r="H2240">
        <v>-0.070785387205682</v>
      </c>
      <c r="I2240">
        <v>0.275576314599969</v>
      </c>
    </row>
    <row r="2241" spans="1:9">
      <c r="A2241" s="1" t="s">
        <v>2253</v>
      </c>
      <c r="B2241">
        <f>HYPERLINK("https://www.suredividend.com/sure-analysis-PNR/","Pentair plc")</f>
        <v>0</v>
      </c>
      <c r="C2241">
        <v>-0.048886657414468</v>
      </c>
      <c r="D2241">
        <v>-0.124000977210065</v>
      </c>
      <c r="E2241">
        <v>0.048469068073908</v>
      </c>
      <c r="F2241">
        <v>0.360061952357192</v>
      </c>
      <c r="G2241">
        <v>0.5146219856533311</v>
      </c>
      <c r="H2241">
        <v>-0.16654214607096</v>
      </c>
      <c r="I2241">
        <v>0.56926491505025</v>
      </c>
    </row>
    <row r="2242" spans="1:9">
      <c r="A2242" s="1" t="s">
        <v>2254</v>
      </c>
      <c r="B2242">
        <f>HYPERLINK("https://www.suredividend.com/sure-analysis-research-database/","PrimeEnergy Resources Corp")</f>
        <v>0</v>
      </c>
      <c r="C2242">
        <v>-0.03587443946188301</v>
      </c>
      <c r="D2242">
        <v>0.139978791092258</v>
      </c>
      <c r="E2242">
        <v>0.27505633969873</v>
      </c>
      <c r="F2242">
        <v>0.237481293887418</v>
      </c>
      <c r="G2242">
        <v>0.423841059602648</v>
      </c>
      <c r="H2242">
        <v>0.556842867487328</v>
      </c>
      <c r="I2242">
        <v>0.380679731107805</v>
      </c>
    </row>
    <row r="2243" spans="1:9">
      <c r="A2243" s="1" t="s">
        <v>2255</v>
      </c>
      <c r="B2243">
        <f>HYPERLINK("https://www.suredividend.com/sure-analysis-PNW/","Pinnacle West Capital Corp.")</f>
        <v>0</v>
      </c>
      <c r="C2243">
        <v>0.06735390797498</v>
      </c>
      <c r="D2243">
        <v>-0.07871660087238101</v>
      </c>
      <c r="E2243">
        <v>-0.020094770666718</v>
      </c>
      <c r="F2243">
        <v>0.034019332323661</v>
      </c>
      <c r="G2243">
        <v>0.168477078138892</v>
      </c>
      <c r="H2243">
        <v>0.289683901340983</v>
      </c>
      <c r="I2243">
        <v>0.122134578524043</v>
      </c>
    </row>
    <row r="2244" spans="1:9">
      <c r="A2244" s="1" t="s">
        <v>2256</v>
      </c>
      <c r="B2244">
        <f>HYPERLINK("https://www.suredividend.com/sure-analysis-research-database/","Predictive Oncology Inc")</f>
        <v>0</v>
      </c>
      <c r="C2244">
        <v>0.074249605055292</v>
      </c>
      <c r="D2244">
        <v>-0.380692167577413</v>
      </c>
      <c r="E2244">
        <v>0.137123745819397</v>
      </c>
      <c r="F2244">
        <v>-0.445531637312459</v>
      </c>
      <c r="G2244">
        <v>-0.350152905198776</v>
      </c>
      <c r="H2244">
        <v>-0.8671875</v>
      </c>
      <c r="I2244">
        <v>2.908045977011494</v>
      </c>
    </row>
    <row r="2245" spans="1:9">
      <c r="A2245" s="1" t="s">
        <v>2257</v>
      </c>
      <c r="B2245">
        <f>HYPERLINK("https://www.suredividend.com/sure-analysis-research-database/","Insulet Corporation")</f>
        <v>0</v>
      </c>
      <c r="C2245">
        <v>-0.149054774600096</v>
      </c>
      <c r="D2245">
        <v>-0.477413113046066</v>
      </c>
      <c r="E2245">
        <v>-0.5539321560157541</v>
      </c>
      <c r="F2245">
        <v>-0.5229457522334311</v>
      </c>
      <c r="G2245">
        <v>-0.463354986625907</v>
      </c>
      <c r="H2245">
        <v>-0.5511091222911201</v>
      </c>
      <c r="I2245">
        <v>0.586354907940811</v>
      </c>
    </row>
    <row r="2246" spans="1:9">
      <c r="A2246" s="1" t="s">
        <v>2258</v>
      </c>
      <c r="B2246">
        <f>HYPERLINK("https://www.suredividend.com/sure-analysis-research-database/","Polished.com Inc")</f>
        <v>0</v>
      </c>
      <c r="C2246">
        <v>-0.561904761904761</v>
      </c>
      <c r="D2246">
        <v>-0.802150537634408</v>
      </c>
      <c r="E2246">
        <v>-0.9202772963604851</v>
      </c>
      <c r="F2246">
        <v>-0.9362991171888521</v>
      </c>
      <c r="G2246">
        <v>-0.9380053908355791</v>
      </c>
      <c r="H2246">
        <v>-0.396721311475409</v>
      </c>
      <c r="I2246">
        <v>-0.793258426966292</v>
      </c>
    </row>
    <row r="2247" spans="1:9">
      <c r="A2247" s="1" t="s">
        <v>2259</v>
      </c>
      <c r="B2247">
        <f>HYPERLINK("https://www.suredividend.com/sure-analysis-POOL/","Pool Corporation")</f>
        <v>0</v>
      </c>
      <c r="C2247">
        <v>-0.06524355300859501</v>
      </c>
      <c r="D2247">
        <v>-0.138844240963117</v>
      </c>
      <c r="E2247">
        <v>-0.050773423401666</v>
      </c>
      <c r="F2247">
        <v>0.09228636163809101</v>
      </c>
      <c r="G2247">
        <v>0.121934695098779</v>
      </c>
      <c r="H2247">
        <v>-0.351672311023995</v>
      </c>
      <c r="I2247">
        <v>1.369805268154911</v>
      </c>
    </row>
    <row r="2248" spans="1:9">
      <c r="A2248" s="1" t="s">
        <v>2260</v>
      </c>
      <c r="B2248">
        <f>HYPERLINK("https://www.suredividend.com/sure-analysis-POR/","Portland General Electric Co")</f>
        <v>0</v>
      </c>
      <c r="C2248">
        <v>0.07275064267352101</v>
      </c>
      <c r="D2248">
        <v>-0.115766187644882</v>
      </c>
      <c r="E2248">
        <v>-0.144108851797309</v>
      </c>
      <c r="F2248">
        <v>-0.12137749816822</v>
      </c>
      <c r="G2248">
        <v>-0.030398505517178</v>
      </c>
      <c r="H2248">
        <v>-0.09913021702477601</v>
      </c>
      <c r="I2248">
        <v>0.112915743237296</v>
      </c>
    </row>
    <row r="2249" spans="1:9">
      <c r="A2249" s="1" t="s">
        <v>2261</v>
      </c>
      <c r="B2249">
        <f>HYPERLINK("https://www.suredividend.com/sure-analysis-research-database/","Post Holdings Inc")</f>
        <v>0</v>
      </c>
      <c r="C2249">
        <v>-0.025271610769957</v>
      </c>
      <c r="D2249">
        <v>-0.026995166804196</v>
      </c>
      <c r="E2249">
        <v>-0.08583453317089301</v>
      </c>
      <c r="F2249">
        <v>-0.08553068912031901</v>
      </c>
      <c r="G2249">
        <v>-0.07310499719258801</v>
      </c>
      <c r="H2249">
        <v>0.183041824986061</v>
      </c>
      <c r="I2249">
        <v>0.365028544212107</v>
      </c>
    </row>
    <row r="2250" spans="1:9">
      <c r="A2250" s="1" t="s">
        <v>2262</v>
      </c>
      <c r="B2250">
        <f>HYPERLINK("https://www.suredividend.com/sure-analysis-research-database/","Power Integrations Inc.")</f>
        <v>0</v>
      </c>
      <c r="C2250">
        <v>-0.06787389265242301</v>
      </c>
      <c r="D2250">
        <v>-0.212321038349121</v>
      </c>
      <c r="E2250">
        <v>-0.04345175547658901</v>
      </c>
      <c r="F2250">
        <v>0.008752389706919</v>
      </c>
      <c r="G2250">
        <v>0.09281187904076901</v>
      </c>
      <c r="H2250">
        <v>-0.28520835851671</v>
      </c>
      <c r="I2250">
        <v>1.549538731252605</v>
      </c>
    </row>
    <row r="2251" spans="1:9">
      <c r="A2251" s="1" t="s">
        <v>2263</v>
      </c>
      <c r="B2251">
        <f>HYPERLINK("https://www.suredividend.com/sure-analysis-research-database/","Powell Industries, Inc.")</f>
        <v>0</v>
      </c>
      <c r="C2251">
        <v>-0.057689991569312</v>
      </c>
      <c r="D2251">
        <v>-0.07936044732915601</v>
      </c>
      <c r="E2251">
        <v>0.9701902956040881</v>
      </c>
      <c r="F2251">
        <v>1.272971567519515</v>
      </c>
      <c r="G2251">
        <v>2.169215189873417</v>
      </c>
      <c r="H2251">
        <v>2.208871973226589</v>
      </c>
      <c r="I2251">
        <v>2.069041669772057</v>
      </c>
    </row>
    <row r="2252" spans="1:9">
      <c r="A2252" s="1" t="s">
        <v>2264</v>
      </c>
      <c r="B2252">
        <f>HYPERLINK("https://www.suredividend.com/sure-analysis-research-database/","Pacific Premier Bancorp, Inc.")</f>
        <v>0</v>
      </c>
      <c r="C2252">
        <v>-0.004895390174252</v>
      </c>
      <c r="D2252">
        <v>-0.132492781357697</v>
      </c>
      <c r="E2252">
        <v>0.162296002586661</v>
      </c>
      <c r="F2252">
        <v>-0.278094083824234</v>
      </c>
      <c r="G2252">
        <v>-0.354944324989689</v>
      </c>
      <c r="H2252">
        <v>-0.451039648922574</v>
      </c>
      <c r="I2252">
        <v>-0.144353316518282</v>
      </c>
    </row>
    <row r="2253" spans="1:9">
      <c r="A2253" s="1" t="s">
        <v>2265</v>
      </c>
      <c r="B2253">
        <f>HYPERLINK("https://www.suredividend.com/sure-analysis-research-database/","Pilgrim`s Pride Corp.")</f>
        <v>0</v>
      </c>
      <c r="C2253">
        <v>0.134692069118298</v>
      </c>
      <c r="D2253">
        <v>0.034747474747474</v>
      </c>
      <c r="E2253">
        <v>0.176389526871842</v>
      </c>
      <c r="F2253">
        <v>0.07922461019806101</v>
      </c>
      <c r="G2253">
        <v>0.052609946568022</v>
      </c>
      <c r="H2253">
        <v>-0.09473312124425501</v>
      </c>
      <c r="I2253">
        <v>0.367325146823278</v>
      </c>
    </row>
    <row r="2254" spans="1:9">
      <c r="A2254" s="1" t="s">
        <v>2266</v>
      </c>
      <c r="B2254">
        <f>HYPERLINK("https://www.suredividend.com/sure-analysis-PPG/","PPG Industries, Inc.")</f>
        <v>0</v>
      </c>
      <c r="C2254">
        <v>-0.034397464636314</v>
      </c>
      <c r="D2254">
        <v>-0.11484045232985</v>
      </c>
      <c r="E2254">
        <v>-0.097043924779682</v>
      </c>
      <c r="F2254">
        <v>0.007252021035215</v>
      </c>
      <c r="G2254">
        <v>0.156702010339204</v>
      </c>
      <c r="H2254">
        <v>-0.200013832613845</v>
      </c>
      <c r="I2254">
        <v>0.274223195105481</v>
      </c>
    </row>
    <row r="2255" spans="1:9">
      <c r="A2255" s="1" t="s">
        <v>2267</v>
      </c>
      <c r="B2255">
        <f>HYPERLINK("https://www.suredividend.com/sure-analysis-research-database/","Perma-Pipe International Holdings Inc")</f>
        <v>0</v>
      </c>
      <c r="C2255">
        <v>-0.140127388535031</v>
      </c>
      <c r="D2255">
        <v>-0.212368728121353</v>
      </c>
      <c r="E2255">
        <v>-0.372093023255814</v>
      </c>
      <c r="F2255">
        <v>-0.285714285714285</v>
      </c>
      <c r="G2255">
        <v>-0.286469344608879</v>
      </c>
      <c r="H2255">
        <v>-0.219653179190751</v>
      </c>
      <c r="I2255">
        <v>-0.248329621380846</v>
      </c>
    </row>
    <row r="2256" spans="1:9">
      <c r="A2256" s="1" t="s">
        <v>2268</v>
      </c>
      <c r="B2256">
        <f>HYPERLINK("https://www.suredividend.com/sure-analysis-PPL/","PPL Corp")</f>
        <v>0</v>
      </c>
      <c r="C2256">
        <v>0.112195121951219</v>
      </c>
      <c r="D2256">
        <v>-0.07321183096093301</v>
      </c>
      <c r="E2256">
        <v>-0.103286519264323</v>
      </c>
      <c r="F2256">
        <v>-0.117538396579933</v>
      </c>
      <c r="G2256">
        <v>-0.005081699929784</v>
      </c>
      <c r="H2256">
        <v>-0.07647099979010701</v>
      </c>
      <c r="I2256">
        <v>0.032540675844805</v>
      </c>
    </row>
    <row r="2257" spans="1:9">
      <c r="A2257" s="1" t="s">
        <v>2269</v>
      </c>
      <c r="B2257">
        <f>HYPERLINK("https://www.suredividend.com/sure-analysis-research-database/","Pioneer Power Solutions Inc")</f>
        <v>0</v>
      </c>
      <c r="C2257">
        <v>-0.07006369426751601</v>
      </c>
      <c r="D2257">
        <v>-0.23056653491436</v>
      </c>
      <c r="E2257">
        <v>0.09981167608286201</v>
      </c>
      <c r="F2257">
        <v>1.17910447761194</v>
      </c>
      <c r="G2257">
        <v>0.7696969696969691</v>
      </c>
      <c r="H2257">
        <v>0.7537537537537531</v>
      </c>
      <c r="I2257">
        <v>0.181229773462783</v>
      </c>
    </row>
    <row r="2258" spans="1:9">
      <c r="A2258" s="1" t="s">
        <v>2270</v>
      </c>
      <c r="B2258">
        <f>HYPERLINK("https://www.suredividend.com/sure-analysis-research-database/","Proassurance Corporation")</f>
        <v>0</v>
      </c>
      <c r="C2258">
        <v>-0.035577449370552</v>
      </c>
      <c r="D2258">
        <v>0.053827751196172</v>
      </c>
      <c r="E2258">
        <v>-0.029201101928374</v>
      </c>
      <c r="F2258">
        <v>0.011440412842193</v>
      </c>
      <c r="G2258">
        <v>-0.183083050132366</v>
      </c>
      <c r="H2258">
        <v>-0.270514200546493</v>
      </c>
      <c r="I2258">
        <v>-0.565804518392934</v>
      </c>
    </row>
    <row r="2259" spans="1:9">
      <c r="A2259" s="1" t="s">
        <v>2271</v>
      </c>
      <c r="B2259">
        <f>HYPERLINK("https://www.suredividend.com/sure-analysis-research-database/","PRA Group Inc")</f>
        <v>0</v>
      </c>
      <c r="C2259">
        <v>-0.310894141829393</v>
      </c>
      <c r="D2259">
        <v>-0.396761133603238</v>
      </c>
      <c r="E2259">
        <v>-0.6155389908256881</v>
      </c>
      <c r="F2259">
        <v>-0.603019538188277</v>
      </c>
      <c r="G2259">
        <v>-0.5814606741573031</v>
      </c>
      <c r="H2259">
        <v>-0.6932753888380601</v>
      </c>
      <c r="I2259">
        <v>-0.571017274472168</v>
      </c>
    </row>
    <row r="2260" spans="1:9">
      <c r="A2260" s="1" t="s">
        <v>2272</v>
      </c>
      <c r="B2260">
        <f>HYPERLINK("https://www.suredividend.com/sure-analysis-research-database/","PRA Health Sciences Inc")</f>
        <v>0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</row>
    <row r="2261" spans="1:9">
      <c r="A2261" s="1" t="s">
        <v>2273</v>
      </c>
      <c r="B2261">
        <f>HYPERLINK("https://www.suredividend.com/sure-analysis-research-database/","Perceptron, Inc.")</f>
        <v>0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</row>
    <row r="2262" spans="1:9">
      <c r="A2262" s="1" t="s">
        <v>2274</v>
      </c>
      <c r="B2262">
        <f>HYPERLINK("https://www.suredividend.com/sure-analysis-research-database/","Perficient Inc.")</f>
        <v>0</v>
      </c>
      <c r="C2262">
        <v>0.061046003148504</v>
      </c>
      <c r="D2262">
        <v>-0.005736764464841001</v>
      </c>
      <c r="E2262">
        <v>-0.127445339470655</v>
      </c>
      <c r="F2262">
        <v>-0.131318917370757</v>
      </c>
      <c r="G2262">
        <v>-0.08520585130447901</v>
      </c>
      <c r="H2262">
        <v>-0.515611275253533</v>
      </c>
      <c r="I2262">
        <v>1.416733067729083</v>
      </c>
    </row>
    <row r="2263" spans="1:9">
      <c r="A2263" s="1" t="s">
        <v>2275</v>
      </c>
      <c r="B2263">
        <f>HYPERLINK("https://www.suredividend.com/sure-analysis-PRGO/","Perrigo Company plc")</f>
        <v>0</v>
      </c>
      <c r="C2263">
        <v>-0.112244897959183</v>
      </c>
      <c r="D2263">
        <v>-0.227184024028358</v>
      </c>
      <c r="E2263">
        <v>-0.247876548012708</v>
      </c>
      <c r="F2263">
        <v>-0.163833391400458</v>
      </c>
      <c r="G2263">
        <v>-0.276518557402951</v>
      </c>
      <c r="H2263">
        <v>-0.362196390361467</v>
      </c>
      <c r="I2263">
        <v>-0.5637560230344341</v>
      </c>
    </row>
    <row r="2264" spans="1:9">
      <c r="A2264" s="1" t="s">
        <v>2276</v>
      </c>
      <c r="B2264">
        <f>HYPERLINK("https://www.suredividend.com/sure-analysis-research-database/","Progress Software Corp.")</f>
        <v>0</v>
      </c>
      <c r="C2264">
        <v>-0.048102721349175</v>
      </c>
      <c r="D2264">
        <v>-0.17235840363649</v>
      </c>
      <c r="E2264">
        <v>-0.074941473798699</v>
      </c>
      <c r="F2264">
        <v>-0.0009413317027640001</v>
      </c>
      <c r="G2264">
        <v>0.032260477953019</v>
      </c>
      <c r="H2264">
        <v>-0.011697663451915</v>
      </c>
      <c r="I2264">
        <v>0.6734949663751161</v>
      </c>
    </row>
    <row r="2265" spans="1:9">
      <c r="A2265" s="1" t="s">
        <v>2277</v>
      </c>
      <c r="B2265">
        <f>HYPERLINK("https://www.suredividend.com/sure-analysis-research-database/","PRGX Global Inc")</f>
        <v>0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</row>
    <row r="2266" spans="1:9">
      <c r="A2266" s="1" t="s">
        <v>2278</v>
      </c>
      <c r="B2266">
        <f>HYPERLINK("https://www.suredividend.com/sure-analysis-PRI/","Primerica Inc")</f>
        <v>0</v>
      </c>
      <c r="C2266">
        <v>0.048924703050599</v>
      </c>
      <c r="D2266">
        <v>-0.06438109177942601</v>
      </c>
      <c r="E2266">
        <v>0.113158324365206</v>
      </c>
      <c r="F2266">
        <v>0.4284075386513</v>
      </c>
      <c r="G2266">
        <v>0.431391940476488</v>
      </c>
      <c r="H2266">
        <v>0.185893510951146</v>
      </c>
      <c r="I2266">
        <v>0.8856849365323941</v>
      </c>
    </row>
    <row r="2267" spans="1:9">
      <c r="A2267" s="1" t="s">
        <v>2279</v>
      </c>
      <c r="B2267">
        <f>HYPERLINK("https://www.suredividend.com/sure-analysis-research-database/","Primoris Services Corp")</f>
        <v>0</v>
      </c>
      <c r="C2267">
        <v>-0.021296884933248</v>
      </c>
      <c r="D2267">
        <v>-0.047365636476707</v>
      </c>
      <c r="E2267">
        <v>0.234810507319029</v>
      </c>
      <c r="F2267">
        <v>0.415014131758542</v>
      </c>
      <c r="G2267">
        <v>0.576322903014416</v>
      </c>
      <c r="H2267">
        <v>0.168917944162243</v>
      </c>
      <c r="I2267">
        <v>0.457894363029427</v>
      </c>
    </row>
    <row r="2268" spans="1:9">
      <c r="A2268" s="1" t="s">
        <v>2280</v>
      </c>
      <c r="B2268">
        <f>HYPERLINK("https://www.suredividend.com/sure-analysis-research-database/","Park National Corp.")</f>
        <v>0</v>
      </c>
      <c r="C2268">
        <v>0.145858020036626</v>
      </c>
      <c r="D2268">
        <v>-0.035143735191991</v>
      </c>
      <c r="E2268">
        <v>0.07840731901675001</v>
      </c>
      <c r="F2268">
        <v>-0.222610864007694</v>
      </c>
      <c r="G2268">
        <v>-0.243244012364782</v>
      </c>
      <c r="H2268">
        <v>-0.138721888220886</v>
      </c>
      <c r="I2268">
        <v>0.365643856721016</v>
      </c>
    </row>
    <row r="2269" spans="1:9">
      <c r="A2269" s="1" t="s">
        <v>2281</v>
      </c>
      <c r="B2269">
        <f>HYPERLINK("https://www.suredividend.com/sure-analysis-research-database/","Proto Labs Inc")</f>
        <v>0</v>
      </c>
      <c r="C2269">
        <v>-0.09090909090909001</v>
      </c>
      <c r="D2269">
        <v>-0.246978617911372</v>
      </c>
      <c r="E2269">
        <v>-0.145869947275922</v>
      </c>
      <c r="F2269">
        <v>-0.048178613396004</v>
      </c>
      <c r="G2269">
        <v>-0.336065573770491</v>
      </c>
      <c r="H2269">
        <v>-0.5970149253731341</v>
      </c>
      <c r="I2269">
        <v>-0.8042059463379261</v>
      </c>
    </row>
    <row r="2270" spans="1:9">
      <c r="A2270" s="1" t="s">
        <v>2282</v>
      </c>
      <c r="B2270">
        <f>HYPERLINK("https://www.suredividend.com/sure-analysis-research-database/","Primo Water Corporation")</f>
        <v>0</v>
      </c>
      <c r="C2270">
        <v>0.08370702541106101</v>
      </c>
      <c r="D2270">
        <v>0.028806584362139</v>
      </c>
      <c r="E2270">
        <v>-0.030444056622067</v>
      </c>
      <c r="F2270">
        <v>-0.051040909953599</v>
      </c>
      <c r="G2270">
        <v>0.108037474591554</v>
      </c>
      <c r="H2270">
        <v>-0.06611277493317801</v>
      </c>
      <c r="I2270">
        <v>-0.009163529017841001</v>
      </c>
    </row>
    <row r="2271" spans="1:9">
      <c r="A2271" s="1" t="s">
        <v>2283</v>
      </c>
      <c r="B2271">
        <f>HYPERLINK("https://www.suredividend.com/sure-analysis-research-database/","Pros Holdings Inc")</f>
        <v>0</v>
      </c>
      <c r="C2271">
        <v>0.003461205653302</v>
      </c>
      <c r="D2271">
        <v>-0.063274098007539</v>
      </c>
      <c r="E2271">
        <v>0.301533857089412</v>
      </c>
      <c r="F2271">
        <v>0.434047815333882</v>
      </c>
      <c r="G2271">
        <v>0.303973013493253</v>
      </c>
      <c r="H2271">
        <v>0.158894070619586</v>
      </c>
      <c r="I2271">
        <v>0.05712549377089</v>
      </c>
    </row>
    <row r="2272" spans="1:9">
      <c r="A2272" s="1" t="s">
        <v>2284</v>
      </c>
      <c r="B2272">
        <f>HYPERLINK("https://www.suredividend.com/sure-analysis-research-database/","Provident Financial Holdings, Inc.")</f>
        <v>0</v>
      </c>
      <c r="C2272">
        <v>-0.137269938650306</v>
      </c>
      <c r="D2272">
        <v>-0.19076973982348</v>
      </c>
      <c r="E2272">
        <v>-0.123374346426873</v>
      </c>
      <c r="F2272">
        <v>-0.148166096253445</v>
      </c>
      <c r="G2272">
        <v>-0.164643246976008</v>
      </c>
      <c r="H2272">
        <v>-0.266618426456495</v>
      </c>
      <c r="I2272">
        <v>-0.225302648432012</v>
      </c>
    </row>
    <row r="2273" spans="1:9">
      <c r="A2273" s="1" t="s">
        <v>2285</v>
      </c>
      <c r="B2273">
        <f>HYPERLINK("https://www.suredividend.com/sure-analysis-research-database/","ProPhase Labs Inc")</f>
        <v>0</v>
      </c>
      <c r="C2273">
        <v>0.031963470319634</v>
      </c>
      <c r="D2273">
        <v>-0.3791208791208791</v>
      </c>
      <c r="E2273">
        <v>-0.463182897862232</v>
      </c>
      <c r="F2273">
        <v>-0.5306334371754931</v>
      </c>
      <c r="G2273">
        <v>-0.616298811544991</v>
      </c>
      <c r="H2273">
        <v>-0.169361952366951</v>
      </c>
      <c r="I2273">
        <v>1.124159969923398</v>
      </c>
    </row>
    <row r="2274" spans="1:9">
      <c r="A2274" s="1" t="s">
        <v>2286</v>
      </c>
      <c r="B2274">
        <f>HYPERLINK("https://www.suredividend.com/sure-analysis-research-database/","Providence Service Corp")</f>
        <v>0</v>
      </c>
      <c r="C2274">
        <v>0.125841233084883</v>
      </c>
      <c r="D2274">
        <v>0.654754307594129</v>
      </c>
      <c r="E2274">
        <v>0.9826685357461451</v>
      </c>
      <c r="F2274">
        <v>0.122267907379355</v>
      </c>
      <c r="G2274">
        <v>1.591704147926037</v>
      </c>
      <c r="H2274">
        <v>1.550909985243482</v>
      </c>
      <c r="I2274">
        <v>2.266428721394079</v>
      </c>
    </row>
    <row r="2275" spans="1:9">
      <c r="A2275" s="1" t="s">
        <v>2287</v>
      </c>
      <c r="B2275">
        <f>HYPERLINK("https://www.suredividend.com/sure-analysis-research-database/","Perspecta Inc")</f>
        <v>0</v>
      </c>
      <c r="C2275">
        <v>0.006518010291595</v>
      </c>
      <c r="D2275">
        <v>0.010671645389973</v>
      </c>
      <c r="E2275">
        <v>0.505256083358557</v>
      </c>
      <c r="F2275">
        <v>0.221365148216448</v>
      </c>
      <c r="G2275">
        <v>0.397868417416659</v>
      </c>
      <c r="H2275">
        <v>0.279914846837729</v>
      </c>
      <c r="I2275">
        <v>0.173599999999999</v>
      </c>
    </row>
    <row r="2276" spans="1:9">
      <c r="A2276" s="1" t="s">
        <v>2288</v>
      </c>
      <c r="B2276">
        <f>HYPERLINK("https://www.suredividend.com/sure-analysis-research-database/","Prothena Corporation plc")</f>
        <v>0</v>
      </c>
      <c r="C2276">
        <v>-0.249463288965221</v>
      </c>
      <c r="D2276">
        <v>-0.482304161113579</v>
      </c>
      <c r="E2276">
        <v>-0.334222052942296</v>
      </c>
      <c r="F2276">
        <v>-0.4197510373443981</v>
      </c>
      <c r="G2276">
        <v>-0.415775401069518</v>
      </c>
      <c r="H2276">
        <v>-0.405239877509356</v>
      </c>
      <c r="I2276">
        <v>1.616766467065868</v>
      </c>
    </row>
    <row r="2277" spans="1:9">
      <c r="A2277" s="1" t="s">
        <v>2289</v>
      </c>
      <c r="B2277">
        <f>HYPERLINK("https://www.suredividend.com/sure-analysis-research-database/","Paratek Pharmaceuticals Inc.")</f>
        <v>0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</row>
    <row r="2278" spans="1:9">
      <c r="A2278" s="1" t="s">
        <v>2290</v>
      </c>
      <c r="B2278">
        <f>HYPERLINK("https://www.suredividend.com/sure-analysis-research-database/","CarParts.com Inc")</f>
        <v>0</v>
      </c>
      <c r="C2278">
        <v>-0.255474452554744</v>
      </c>
      <c r="D2278">
        <v>-0.315436241610738</v>
      </c>
      <c r="E2278">
        <v>-0.327472527472527</v>
      </c>
      <c r="F2278">
        <v>-0.5111821086261981</v>
      </c>
      <c r="G2278">
        <v>-0.309255079006772</v>
      </c>
      <c r="H2278">
        <v>-0.8099378881987571</v>
      </c>
      <c r="I2278">
        <v>1.467741935483871</v>
      </c>
    </row>
    <row r="2279" spans="1:9">
      <c r="A2279" s="1" t="s">
        <v>2291</v>
      </c>
      <c r="B2279">
        <f>HYPERLINK("https://www.suredividend.com/sure-analysis-research-database/","Party City Holdco Inc")</f>
        <v>0</v>
      </c>
      <c r="C2279">
        <v>-0.109047619047619</v>
      </c>
      <c r="D2279">
        <v>-0.7616560509554141</v>
      </c>
      <c r="E2279">
        <v>-0.7165151515151511</v>
      </c>
      <c r="F2279">
        <v>0.023803009575923</v>
      </c>
      <c r="G2279">
        <v>-0.930703703703703</v>
      </c>
      <c r="H2279">
        <v>-0.9448895434462441</v>
      </c>
      <c r="I2279">
        <v>-0.975935691318328</v>
      </c>
    </row>
    <row r="2280" spans="1:9">
      <c r="A2280" s="1" t="s">
        <v>2292</v>
      </c>
      <c r="B2280">
        <f>HYPERLINK("https://www.suredividend.com/sure-analysis-PRU/","Prudential Financial Inc.")</f>
        <v>0</v>
      </c>
      <c r="C2280">
        <v>-0.01831227243521</v>
      </c>
      <c r="D2280">
        <v>-0.025058972924567</v>
      </c>
      <c r="E2280">
        <v>0.129511206397318</v>
      </c>
      <c r="F2280">
        <v>-0.03964112519237</v>
      </c>
      <c r="G2280">
        <v>-0.082559625617873</v>
      </c>
      <c r="H2280">
        <v>-0.091252449811697</v>
      </c>
      <c r="I2280">
        <v>0.226121592954916</v>
      </c>
    </row>
    <row r="2281" spans="1:9">
      <c r="A2281" s="1" t="s">
        <v>2293</v>
      </c>
      <c r="B2281">
        <f>HYPERLINK("https://www.suredividend.com/sure-analysis-research-database/","Provention Bio Inc")</f>
        <v>0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</row>
    <row r="2282" spans="1:9">
      <c r="A2282" s="1" t="s">
        <v>2294</v>
      </c>
      <c r="B2282">
        <f>HYPERLINK("https://www.suredividend.com/sure-analysis-research-database/","Pluralsight Inc")</f>
        <v>0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</row>
    <row r="2283" spans="1:9">
      <c r="A2283" s="1" t="s">
        <v>2295</v>
      </c>
      <c r="B2283">
        <f>HYPERLINK("https://www.suredividend.com/sure-analysis-PSA/","Public Storage.")</f>
        <v>0</v>
      </c>
      <c r="C2283">
        <v>-0.047863772340262</v>
      </c>
      <c r="D2283">
        <v>-0.078558578487501</v>
      </c>
      <c r="E2283">
        <v>-0.078558578487501</v>
      </c>
      <c r="F2283">
        <v>-0.078558578487501</v>
      </c>
      <c r="G2283">
        <v>-0.078558578487501</v>
      </c>
      <c r="H2283">
        <v>-0.078558578487501</v>
      </c>
      <c r="I2283">
        <v>-0.078558578487501</v>
      </c>
    </row>
    <row r="2284" spans="1:9">
      <c r="A2284" s="1" t="s">
        <v>2296</v>
      </c>
      <c r="B2284">
        <f>HYPERLINK("https://www.suredividend.com/sure-analysis-research-database/","PS Business Parks, Inc.")</f>
        <v>0</v>
      </c>
      <c r="C2284">
        <v>0.009343861871098001</v>
      </c>
      <c r="D2284">
        <v>0.122128452098513</v>
      </c>
      <c r="E2284">
        <v>0.116861728180261</v>
      </c>
      <c r="F2284">
        <v>0.031597914569559</v>
      </c>
      <c r="G2284">
        <v>0.29709171609303</v>
      </c>
      <c r="H2284">
        <v>0.5444855340439411</v>
      </c>
      <c r="I2284">
        <v>0.6893837588788631</v>
      </c>
    </row>
    <row r="2285" spans="1:9">
      <c r="A2285" s="1" t="s">
        <v>2297</v>
      </c>
      <c r="B2285">
        <f>HYPERLINK("https://www.suredividend.com/sure-analysis-research-database/","Pricesmart Inc.")</f>
        <v>0</v>
      </c>
      <c r="C2285">
        <v>-0.109295472810072</v>
      </c>
      <c r="D2285">
        <v>-0.143653701283231</v>
      </c>
      <c r="E2285">
        <v>-0.06736695954616501</v>
      </c>
      <c r="F2285">
        <v>0.107652127275059</v>
      </c>
      <c r="G2285">
        <v>0.005122345305625001</v>
      </c>
      <c r="H2285">
        <v>-0.06313352953524301</v>
      </c>
      <c r="I2285">
        <v>0.009689987215654</v>
      </c>
    </row>
    <row r="2286" spans="1:9">
      <c r="A2286" s="1" t="s">
        <v>2298</v>
      </c>
      <c r="B2286">
        <f>HYPERLINK("https://www.suredividend.com/sure-analysis-research-database/","Parsons Corp")</f>
        <v>0</v>
      </c>
      <c r="C2286">
        <v>0.119926538108356</v>
      </c>
      <c r="D2286">
        <v>0.120543917677324</v>
      </c>
      <c r="E2286">
        <v>0.426099158091674</v>
      </c>
      <c r="F2286">
        <v>0.318486486486486</v>
      </c>
      <c r="G2286">
        <v>0.281361630594662</v>
      </c>
      <c r="H2286">
        <v>0.7603926096997681</v>
      </c>
      <c r="I2286">
        <v>1.027934818756235</v>
      </c>
    </row>
    <row r="2287" spans="1:9">
      <c r="A2287" s="1" t="s">
        <v>2299</v>
      </c>
      <c r="B2287">
        <f>HYPERLINK("https://www.suredividend.com/sure-analysis-research-database/","Pure Storage Inc")</f>
        <v>0</v>
      </c>
      <c r="C2287">
        <v>-0.037141249296567</v>
      </c>
      <c r="D2287">
        <v>-0.086492258408969</v>
      </c>
      <c r="E2287">
        <v>0.5208888888888881</v>
      </c>
      <c r="F2287">
        <v>0.278774289985052</v>
      </c>
      <c r="G2287">
        <v>0.105654281098546</v>
      </c>
      <c r="H2287">
        <v>0.262264846919955</v>
      </c>
      <c r="I2287">
        <v>0.6563407550822841</v>
      </c>
    </row>
    <row r="2288" spans="1:9">
      <c r="A2288" s="1" t="s">
        <v>2300</v>
      </c>
      <c r="B2288">
        <f>HYPERLINK("https://www.suredividend.com/sure-analysis-research-database/","Plus Therapeutics Inc")</f>
        <v>0</v>
      </c>
      <c r="C2288">
        <v>0.08800000000000001</v>
      </c>
      <c r="D2288">
        <v>-0.442622950819672</v>
      </c>
      <c r="E2288">
        <v>-0.6324324324324321</v>
      </c>
      <c r="F2288">
        <v>-0.713985278654048</v>
      </c>
      <c r="G2288">
        <v>-0.7939393939393941</v>
      </c>
      <c r="H2288">
        <v>-0.95177304964539</v>
      </c>
      <c r="I2288">
        <v>2.809523809523809</v>
      </c>
    </row>
    <row r="2289" spans="1:9">
      <c r="A2289" s="1" t="s">
        <v>2301</v>
      </c>
      <c r="B2289">
        <f>HYPERLINK("https://www.suredividend.com/sure-analysis-PSX/","Phillips 66")</f>
        <v>0</v>
      </c>
      <c r="C2289">
        <v>-0.007561754327003001</v>
      </c>
      <c r="D2289">
        <v>0.09390931814035401</v>
      </c>
      <c r="E2289">
        <v>0.272456783114632</v>
      </c>
      <c r="F2289">
        <v>0.169852431415271</v>
      </c>
      <c r="G2289">
        <v>0.189757928781727</v>
      </c>
      <c r="H2289">
        <v>0.654300031651863</v>
      </c>
      <c r="I2289">
        <v>0.47644463332625</v>
      </c>
    </row>
    <row r="2290" spans="1:9">
      <c r="A2290" s="1" t="s">
        <v>2302</v>
      </c>
      <c r="B2290">
        <f>HYPERLINK("https://www.suredividend.com/sure-analysis-research-database/","PTC Inc")</f>
        <v>0</v>
      </c>
      <c r="C2290">
        <v>0.038909400738426</v>
      </c>
      <c r="D2290">
        <v>0.017878260869565</v>
      </c>
      <c r="E2290">
        <v>0.16794380587484</v>
      </c>
      <c r="F2290">
        <v>0.218927024325224</v>
      </c>
      <c r="G2290">
        <v>0.264322129093579</v>
      </c>
      <c r="H2290">
        <v>0.157503362075785</v>
      </c>
      <c r="I2290">
        <v>0.6903881700554521</v>
      </c>
    </row>
    <row r="2291" spans="1:9">
      <c r="A2291" s="1" t="s">
        <v>2303</v>
      </c>
      <c r="B2291">
        <f>HYPERLINK("https://www.suredividend.com/sure-analysis-research-database/","PTC Therapeutics Inc")</f>
        <v>0</v>
      </c>
      <c r="C2291">
        <v>-0.14924670433145</v>
      </c>
      <c r="D2291">
        <v>-0.5504975124378111</v>
      </c>
      <c r="E2291">
        <v>-0.671275241040567</v>
      </c>
      <c r="F2291">
        <v>-0.5265915640555411</v>
      </c>
      <c r="G2291">
        <v>-0.5088339222614841</v>
      </c>
      <c r="H2291">
        <v>-0.5465495608531991</v>
      </c>
      <c r="I2291">
        <v>-0.5446068548387091</v>
      </c>
    </row>
    <row r="2292" spans="1:9">
      <c r="A2292" s="1" t="s">
        <v>2304</v>
      </c>
      <c r="B2292">
        <f>HYPERLINK("https://www.suredividend.com/sure-analysis-research-database/","PolarityTE Inc")</f>
        <v>0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</row>
    <row r="2293" spans="1:9">
      <c r="A2293" s="1" t="s">
        <v>2305</v>
      </c>
      <c r="B2293">
        <f>HYPERLINK("https://www.suredividend.com/sure-analysis-research-database/","Patterson-UTI Energy Inc")</f>
        <v>0</v>
      </c>
      <c r="C2293">
        <v>-0.019908116385911</v>
      </c>
      <c r="D2293">
        <v>-0.169715368049609</v>
      </c>
      <c r="E2293">
        <v>0.240382192763145</v>
      </c>
      <c r="F2293">
        <v>-0.219097936100248</v>
      </c>
      <c r="G2293">
        <v>-0.248954109922607</v>
      </c>
      <c r="H2293">
        <v>0.4816872713802841</v>
      </c>
      <c r="I2293">
        <v>-0.138517037844677</v>
      </c>
    </row>
    <row r="2294" spans="1:9">
      <c r="A2294" s="1" t="s">
        <v>2306</v>
      </c>
      <c r="B2294">
        <f>HYPERLINK("https://www.suredividend.com/sure-analysis-research-database/","Protagonist Therapeutics Inc")</f>
        <v>0</v>
      </c>
      <c r="C2294">
        <v>-0.05691554467564201</v>
      </c>
      <c r="D2294">
        <v>-0.170166935918147</v>
      </c>
      <c r="E2294">
        <v>-0.350611040876527</v>
      </c>
      <c r="F2294">
        <v>0.412465627864344</v>
      </c>
      <c r="G2294">
        <v>0.904820766378244</v>
      </c>
      <c r="H2294">
        <v>-0.522170542635658</v>
      </c>
      <c r="I2294">
        <v>0.909541511771994</v>
      </c>
    </row>
    <row r="2295" spans="1:9">
      <c r="A2295" s="1" t="s">
        <v>2307</v>
      </c>
      <c r="B2295">
        <f>HYPERLINK("https://www.suredividend.com/sure-analysis-research-database/","Proteostasis Therapeutics Inc")</f>
        <v>0</v>
      </c>
      <c r="C2295">
        <v>0.067307692307692</v>
      </c>
      <c r="D2295">
        <v>-0.034782608695651</v>
      </c>
      <c r="E2295">
        <v>-0.255033557046979</v>
      </c>
      <c r="F2295">
        <v>-0.513157894736842</v>
      </c>
      <c r="G2295">
        <v>-0.108433734939759</v>
      </c>
      <c r="H2295">
        <v>-0.7272727272727271</v>
      </c>
      <c r="I2295">
        <v>-0.8328313253012041</v>
      </c>
    </row>
    <row r="2296" spans="1:9">
      <c r="A2296" s="1" t="s">
        <v>2308</v>
      </c>
      <c r="B2296">
        <f>HYPERLINK("https://www.suredividend.com/sure-analysis-research-database/","Palatin Technologies Inc.")</f>
        <v>0</v>
      </c>
      <c r="C2296">
        <v>0.263157894736842</v>
      </c>
      <c r="D2296">
        <v>0.058823529411764</v>
      </c>
      <c r="E2296">
        <v>-0.018181818181818</v>
      </c>
      <c r="F2296">
        <v>-0.15625</v>
      </c>
      <c r="G2296">
        <v>-0.5527950310559</v>
      </c>
      <c r="H2296">
        <v>-0.7928057553956831</v>
      </c>
      <c r="I2296">
        <v>-0.9061889250814331</v>
      </c>
    </row>
    <row r="2297" spans="1:9">
      <c r="A2297" s="1" t="s">
        <v>2309</v>
      </c>
      <c r="B2297">
        <f>HYPERLINK("https://www.suredividend.com/sure-analysis-research-database/","P.A.M. Transportation Services, Inc.")</f>
        <v>0</v>
      </c>
      <c r="C2297">
        <v>-0.179698216735253</v>
      </c>
      <c r="D2297">
        <v>-0.308936825885978</v>
      </c>
      <c r="E2297">
        <v>-0.184915947296683</v>
      </c>
      <c r="F2297">
        <v>-0.307335907335907</v>
      </c>
      <c r="G2297">
        <v>-0.3355555555555551</v>
      </c>
      <c r="H2297">
        <v>-0.433533312282917</v>
      </c>
      <c r="I2297">
        <v>0.201406328478151</v>
      </c>
    </row>
    <row r="2298" spans="1:9">
      <c r="A2298" s="1" t="s">
        <v>2310</v>
      </c>
      <c r="B2298">
        <f>HYPERLINK("https://www.suredividend.com/sure-analysis-research-database/","Protective Insurance Corp.")</f>
        <v>0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</row>
    <row r="2299" spans="1:9">
      <c r="A2299" s="1" t="s">
        <v>2311</v>
      </c>
      <c r="B2299">
        <f>HYPERLINK("https://www.suredividend.com/sure-analysis-research-database/","Protective Insurance Corp.")</f>
        <v>0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</row>
    <row r="2300" spans="1:9">
      <c r="A2300" s="1" t="s">
        <v>2312</v>
      </c>
      <c r="B2300">
        <f>HYPERLINK("https://www.suredividend.com/sure-analysis-research-database/","Pulmatrix Inc")</f>
        <v>0</v>
      </c>
      <c r="C2300">
        <v>-0.07729468599033801</v>
      </c>
      <c r="D2300">
        <v>-0.284644194756554</v>
      </c>
      <c r="E2300">
        <v>-0.341379310344827</v>
      </c>
      <c r="F2300">
        <v>-0.507731958762886</v>
      </c>
      <c r="G2300">
        <v>-0.451149425287356</v>
      </c>
      <c r="H2300">
        <v>-0.8906196311991751</v>
      </c>
      <c r="I2300">
        <v>-0.976960193003618</v>
      </c>
    </row>
    <row r="2301" spans="1:9">
      <c r="A2301" s="1" t="s">
        <v>2313</v>
      </c>
      <c r="B2301">
        <f>HYPERLINK("https://www.suredividend.com/sure-analysis-research-database/","ProPetro Holding Corp")</f>
        <v>0</v>
      </c>
      <c r="C2301">
        <v>0.009980039920159001</v>
      </c>
      <c r="D2301">
        <v>0.069767441860465</v>
      </c>
      <c r="E2301">
        <v>0.5037147102526001</v>
      </c>
      <c r="F2301">
        <v>-0.02410800385728</v>
      </c>
      <c r="G2301">
        <v>-0.06728110599078301</v>
      </c>
      <c r="H2301">
        <v>0.05636743215031301</v>
      </c>
      <c r="I2301">
        <v>-0.424673109721432</v>
      </c>
    </row>
    <row r="2302" spans="1:9">
      <c r="A2302" s="1" t="s">
        <v>2314</v>
      </c>
      <c r="B2302">
        <f>HYPERLINK("https://www.suredividend.com/sure-analysis-research-database/","Penn Virginia Corp.")</f>
        <v>0</v>
      </c>
      <c r="C2302">
        <v>0.437412095639943</v>
      </c>
      <c r="D2302">
        <v>0.653721682847896</v>
      </c>
      <c r="E2302">
        <v>1.54862842892768</v>
      </c>
      <c r="F2302">
        <v>2.020689655172413</v>
      </c>
      <c r="G2302">
        <v>2.170630816959669</v>
      </c>
      <c r="H2302">
        <v>0.128865979381443</v>
      </c>
      <c r="I2302">
        <v>-0.3742857142857141</v>
      </c>
    </row>
    <row r="2303" spans="1:9">
      <c r="A2303" s="1" t="s">
        <v>2315</v>
      </c>
      <c r="B2303">
        <f>HYPERLINK("https://www.suredividend.com/sure-analysis-research-database/","Provident Bancorp Inc")</f>
        <v>0</v>
      </c>
      <c r="C2303">
        <v>0.005313496280552</v>
      </c>
      <c r="D2303">
        <v>-0.050200803212851</v>
      </c>
      <c r="E2303">
        <v>0.433333333333333</v>
      </c>
      <c r="F2303">
        <v>0.299450549450549</v>
      </c>
      <c r="G2303">
        <v>-0.23771152296535</v>
      </c>
      <c r="H2303">
        <v>-0.469365089159005</v>
      </c>
      <c r="I2303">
        <v>-0.101494975590296</v>
      </c>
    </row>
    <row r="2304" spans="1:9">
      <c r="A2304" s="1" t="s">
        <v>2316</v>
      </c>
      <c r="B2304">
        <f>HYPERLINK("https://www.suredividend.com/sure-analysis-research-database/","PVH Corp")</f>
        <v>0</v>
      </c>
      <c r="C2304">
        <v>-0.007710715235309001</v>
      </c>
      <c r="D2304">
        <v>-0.136323031848666</v>
      </c>
      <c r="E2304">
        <v>-0.111759546740321</v>
      </c>
      <c r="F2304">
        <v>0.05885857769076901</v>
      </c>
      <c r="G2304">
        <v>0.5048235400852811</v>
      </c>
      <c r="H2304">
        <v>-0.3347996734600751</v>
      </c>
      <c r="I2304">
        <v>-0.404315837106239</v>
      </c>
    </row>
    <row r="2305" spans="1:9">
      <c r="A2305" s="1" t="s">
        <v>2317</v>
      </c>
      <c r="B2305">
        <f>HYPERLINK("https://www.suredividend.com/sure-analysis-research-database/","Power REIT")</f>
        <v>0</v>
      </c>
      <c r="C2305">
        <v>-0.42</v>
      </c>
      <c r="D2305">
        <v>-0.559493670886076</v>
      </c>
      <c r="E2305">
        <v>-0.7323076923076921</v>
      </c>
      <c r="F2305">
        <v>-0.82379746835443</v>
      </c>
      <c r="G2305">
        <v>-0.9187864644107351</v>
      </c>
      <c r="H2305">
        <v>-0.986835634575373</v>
      </c>
      <c r="I2305">
        <v>-0.876490630323679</v>
      </c>
    </row>
    <row r="2306" spans="1:9">
      <c r="A2306" s="1" t="s">
        <v>2318</v>
      </c>
      <c r="B2306">
        <f>HYPERLINK("https://www.suredividend.com/sure-analysis-research-database/","Penns Woods Bancorp, Inc.")</f>
        <v>0</v>
      </c>
      <c r="C2306">
        <v>0.001878816345702</v>
      </c>
      <c r="D2306">
        <v>-0.176314305794762</v>
      </c>
      <c r="E2306">
        <v>-0.02007176033335</v>
      </c>
      <c r="F2306">
        <v>-0.168622009494781</v>
      </c>
      <c r="G2306">
        <v>-0.061584351820077</v>
      </c>
      <c r="H2306">
        <v>-0.012541144118995</v>
      </c>
      <c r="I2306">
        <v>-0.033844871632272</v>
      </c>
    </row>
    <row r="2307" spans="1:9">
      <c r="A2307" s="1" t="s">
        <v>2319</v>
      </c>
      <c r="B2307">
        <f>HYPERLINK("https://www.suredividend.com/sure-analysis-research-database/","Quanta Services, Inc.")</f>
        <v>0</v>
      </c>
      <c r="C2307">
        <v>-0.00883152173913</v>
      </c>
      <c r="D2307">
        <v>-0.13427148609311</v>
      </c>
      <c r="E2307">
        <v>0.042268177483244</v>
      </c>
      <c r="F2307">
        <v>0.23027280603809</v>
      </c>
      <c r="G2307">
        <v>0.282440064165952</v>
      </c>
      <c r="H2307">
        <v>0.456836597652486</v>
      </c>
      <c r="I2307">
        <v>4.176787836854897</v>
      </c>
    </row>
    <row r="2308" spans="1:9">
      <c r="A2308" s="1" t="s">
        <v>2320</v>
      </c>
      <c r="B2308">
        <f>HYPERLINK("https://www.suredividend.com/sure-analysis-PXD/","Pioneer Natural Resources Co.")</f>
        <v>0</v>
      </c>
      <c r="C2308">
        <v>0.09525082420030201</v>
      </c>
      <c r="D2308">
        <v>0.084137042965942</v>
      </c>
      <c r="E2308">
        <v>0.186696105586218</v>
      </c>
      <c r="F2308">
        <v>0.118341084932783</v>
      </c>
      <c r="G2308">
        <v>0.029226016509314</v>
      </c>
      <c r="H2308">
        <v>0.5076649652490091</v>
      </c>
      <c r="I2308">
        <v>1.055764192541416</v>
      </c>
    </row>
    <row r="2309" spans="1:9">
      <c r="A2309" s="1" t="s">
        <v>2321</v>
      </c>
      <c r="B2309">
        <f>HYPERLINK("https://www.suredividend.com/sure-analysis-research-database/","Pixelworks Inc")</f>
        <v>0</v>
      </c>
      <c r="C2309">
        <v>0.136363636363636</v>
      </c>
      <c r="D2309">
        <v>-0.246987951807228</v>
      </c>
      <c r="E2309">
        <v>-0.113475177304964</v>
      </c>
      <c r="F2309">
        <v>-0.293785310734463</v>
      </c>
      <c r="G2309">
        <v>-0.155405405405405</v>
      </c>
      <c r="H2309">
        <v>-0.715261958997722</v>
      </c>
      <c r="I2309">
        <v>-0.713958810068649</v>
      </c>
    </row>
    <row r="2310" spans="1:9">
      <c r="A2310" s="1" t="s">
        <v>2322</v>
      </c>
      <c r="B2310">
        <f>HYPERLINK("https://www.suredividend.com/sure-analysis-research-database/","PayPal Holdings Inc")</f>
        <v>0</v>
      </c>
      <c r="C2310">
        <v>-0.05976775956284101</v>
      </c>
      <c r="D2310">
        <v>-0.247814207650273</v>
      </c>
      <c r="E2310">
        <v>-0.238240177089097</v>
      </c>
      <c r="F2310">
        <v>-0.226902555461948</v>
      </c>
      <c r="G2310">
        <v>-0.306985525487728</v>
      </c>
      <c r="H2310">
        <v>-0.760045323803713</v>
      </c>
      <c r="I2310">
        <v>-0.340677763142138</v>
      </c>
    </row>
    <row r="2311" spans="1:9">
      <c r="A2311" s="1" t="s">
        <v>2323</v>
      </c>
      <c r="B2311">
        <f>HYPERLINK("https://www.suredividend.com/sure-analysis-research-database/","Paramount Gold Nevada Corp")</f>
        <v>0</v>
      </c>
      <c r="C2311">
        <v>0.042402826855123</v>
      </c>
      <c r="D2311">
        <v>-0.07754846779237001</v>
      </c>
      <c r="E2311">
        <v>-0.13235294117647</v>
      </c>
      <c r="F2311">
        <v>-0.144927536231884</v>
      </c>
      <c r="G2311">
        <v>-0.019933554817275</v>
      </c>
      <c r="H2311">
        <v>-0.6445783132530121</v>
      </c>
      <c r="I2311">
        <v>-0.7163461538461531</v>
      </c>
    </row>
    <row r="2312" spans="1:9">
      <c r="A2312" s="1" t="s">
        <v>2324</v>
      </c>
      <c r="B2312">
        <f>HYPERLINK("https://www.suredividend.com/sure-analysis-research-database/","Pzena Investment Management Inc")</f>
        <v>0</v>
      </c>
      <c r="C2312">
        <v>0.012591815320042</v>
      </c>
      <c r="D2312">
        <v>0.026573902682921</v>
      </c>
      <c r="E2312">
        <v>0.539050413868997</v>
      </c>
      <c r="F2312">
        <v>0.08135365307037201</v>
      </c>
      <c r="G2312">
        <v>-0.058784515298409</v>
      </c>
      <c r="H2312">
        <v>1.042025520028779</v>
      </c>
      <c r="I2312">
        <v>0.054448900204333</v>
      </c>
    </row>
    <row r="2313" spans="1:9">
      <c r="A2313" s="1" t="s">
        <v>2325</v>
      </c>
      <c r="B2313">
        <f>HYPERLINK("https://www.suredividend.com/sure-analysis-research-database/","Papa John`s International, Inc.")</f>
        <v>0</v>
      </c>
      <c r="C2313">
        <v>-0.08101007152240501</v>
      </c>
      <c r="D2313">
        <v>-0.220034315516931</v>
      </c>
      <c r="E2313">
        <v>-0.139376923108467</v>
      </c>
      <c r="F2313">
        <v>-0.218867283119667</v>
      </c>
      <c r="G2313">
        <v>-0.116101524781025</v>
      </c>
      <c r="H2313">
        <v>-0.470041699704886</v>
      </c>
      <c r="I2313">
        <v>0.249541047701269</v>
      </c>
    </row>
    <row r="2314" spans="1:9">
      <c r="A2314" s="1" t="s">
        <v>2326</v>
      </c>
      <c r="B2314">
        <f>HYPERLINK("https://www.suredividend.com/sure-analysis-research-database/","QAD, Inc.")</f>
        <v>0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</row>
    <row r="2315" spans="1:9">
      <c r="A2315" s="1" t="s">
        <v>2327</v>
      </c>
      <c r="B2315">
        <f>HYPERLINK("https://www.suredividend.com/sure-analysis-research-database/","QAD, Inc.")</f>
        <v>0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</row>
    <row r="2316" spans="1:9">
      <c r="A2316" s="1" t="s">
        <v>2328</v>
      </c>
      <c r="B2316">
        <f>HYPERLINK("https://www.suredividend.com/sure-analysis-QCOM/","Qualcomm, Inc.")</f>
        <v>0</v>
      </c>
      <c r="C2316">
        <v>0.056345634563456</v>
      </c>
      <c r="D2316">
        <v>-0.07922971006249001</v>
      </c>
      <c r="E2316">
        <v>0.03941744442889501</v>
      </c>
      <c r="F2316">
        <v>0.104456599071714</v>
      </c>
      <c r="G2316">
        <v>0.086205029529116</v>
      </c>
      <c r="H2316">
        <v>-0.07923621168780001</v>
      </c>
      <c r="I2316">
        <v>1.144548723796158</v>
      </c>
    </row>
    <row r="2317" spans="1:9">
      <c r="A2317" s="1" t="s">
        <v>2329</v>
      </c>
      <c r="B2317">
        <f>HYPERLINK("https://www.suredividend.com/sure-analysis-research-database/","QCR Holding, Inc.")</f>
        <v>0</v>
      </c>
      <c r="C2317">
        <v>0.021351575456053</v>
      </c>
      <c r="D2317">
        <v>-0.058703505933014</v>
      </c>
      <c r="E2317">
        <v>0.275796887542401</v>
      </c>
      <c r="F2317">
        <v>-0.0009732754775130001</v>
      </c>
      <c r="G2317">
        <v>0.007999345322122001</v>
      </c>
      <c r="H2317">
        <v>-0.129592956186391</v>
      </c>
      <c r="I2317">
        <v>0.347699310148638</v>
      </c>
    </row>
    <row r="2318" spans="1:9">
      <c r="A2318" s="1" t="s">
        <v>2330</v>
      </c>
      <c r="B2318">
        <f>HYPERLINK("https://www.suredividend.com/sure-analysis-research-database/","QuidelOrtho Corporation")</f>
        <v>0</v>
      </c>
      <c r="C2318">
        <v>-0.136982533351671</v>
      </c>
      <c r="D2318">
        <v>-0.247331174283315</v>
      </c>
      <c r="E2318">
        <v>-0.313832695462001</v>
      </c>
      <c r="F2318">
        <v>-0.26753822808451</v>
      </c>
      <c r="G2318">
        <v>-0.292798377099064</v>
      </c>
      <c r="H2318">
        <v>-0.52854996243426</v>
      </c>
      <c r="I2318">
        <v>-0.058938212357528</v>
      </c>
    </row>
    <row r="2319" spans="1:9">
      <c r="A2319" s="1" t="s">
        <v>2331</v>
      </c>
      <c r="B2319">
        <f>HYPERLINK("https://www.suredividend.com/sure-analysis-research-database/","QEP Resources Inc")</f>
        <v>0</v>
      </c>
      <c r="C2319">
        <v>0.182608695652173</v>
      </c>
      <c r="D2319">
        <v>0.7361702127659571</v>
      </c>
      <c r="E2319">
        <v>2.578947368421053</v>
      </c>
      <c r="F2319">
        <v>0.7071129707112971</v>
      </c>
      <c r="G2319">
        <v>6.266251113089938</v>
      </c>
      <c r="H2319">
        <v>-0.4499939337566221</v>
      </c>
      <c r="I2319">
        <v>-0.6848179591962851</v>
      </c>
    </row>
    <row r="2320" spans="1:9">
      <c r="A2320" s="1" t="s">
        <v>2332</v>
      </c>
      <c r="B2320">
        <f>HYPERLINK("https://www.suredividend.com/sure-analysis-research-database/","Qualys Inc")</f>
        <v>0</v>
      </c>
      <c r="C2320">
        <v>-0.001503759398496</v>
      </c>
      <c r="D2320">
        <v>0.129001256745767</v>
      </c>
      <c r="E2320">
        <v>0.414074074074074</v>
      </c>
      <c r="F2320">
        <v>0.360776975853158</v>
      </c>
      <c r="G2320">
        <v>0.141234494096547</v>
      </c>
      <c r="H2320">
        <v>0.222053292790269</v>
      </c>
      <c r="I2320">
        <v>1.040892690097554</v>
      </c>
    </row>
    <row r="2321" spans="1:9">
      <c r="A2321" s="1" t="s">
        <v>2333</v>
      </c>
      <c r="B2321">
        <f>HYPERLINK("https://www.suredividend.com/sure-analysis-research-database/","QuinStreet Inc")</f>
        <v>0</v>
      </c>
      <c r="C2321">
        <v>0.263276836158192</v>
      </c>
      <c r="D2321">
        <v>0.326215895610913</v>
      </c>
      <c r="E2321">
        <v>0.088077858880778</v>
      </c>
      <c r="F2321">
        <v>-0.220905923344947</v>
      </c>
      <c r="G2321">
        <v>-0.014977973568281</v>
      </c>
      <c r="H2321">
        <v>-0.158132530120481</v>
      </c>
      <c r="I2321">
        <v>-0.351131746952989</v>
      </c>
    </row>
    <row r="2322" spans="1:9">
      <c r="A2322" s="1" t="s">
        <v>2334</v>
      </c>
      <c r="B2322">
        <f>HYPERLINK("https://www.suredividend.com/sure-analysis-research-database/","Quest Resource Holding Corp")</f>
        <v>0</v>
      </c>
      <c r="C2322">
        <v>0.021798365122615</v>
      </c>
      <c r="D2322">
        <v>0.138088012139605</v>
      </c>
      <c r="E2322">
        <v>0.361161524500907</v>
      </c>
      <c r="F2322">
        <v>0.227495908346972</v>
      </c>
      <c r="G2322">
        <v>-0.112426035502958</v>
      </c>
      <c r="H2322">
        <v>0.293103448275862</v>
      </c>
      <c r="I2322">
        <v>2.289473684210526</v>
      </c>
    </row>
    <row r="2323" spans="1:9">
      <c r="A2323" s="1" t="s">
        <v>2335</v>
      </c>
      <c r="B2323">
        <f>HYPERLINK("https://www.suredividend.com/sure-analysis-research-database/","Qurate Retail Inc")</f>
        <v>0</v>
      </c>
      <c r="C2323">
        <v>-0.267574468085106</v>
      </c>
      <c r="D2323">
        <v>-0.551770833333333</v>
      </c>
      <c r="E2323">
        <v>-0.4081155433287481</v>
      </c>
      <c r="F2323">
        <v>-0.7360122699386501</v>
      </c>
      <c r="G2323">
        <v>-0.8087555555555551</v>
      </c>
      <c r="H2323">
        <v>-0.9543907997244151</v>
      </c>
      <c r="I2323">
        <v>-0.9752356726021241</v>
      </c>
    </row>
    <row r="2324" spans="1:9">
      <c r="A2324" s="1" t="s">
        <v>2336</v>
      </c>
      <c r="B2324">
        <f>HYPERLINK("https://www.suredividend.com/sure-analysis-research-database/","Qorvo Inc")</f>
        <v>0</v>
      </c>
      <c r="C2324">
        <v>-0.1013456686291</v>
      </c>
      <c r="D2324">
        <v>-0.194420883988313</v>
      </c>
      <c r="E2324">
        <v>-0.08509044204217001</v>
      </c>
      <c r="F2324">
        <v>-0.05692850838481901</v>
      </c>
      <c r="G2324">
        <v>0.011837121212121</v>
      </c>
      <c r="H2324">
        <v>-0.503283165785344</v>
      </c>
      <c r="I2324">
        <v>0.155135135135135</v>
      </c>
    </row>
    <row r="2325" spans="1:9">
      <c r="A2325" s="1" t="s">
        <v>2337</v>
      </c>
      <c r="B2325">
        <f>HYPERLINK("https://www.suredividend.com/sure-analysis-research-database/","Quanterix Corp")</f>
        <v>0</v>
      </c>
      <c r="C2325">
        <v>-0.165481093223511</v>
      </c>
      <c r="D2325">
        <v>-0.06265769554247201</v>
      </c>
      <c r="E2325">
        <v>0.8166259168704151</v>
      </c>
      <c r="F2325">
        <v>0.6093862815884471</v>
      </c>
      <c r="G2325">
        <v>1.174634146341463</v>
      </c>
      <c r="H2325">
        <v>-0.574942791762013</v>
      </c>
      <c r="I2325">
        <v>0.274442538593482</v>
      </c>
    </row>
    <row r="2326" spans="1:9">
      <c r="A2326" s="1" t="s">
        <v>2338</v>
      </c>
      <c r="B2326">
        <f>HYPERLINK("https://www.suredividend.com/sure-analysis-research-database/","Qts Realty Trust Inc")</f>
        <v>0</v>
      </c>
      <c r="C2326">
        <v>0.003088405610603</v>
      </c>
      <c r="D2326">
        <v>0.237832086767344</v>
      </c>
      <c r="E2326">
        <v>0.273106183098637</v>
      </c>
      <c r="F2326">
        <v>0.278042750079109</v>
      </c>
      <c r="G2326">
        <v>0.195862117634785</v>
      </c>
      <c r="H2326">
        <v>0.6937183582121981</v>
      </c>
      <c r="I2326">
        <v>0.709017561553134</v>
      </c>
    </row>
    <row r="2327" spans="1:9">
      <c r="A2327" s="1" t="s">
        <v>2339</v>
      </c>
      <c r="B2327">
        <f>HYPERLINK("https://www.suredividend.com/sure-analysis-research-database/","Q2 Holdings Inc")</f>
        <v>0</v>
      </c>
      <c r="C2327">
        <v>0.027388733271086</v>
      </c>
      <c r="D2327">
        <v>-0.036204379562043</v>
      </c>
      <c r="E2327">
        <v>0.467111111111111</v>
      </c>
      <c r="F2327">
        <v>0.228507629326386</v>
      </c>
      <c r="G2327">
        <v>0.142609899619245</v>
      </c>
      <c r="H2327">
        <v>-0.5669683851502031</v>
      </c>
      <c r="I2327">
        <v>-0.379511278195488</v>
      </c>
    </row>
    <row r="2328" spans="1:9">
      <c r="A2328" s="1" t="s">
        <v>2340</v>
      </c>
      <c r="B2328">
        <f>HYPERLINK("https://www.suredividend.com/sure-analysis-research-database/","Quad/Graphics Inc")</f>
        <v>0</v>
      </c>
      <c r="C2328">
        <v>-0.09780439121756401</v>
      </c>
      <c r="D2328">
        <v>-0.127413127413127</v>
      </c>
      <c r="E2328">
        <v>0.369696969696969</v>
      </c>
      <c r="F2328">
        <v>0.107843137254901</v>
      </c>
      <c r="G2328">
        <v>0.425867507886435</v>
      </c>
      <c r="H2328">
        <v>0.06855791962174901</v>
      </c>
      <c r="I2328">
        <v>-0.700884112446397</v>
      </c>
    </row>
    <row r="2329" spans="1:9">
      <c r="A2329" s="1" t="s">
        <v>2341</v>
      </c>
      <c r="B2329">
        <f>HYPERLINK("https://www.suredividend.com/sure-analysis-research-database/","Quicklogic Corp")</f>
        <v>0</v>
      </c>
      <c r="C2329">
        <v>0.05835240274599501</v>
      </c>
      <c r="D2329">
        <v>0.09988109393579001</v>
      </c>
      <c r="E2329">
        <v>0.592082616179001</v>
      </c>
      <c r="F2329">
        <v>0.7996108949416341</v>
      </c>
      <c r="G2329">
        <v>0.414373088685015</v>
      </c>
      <c r="H2329">
        <v>0.5188834154351391</v>
      </c>
      <c r="I2329">
        <v>-0.314611736810906</v>
      </c>
    </row>
    <row r="2330" spans="1:9">
      <c r="A2330" s="1" t="s">
        <v>2342</v>
      </c>
      <c r="B2330">
        <f>HYPERLINK("https://www.suredividend.com/sure-analysis-research-database/","Qumu Corp")</f>
        <v>0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</row>
    <row r="2331" spans="1:9">
      <c r="A2331" s="1" t="s">
        <v>2343</v>
      </c>
      <c r="B2331">
        <f>HYPERLINK("https://www.suredividend.com/sure-analysis-research-database/","Quotient Technology Inc")</f>
        <v>0</v>
      </c>
      <c r="C2331">
        <v>0.007575757575757001</v>
      </c>
      <c r="D2331">
        <v>0.321192052980132</v>
      </c>
      <c r="E2331">
        <v>0.209090909090909</v>
      </c>
      <c r="F2331">
        <v>0.163265306122448</v>
      </c>
      <c r="G2331">
        <v>1.293103448275862</v>
      </c>
      <c r="H2331">
        <v>-0.424242424242424</v>
      </c>
      <c r="I2331">
        <v>-0.7366336633663361</v>
      </c>
    </row>
    <row r="2332" spans="1:9">
      <c r="A2332" s="1" t="s">
        <v>2344</v>
      </c>
      <c r="B2332">
        <f>HYPERLINK("https://www.suredividend.com/sure-analysis-R/","Ryder System, Inc.")</f>
        <v>0</v>
      </c>
      <c r="C2332">
        <v>-0.07311075380686601</v>
      </c>
      <c r="D2332">
        <v>0.003606840092659</v>
      </c>
      <c r="E2332">
        <v>0.237684721287293</v>
      </c>
      <c r="F2332">
        <v>0.197969319761237</v>
      </c>
      <c r="G2332">
        <v>0.257535589540383</v>
      </c>
      <c r="H2332">
        <v>0.203079884504331</v>
      </c>
      <c r="I2332">
        <v>1.09506014746658</v>
      </c>
    </row>
    <row r="2333" spans="1:9">
      <c r="A2333" s="1" t="s">
        <v>2345</v>
      </c>
      <c r="B2333">
        <f>HYPERLINK("https://www.suredividend.com/sure-analysis-research-database/","Rite Aid Corp.")</f>
        <v>0</v>
      </c>
      <c r="C2333">
        <v>-0.029200359389038</v>
      </c>
      <c r="D2333">
        <v>-0.579025974025974</v>
      </c>
      <c r="E2333">
        <v>-0.73538775510204</v>
      </c>
      <c r="F2333">
        <v>-0.8058982035928141</v>
      </c>
      <c r="G2333">
        <v>-0.832046632124352</v>
      </c>
      <c r="H2333">
        <v>-0.9531913357400721</v>
      </c>
      <c r="I2333">
        <v>-0.9699861111111111</v>
      </c>
    </row>
    <row r="2334" spans="1:9">
      <c r="A2334" s="1" t="s">
        <v>2346</v>
      </c>
      <c r="B2334">
        <f>HYPERLINK("https://www.suredividend.com/sure-analysis-research-database/","FreightCar America Inc")</f>
        <v>0</v>
      </c>
      <c r="C2334">
        <v>0.00375939849624</v>
      </c>
      <c r="D2334">
        <v>-0.173374613003095</v>
      </c>
      <c r="E2334">
        <v>-0.09491525423728801</v>
      </c>
      <c r="F2334">
        <v>-0.165625</v>
      </c>
      <c r="G2334">
        <v>-0.368794326241134</v>
      </c>
      <c r="H2334">
        <v>-0.407982261640798</v>
      </c>
      <c r="I2334">
        <v>-0.7377210216110021</v>
      </c>
    </row>
    <row r="2335" spans="1:9">
      <c r="A2335" s="1" t="s">
        <v>2347</v>
      </c>
      <c r="B2335">
        <f>HYPERLINK("https://www.suredividend.com/sure-analysis-research-database/","LiveRamp Holdings Inc")</f>
        <v>0</v>
      </c>
      <c r="C2335">
        <v>-0.026075177785303</v>
      </c>
      <c r="D2335">
        <v>0.010186160871092</v>
      </c>
      <c r="E2335">
        <v>0.221231422505307</v>
      </c>
      <c r="F2335">
        <v>0.226962457337883</v>
      </c>
      <c r="G2335">
        <v>0.6759906759906761</v>
      </c>
      <c r="H2335">
        <v>-0.460007510326699</v>
      </c>
      <c r="I2335">
        <v>-0.396558959295006</v>
      </c>
    </row>
    <row r="2336" spans="1:9">
      <c r="A2336" s="1" t="s">
        <v>2348</v>
      </c>
      <c r="B2336">
        <f>HYPERLINK("https://www.suredividend.com/sure-analysis-research-database/","Ultragenyx Pharmaceutical Inc.")</f>
        <v>0</v>
      </c>
      <c r="C2336">
        <v>0.051724137931034</v>
      </c>
      <c r="D2336">
        <v>-0.135773317591499</v>
      </c>
      <c r="E2336">
        <v>-0.139026111503175</v>
      </c>
      <c r="F2336">
        <v>-0.210015109000647</v>
      </c>
      <c r="G2336">
        <v>-0.09830007390983</v>
      </c>
      <c r="H2336">
        <v>-0.5685488624307431</v>
      </c>
      <c r="I2336">
        <v>-0.320586597364024</v>
      </c>
    </row>
    <row r="2337" spans="1:9">
      <c r="A2337" s="1" t="s">
        <v>2349</v>
      </c>
      <c r="B2337">
        <f>HYPERLINK("https://www.suredividend.com/sure-analysis-research-database/","Rave Restaurant Group Inc")</f>
        <v>0</v>
      </c>
      <c r="C2337">
        <v>0.0007456140350870001</v>
      </c>
      <c r="D2337">
        <v>0.032443438914027</v>
      </c>
      <c r="E2337">
        <v>0.444113924050632</v>
      </c>
      <c r="F2337">
        <v>0.444113924050632</v>
      </c>
      <c r="G2337">
        <v>0.158223350253807</v>
      </c>
      <c r="H2337">
        <v>0.8253599999999991</v>
      </c>
      <c r="I2337">
        <v>0.677720588235293</v>
      </c>
    </row>
    <row r="2338" spans="1:9">
      <c r="A2338" s="1" t="s">
        <v>2350</v>
      </c>
      <c r="B2338">
        <f>HYPERLINK("https://www.suredividend.com/sure-analysis-research-database/","Raven Industries, Inc.")</f>
        <v>0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</row>
    <row r="2339" spans="1:9">
      <c r="A2339" s="1" t="s">
        <v>2351</v>
      </c>
      <c r="B2339">
        <f>HYPERLINK("https://www.suredividend.com/sure-analysis-research-database/","RBB Bancorp")</f>
        <v>0</v>
      </c>
      <c r="C2339">
        <v>0.006531487619419</v>
      </c>
      <c r="D2339">
        <v>-0.126104712263452</v>
      </c>
      <c r="E2339">
        <v>0.288584740827023</v>
      </c>
      <c r="F2339">
        <v>-0.354068482295533</v>
      </c>
      <c r="G2339">
        <v>-0.388664387110144</v>
      </c>
      <c r="H2339">
        <v>-0.467220516525194</v>
      </c>
      <c r="I2339">
        <v>-0.312529823665841</v>
      </c>
    </row>
    <row r="2340" spans="1:9">
      <c r="A2340" s="1" t="s">
        <v>2352</v>
      </c>
      <c r="B2340">
        <f>HYPERLINK("https://www.suredividend.com/sure-analysis-research-database/","Ribbon Communications Inc")</f>
        <v>0</v>
      </c>
      <c r="C2340">
        <v>-0.249027237354085</v>
      </c>
      <c r="D2340">
        <v>-0.3892405063291141</v>
      </c>
      <c r="E2340">
        <v>-0.268939393939394</v>
      </c>
      <c r="F2340">
        <v>-0.308243727598566</v>
      </c>
      <c r="G2340">
        <v>-0.228</v>
      </c>
      <c r="H2340">
        <v>-0.6672413793103441</v>
      </c>
      <c r="I2340">
        <v>-0.7140740740740741</v>
      </c>
    </row>
    <row r="2341" spans="1:9">
      <c r="A2341" s="1" t="s">
        <v>2353</v>
      </c>
      <c r="B2341">
        <f>HYPERLINK("https://www.suredividend.com/sure-analysis-research-database/","RBC Bearings Inc.")</f>
        <v>0</v>
      </c>
      <c r="C2341">
        <v>-0.035000436414419</v>
      </c>
      <c r="D2341">
        <v>0.005090909090909</v>
      </c>
      <c r="E2341">
        <v>-0.045580110497237</v>
      </c>
      <c r="F2341">
        <v>0.056221638404585</v>
      </c>
      <c r="G2341">
        <v>-0.076126013202974</v>
      </c>
      <c r="H2341">
        <v>-0.023537204680945</v>
      </c>
      <c r="I2341">
        <v>0.313532137341095</v>
      </c>
    </row>
    <row r="2342" spans="1:9">
      <c r="A2342" s="1" t="s">
        <v>2354</v>
      </c>
      <c r="B2342">
        <f>HYPERLINK("https://www.suredividend.com/sure-analysis-RBCAA/","Republic Bancorp, Inc. (KY)")</f>
        <v>0</v>
      </c>
      <c r="C2342">
        <v>0.066943674976915</v>
      </c>
      <c r="D2342">
        <v>0.008690186766997001</v>
      </c>
      <c r="E2342">
        <v>0.234835065896163</v>
      </c>
      <c r="F2342">
        <v>0.178729817885987</v>
      </c>
      <c r="G2342">
        <v>0.08690028830371101</v>
      </c>
      <c r="H2342">
        <v>-0.085027872798682</v>
      </c>
      <c r="I2342">
        <v>0.173019039352733</v>
      </c>
    </row>
    <row r="2343" spans="1:9">
      <c r="A2343" s="1" t="s">
        <v>2355</v>
      </c>
      <c r="B2343">
        <f>HYPERLINK("https://www.suredividend.com/sure-analysis-research-database/","Rubicon Technology Inc")</f>
        <v>0</v>
      </c>
      <c r="C2343">
        <v>0.07981220657276999</v>
      </c>
      <c r="D2343">
        <v>0.028990694345025</v>
      </c>
      <c r="E2343">
        <v>0.161616161616161</v>
      </c>
      <c r="F2343">
        <v>-0.118773946360153</v>
      </c>
      <c r="G2343">
        <v>-0.118773946360153</v>
      </c>
      <c r="H2343">
        <v>-0.118773946360153</v>
      </c>
      <c r="I2343">
        <v>-0.118773946360153</v>
      </c>
    </row>
    <row r="2344" spans="1:9">
      <c r="A2344" s="1" t="s">
        <v>2356</v>
      </c>
      <c r="B2344">
        <f>HYPERLINK("https://www.suredividend.com/sure-analysis-research-database/","Reliant Bancorp Inc")</f>
        <v>0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</row>
    <row r="2345" spans="1:9">
      <c r="A2345" s="1" t="s">
        <v>2357</v>
      </c>
      <c r="B2345">
        <f>HYPERLINK("https://www.suredividend.com/sure-analysis-research-database/","Ready Capital Corp")</f>
        <v>0</v>
      </c>
      <c r="C2345">
        <v>0.004040404040403</v>
      </c>
      <c r="D2345">
        <v>-0.08791440709848501</v>
      </c>
      <c r="E2345">
        <v>0.042070722425487</v>
      </c>
      <c r="F2345">
        <v>-0.0007539582809750001</v>
      </c>
      <c r="G2345">
        <v>-0.022759671631519</v>
      </c>
      <c r="H2345">
        <v>-0.15389133377029</v>
      </c>
      <c r="I2345">
        <v>0.233817012772612</v>
      </c>
    </row>
    <row r="2346" spans="1:9">
      <c r="A2346" s="1" t="s">
        <v>2358</v>
      </c>
      <c r="B2346">
        <f>HYPERLINK("https://www.suredividend.com/sure-analysis-research-database/","Rocket Pharmaceuticals Inc")</f>
        <v>0</v>
      </c>
      <c r="C2346">
        <v>-0.012339331619537</v>
      </c>
      <c r="D2346">
        <v>0.078607523862998</v>
      </c>
      <c r="E2346">
        <v>0.089002267573696</v>
      </c>
      <c r="F2346">
        <v>-0.01839550332141</v>
      </c>
      <c r="G2346">
        <v>0.06191265892758401</v>
      </c>
      <c r="H2346">
        <v>-0.411638591117917</v>
      </c>
      <c r="I2346">
        <v>0.07558790593505001</v>
      </c>
    </row>
    <row r="2347" spans="1:9">
      <c r="A2347" s="1" t="s">
        <v>2359</v>
      </c>
      <c r="B2347">
        <f>HYPERLINK("https://www.suredividend.com/sure-analysis-research-database/","Rocky Brands, Inc")</f>
        <v>0</v>
      </c>
      <c r="C2347">
        <v>0.306637806637806</v>
      </c>
      <c r="D2347">
        <v>-0.10563042930727</v>
      </c>
      <c r="E2347">
        <v>-0.3389473530517561</v>
      </c>
      <c r="F2347">
        <v>-0.203118880934256</v>
      </c>
      <c r="G2347">
        <v>-0.00836673456425</v>
      </c>
      <c r="H2347">
        <v>-0.6486094753202001</v>
      </c>
      <c r="I2347">
        <v>-0.234492232907111</v>
      </c>
    </row>
    <row r="2348" spans="1:9">
      <c r="A2348" s="1" t="s">
        <v>2360</v>
      </c>
      <c r="B2348">
        <f>HYPERLINK("https://www.suredividend.com/sure-analysis-research-database/","Royal Caribbean Group")</f>
        <v>0</v>
      </c>
      <c r="C2348">
        <v>-0.036859323882224</v>
      </c>
      <c r="D2348">
        <v>-0.160456273764258</v>
      </c>
      <c r="E2348">
        <v>0.302462763604188</v>
      </c>
      <c r="F2348">
        <v>0.7867691685211401</v>
      </c>
      <c r="G2348">
        <v>0.7784937575513491</v>
      </c>
      <c r="H2348">
        <v>0.006151742993848</v>
      </c>
      <c r="I2348">
        <v>-0.130071627254603</v>
      </c>
    </row>
    <row r="2349" spans="1:9">
      <c r="A2349" s="1" t="s">
        <v>2361</v>
      </c>
      <c r="B2349">
        <f>HYPERLINK("https://www.suredividend.com/sure-analysis-research-database/","R1 RCM Inc.")</f>
        <v>0</v>
      </c>
      <c r="C2349">
        <v>-0.273578595317725</v>
      </c>
      <c r="D2349">
        <v>-0.403951701427003</v>
      </c>
      <c r="E2349">
        <v>-0.303399615137908</v>
      </c>
      <c r="F2349">
        <v>-0.008219178082191001</v>
      </c>
      <c r="G2349">
        <v>-0.3747841105354061</v>
      </c>
      <c r="H2349">
        <v>-0.468948655256723</v>
      </c>
      <c r="I2349">
        <v>-0.468948655256723</v>
      </c>
    </row>
    <row r="2350" spans="1:9">
      <c r="A2350" s="1" t="s">
        <v>2362</v>
      </c>
      <c r="B2350">
        <f>HYPERLINK("https://www.suredividend.com/sure-analysis-research-database/","RCM Technologies, Inc.")</f>
        <v>0</v>
      </c>
      <c r="C2350">
        <v>0.050599895670318</v>
      </c>
      <c r="D2350">
        <v>0.017685699848408</v>
      </c>
      <c r="E2350">
        <v>0.663088356729975</v>
      </c>
      <c r="F2350">
        <v>0.632090761750405</v>
      </c>
      <c r="G2350">
        <v>0.163489312536106</v>
      </c>
      <c r="H2350">
        <v>2.181674565560821</v>
      </c>
      <c r="I2350">
        <v>3.960591133004927</v>
      </c>
    </row>
    <row r="2351" spans="1:9">
      <c r="A2351" s="1" t="s">
        <v>2363</v>
      </c>
      <c r="B2351">
        <f>HYPERLINK("https://www.suredividend.com/sure-analysis-research-database/","Arcus Biosciences Inc")</f>
        <v>0</v>
      </c>
      <c r="C2351">
        <v>-0.089068825910931</v>
      </c>
      <c r="D2351">
        <v>-0.177115987460815</v>
      </c>
      <c r="E2351">
        <v>-0.117152466367713</v>
      </c>
      <c r="F2351">
        <v>-0.238394584139264</v>
      </c>
      <c r="G2351">
        <v>-0.356617647058823</v>
      </c>
      <c r="H2351">
        <v>-0.5401459854014591</v>
      </c>
      <c r="I2351">
        <v>0.456984273820536</v>
      </c>
    </row>
    <row r="2352" spans="1:9">
      <c r="A2352" s="1" t="s">
        <v>2364</v>
      </c>
      <c r="B2352">
        <f>HYPERLINK("https://www.suredividend.com/sure-analysis-research-database/","Redfin Corp")</f>
        <v>0</v>
      </c>
      <c r="C2352">
        <v>-0.273638968481375</v>
      </c>
      <c r="D2352">
        <v>-0.646196789951151</v>
      </c>
      <c r="E2352">
        <v>-0.25985401459854</v>
      </c>
      <c r="F2352">
        <v>0.195754716981132</v>
      </c>
      <c r="G2352">
        <v>0.181818181818181</v>
      </c>
      <c r="H2352">
        <v>-0.9004320502749411</v>
      </c>
      <c r="I2352">
        <v>-0.683520599250936</v>
      </c>
    </row>
    <row r="2353" spans="1:9">
      <c r="A2353" s="1" t="s">
        <v>2365</v>
      </c>
      <c r="B2353">
        <f>HYPERLINK("https://www.suredividend.com/sure-analysis-research-database/","Reading International Inc")</f>
        <v>0</v>
      </c>
      <c r="C2353">
        <v>-0.09134615384615301</v>
      </c>
      <c r="D2353">
        <v>-0.286792452830188</v>
      </c>
      <c r="E2353">
        <v>-0.407523510971786</v>
      </c>
      <c r="F2353">
        <v>-0.31768953068592</v>
      </c>
      <c r="G2353">
        <v>-0.46</v>
      </c>
      <c r="H2353">
        <v>-0.6095041322314051</v>
      </c>
      <c r="I2353">
        <v>-0.868292682926829</v>
      </c>
    </row>
    <row r="2354" spans="1:9">
      <c r="A2354" s="1" t="s">
        <v>2366</v>
      </c>
      <c r="B2354">
        <f>HYPERLINK("https://www.suredividend.com/sure-analysis-research-database/","Radian Group, Inc.")</f>
        <v>0</v>
      </c>
      <c r="C2354">
        <v>0.05659625348744501</v>
      </c>
      <c r="D2354">
        <v>-0.010108025555717</v>
      </c>
      <c r="E2354">
        <v>0.149450206389399</v>
      </c>
      <c r="F2354">
        <v>0.4293647926585321</v>
      </c>
      <c r="G2354">
        <v>0.3418164885001621</v>
      </c>
      <c r="H2354">
        <v>0.167815686879143</v>
      </c>
      <c r="I2354">
        <v>0.572696423910206</v>
      </c>
    </row>
    <row r="2355" spans="1:9">
      <c r="A2355" s="1" t="s">
        <v>2367</v>
      </c>
      <c r="B2355">
        <f>HYPERLINK("https://www.suredividend.com/sure-analysis-research-database/","Radnet Inc")</f>
        <v>0</v>
      </c>
      <c r="C2355">
        <v>-0.027392387050871</v>
      </c>
      <c r="D2355">
        <v>-0.172518159806295</v>
      </c>
      <c r="E2355">
        <v>-0.027392387050871</v>
      </c>
      <c r="F2355">
        <v>0.451938396176314</v>
      </c>
      <c r="G2355">
        <v>0.530795072788353</v>
      </c>
      <c r="H2355">
        <v>-0.144555694618272</v>
      </c>
      <c r="I2355">
        <v>0.8662116040955631</v>
      </c>
    </row>
    <row r="2356" spans="1:9">
      <c r="A2356" s="1" t="s">
        <v>2368</v>
      </c>
      <c r="B2356">
        <f>HYPERLINK("https://www.suredividend.com/sure-analysis-research-database/","Schnitzer Steel Industries Inc.")</f>
        <v>0</v>
      </c>
      <c r="C2356">
        <v>-0.136396267049533</v>
      </c>
      <c r="D2356">
        <v>-0.303819444444444</v>
      </c>
      <c r="E2356">
        <v>-0.148345716419654</v>
      </c>
      <c r="F2356">
        <v>-0.191246911712801</v>
      </c>
      <c r="G2356">
        <v>-0.062134559912684</v>
      </c>
      <c r="H2356">
        <v>-0.5042313422225521</v>
      </c>
      <c r="I2356">
        <v>0.034749698950627</v>
      </c>
    </row>
    <row r="2357" spans="1:9">
      <c r="A2357" s="1" t="s">
        <v>2369</v>
      </c>
      <c r="B2357">
        <f>HYPERLINK("https://www.suredividend.com/sure-analysis-research-database/","Red Violet Inc")</f>
        <v>0</v>
      </c>
      <c r="C2357">
        <v>0.007403490216816</v>
      </c>
      <c r="D2357">
        <v>-0.07073170731707301</v>
      </c>
      <c r="E2357">
        <v>0.155946601941747</v>
      </c>
      <c r="F2357">
        <v>-0.172458731537793</v>
      </c>
      <c r="G2357">
        <v>0.139354066985646</v>
      </c>
      <c r="H2357">
        <v>-0.434718100890207</v>
      </c>
      <c r="I2357">
        <v>2.196308724832215</v>
      </c>
    </row>
    <row r="2358" spans="1:9">
      <c r="A2358" s="1" t="s">
        <v>2370</v>
      </c>
      <c r="B2358">
        <f>HYPERLINK("https://www.suredividend.com/sure-analysis-research-database/","Reeds Inc")</f>
        <v>0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</row>
    <row r="2359" spans="1:9">
      <c r="A2359" s="1" t="s">
        <v>2371</v>
      </c>
      <c r="B2359">
        <f>HYPERLINK("https://www.suredividend.com/sure-analysis-research-database/","Research Frontiers Inc.")</f>
        <v>0</v>
      </c>
      <c r="C2359">
        <v>-0.019423076923076</v>
      </c>
      <c r="D2359">
        <v>-0.3893413173652691</v>
      </c>
      <c r="E2359">
        <v>-0.358616352201257</v>
      </c>
      <c r="F2359">
        <v>-0.466073298429319</v>
      </c>
      <c r="G2359">
        <v>-0.5641880341880341</v>
      </c>
      <c r="H2359">
        <v>-0.5527192982456131</v>
      </c>
      <c r="I2359">
        <v>-0.215538461538461</v>
      </c>
    </row>
    <row r="2360" spans="1:9">
      <c r="A2360" s="1" t="s">
        <v>2372</v>
      </c>
      <c r="B2360">
        <f>HYPERLINK("https://www.suredividend.com/sure-analysis-REG/","Regency Centers Corporation")</f>
        <v>0</v>
      </c>
      <c r="C2360">
        <v>0.07026003099707201</v>
      </c>
      <c r="D2360">
        <v>-0.034458115833954</v>
      </c>
      <c r="E2360">
        <v>0.08020265748972301</v>
      </c>
      <c r="F2360">
        <v>0.04840723072044</v>
      </c>
      <c r="G2360">
        <v>0.09373570136351801</v>
      </c>
      <c r="H2360">
        <v>-0.047359199996321</v>
      </c>
      <c r="I2360">
        <v>0.252022071043942</v>
      </c>
    </row>
    <row r="2361" spans="1:9">
      <c r="A2361" s="1" t="s">
        <v>2373</v>
      </c>
      <c r="B2361">
        <f>HYPERLINK("https://www.suredividend.com/sure-analysis-research-database/","Renewable Energy Group Inc")</f>
        <v>0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</row>
    <row r="2362" spans="1:9">
      <c r="A2362" s="1" t="s">
        <v>2374</v>
      </c>
      <c r="B2362">
        <f>HYPERLINK("https://www.suredividend.com/sure-analysis-research-database/","Regeneron Pharmaceuticals, Inc.")</f>
        <v>0</v>
      </c>
      <c r="C2362">
        <v>0.0009290612813710001</v>
      </c>
      <c r="D2362">
        <v>0.118382232420914</v>
      </c>
      <c r="E2362">
        <v>0.025474356565846</v>
      </c>
      <c r="F2362">
        <v>0.134859804016687</v>
      </c>
      <c r="G2362">
        <v>0.105755726015557</v>
      </c>
      <c r="H2362">
        <v>0.281822878344318</v>
      </c>
      <c r="I2362">
        <v>1.322215604526504</v>
      </c>
    </row>
    <row r="2363" spans="1:9">
      <c r="A2363" s="1" t="s">
        <v>2375</v>
      </c>
      <c r="B2363">
        <f>HYPERLINK("https://www.suredividend.com/sure-analysis-research-database/","Ring Energy Inc")</f>
        <v>0</v>
      </c>
      <c r="C2363">
        <v>-0.068783068783068</v>
      </c>
      <c r="D2363">
        <v>-0.207207207207207</v>
      </c>
      <c r="E2363">
        <v>0.011494252873563</v>
      </c>
      <c r="F2363">
        <v>-0.284552845528455</v>
      </c>
      <c r="G2363">
        <v>-0.428571428571428</v>
      </c>
      <c r="H2363">
        <v>-0.5281501340482571</v>
      </c>
      <c r="I2363">
        <v>-0.760544217687074</v>
      </c>
    </row>
    <row r="2364" spans="1:9">
      <c r="A2364" s="1" t="s">
        <v>2376</v>
      </c>
      <c r="B2364">
        <f>HYPERLINK("https://www.suredividend.com/sure-analysis-research-database/","Richardson Electronics, Ltd.")</f>
        <v>0</v>
      </c>
      <c r="C2364">
        <v>0.04247460757156001</v>
      </c>
      <c r="D2364">
        <v>-0.135554806897185</v>
      </c>
      <c r="E2364">
        <v>-0.272453102546091</v>
      </c>
      <c r="F2364">
        <v>-0.460348264176015</v>
      </c>
      <c r="G2364">
        <v>-0.509136837345599</v>
      </c>
      <c r="H2364">
        <v>0.024761282358493</v>
      </c>
      <c r="I2364">
        <v>0.7576361428526941</v>
      </c>
    </row>
    <row r="2365" spans="1:9">
      <c r="A2365" s="1" t="s">
        <v>2377</v>
      </c>
      <c r="B2365">
        <f>HYPERLINK("https://www.suredividend.com/sure-analysis-research-database/","Reliv` International, Inc.")</f>
        <v>0</v>
      </c>
      <c r="C2365">
        <v>-0.013054830287206</v>
      </c>
      <c r="D2365">
        <v>-0.089156626506024</v>
      </c>
      <c r="E2365">
        <v>0.028571428571428</v>
      </c>
      <c r="F2365">
        <v>0.018867924528301</v>
      </c>
      <c r="G2365">
        <v>-0.05500000000000001</v>
      </c>
      <c r="H2365">
        <v>-0.066666666666666</v>
      </c>
      <c r="I2365">
        <v>0.470817120622568</v>
      </c>
    </row>
    <row r="2366" spans="1:9">
      <c r="A2366" s="1" t="s">
        <v>2378</v>
      </c>
      <c r="B2366">
        <f>HYPERLINK("https://www.suredividend.com/sure-analysis-research-database/","Replimune Group Inc")</f>
        <v>0</v>
      </c>
      <c r="C2366">
        <v>-0.136162127929068</v>
      </c>
      <c r="D2366">
        <v>-0.360225140712945</v>
      </c>
      <c r="E2366">
        <v>-0.212925562608193</v>
      </c>
      <c r="F2366">
        <v>-0.4985294117647051</v>
      </c>
      <c r="G2366">
        <v>-0.289953149401353</v>
      </c>
      <c r="H2366">
        <v>-0.5680810639645341</v>
      </c>
      <c r="I2366">
        <v>-0.030561478322672</v>
      </c>
    </row>
    <row r="2367" spans="1:9">
      <c r="A2367" s="1" t="s">
        <v>2379</v>
      </c>
      <c r="B2367">
        <f>HYPERLINK("https://www.suredividend.com/sure-analysis-research-database/","RPC, Inc.")</f>
        <v>0</v>
      </c>
      <c r="C2367">
        <v>-0.015513126491646</v>
      </c>
      <c r="D2367">
        <v>0.028562879477365</v>
      </c>
      <c r="E2367">
        <v>0.220829572191722</v>
      </c>
      <c r="F2367">
        <v>-0.058036376922462</v>
      </c>
      <c r="G2367">
        <v>-0.1971428015337</v>
      </c>
      <c r="H2367">
        <v>0.5725668102626661</v>
      </c>
      <c r="I2367">
        <v>-0.419300344900401</v>
      </c>
    </row>
    <row r="2368" spans="1:9">
      <c r="A2368" s="1" t="s">
        <v>2380</v>
      </c>
      <c r="B2368">
        <f>HYPERLINK("https://www.suredividend.com/sure-analysis-research-database/","Strategic Trust")</f>
        <v>0</v>
      </c>
      <c r="C2368">
        <v>-0.021976302724352</v>
      </c>
      <c r="D2368">
        <v>-0.13374966511774</v>
      </c>
      <c r="E2368">
        <v>-0.074590188202552</v>
      </c>
      <c r="F2368">
        <v>-0.043456528170235</v>
      </c>
      <c r="G2368">
        <v>-0.036071876477723</v>
      </c>
      <c r="H2368">
        <v>-0.308095304856002</v>
      </c>
      <c r="I2368">
        <v>-0.308095304856002</v>
      </c>
    </row>
    <row r="2369" spans="1:9">
      <c r="A2369" s="1" t="s">
        <v>2381</v>
      </c>
      <c r="B2369">
        <f>HYPERLINK("https://www.suredividend.com/sure-analysis-research-database/","Resonant Inc")</f>
        <v>0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</row>
    <row r="2370" spans="1:9">
      <c r="A2370" s="1" t="s">
        <v>2382</v>
      </c>
      <c r="B2370">
        <f>HYPERLINK("https://www.suredividend.com/sure-analysis-research-database/","Reata Pharmaceuticals Inc")</f>
        <v>0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</row>
    <row r="2371" spans="1:9">
      <c r="A2371" s="1" t="s">
        <v>2383</v>
      </c>
      <c r="B2371">
        <f>HYPERLINK("https://www.suredividend.com/sure-analysis-research-database/","Revlon, Inc.")</f>
        <v>0</v>
      </c>
      <c r="C2371">
        <v>-0.4009370199692781</v>
      </c>
      <c r="D2371">
        <v>-0.281786372007366</v>
      </c>
      <c r="E2371">
        <v>-0.444458689458689</v>
      </c>
      <c r="F2371">
        <v>-0.6560934744268071</v>
      </c>
      <c r="G2371">
        <v>-0.6217361784675071</v>
      </c>
      <c r="H2371">
        <v>-0.283106617647058</v>
      </c>
      <c r="I2371">
        <v>-0.824723595505618</v>
      </c>
    </row>
    <row r="2372" spans="1:9">
      <c r="A2372" s="1" t="s">
        <v>2384</v>
      </c>
      <c r="B2372">
        <f>HYPERLINK("https://www.suredividend.com/sure-analysis-research-database/","REV Group Inc")</f>
        <v>0</v>
      </c>
      <c r="C2372">
        <v>-0.09253547193090601</v>
      </c>
      <c r="D2372">
        <v>0.07870672523411</v>
      </c>
      <c r="E2372">
        <v>0.37411140484442</v>
      </c>
      <c r="F2372">
        <v>0.178799243517004</v>
      </c>
      <c r="G2372">
        <v>0.114588147934867</v>
      </c>
      <c r="H2372">
        <v>-0.029824167996728</v>
      </c>
      <c r="I2372">
        <v>0.342741346575142</v>
      </c>
    </row>
    <row r="2373" spans="1:9">
      <c r="A2373" s="1" t="s">
        <v>2385</v>
      </c>
      <c r="B2373">
        <f>HYPERLINK("https://www.suredividend.com/sure-analysis-research-database/","REX American Resources Corp")</f>
        <v>0</v>
      </c>
      <c r="C2373">
        <v>-0.048156508653122</v>
      </c>
      <c r="D2373">
        <v>0.030689842476914</v>
      </c>
      <c r="E2373">
        <v>0.35778175313059</v>
      </c>
      <c r="F2373">
        <v>0.191148775894538</v>
      </c>
      <c r="G2373">
        <v>0.306818181818181</v>
      </c>
      <c r="H2373">
        <v>0.249588409614751</v>
      </c>
      <c r="I2373">
        <v>0.540803897685749</v>
      </c>
    </row>
    <row r="2374" spans="1:9">
      <c r="A2374" s="1" t="s">
        <v>2386</v>
      </c>
      <c r="B2374">
        <f>HYPERLINK("https://www.suredividend.com/sure-analysis-research-database/","Rexford Industrial Realty Inc")</f>
        <v>0</v>
      </c>
      <c r="C2374">
        <v>-0.0741120919729</v>
      </c>
      <c r="D2374">
        <v>-0.15395885351107</v>
      </c>
      <c r="E2374">
        <v>-0.162922088648592</v>
      </c>
      <c r="F2374">
        <v>-0.156413316324431</v>
      </c>
      <c r="G2374">
        <v>-0.147025558972496</v>
      </c>
      <c r="H2374">
        <v>-0.300546380288745</v>
      </c>
      <c r="I2374">
        <v>0.562294321008182</v>
      </c>
    </row>
    <row r="2375" spans="1:9">
      <c r="A2375" s="1" t="s">
        <v>2387</v>
      </c>
      <c r="B2375">
        <f>HYPERLINK("https://www.suredividend.com/sure-analysis-research-database/","Resideo Technologies Inc")</f>
        <v>0</v>
      </c>
      <c r="C2375">
        <v>-0.012714558169103</v>
      </c>
      <c r="D2375">
        <v>-0.154139433551198</v>
      </c>
      <c r="E2375">
        <v>-0.105414746543778</v>
      </c>
      <c r="F2375">
        <v>-0.055927051671732</v>
      </c>
      <c r="G2375">
        <v>-0.018951358180669</v>
      </c>
      <c r="H2375">
        <v>-0.399458623356535</v>
      </c>
      <c r="I2375">
        <v>-0.346930193439865</v>
      </c>
    </row>
    <row r="2376" spans="1:9">
      <c r="A2376" s="1" t="s">
        <v>2388</v>
      </c>
      <c r="B2376">
        <f>HYPERLINK("https://www.suredividend.com/sure-analysis-RF/","Regions Financial Corp.")</f>
        <v>0</v>
      </c>
      <c r="C2376">
        <v>-0.065980629539951</v>
      </c>
      <c r="D2376">
        <v>-0.228434416925438</v>
      </c>
      <c r="E2376">
        <v>-0.050145894635755</v>
      </c>
      <c r="F2376">
        <v>-0.259657321619637</v>
      </c>
      <c r="G2376">
        <v>-0.262657396124531</v>
      </c>
      <c r="H2376">
        <v>-0.305392995408301</v>
      </c>
      <c r="I2376">
        <v>0.083727235055731</v>
      </c>
    </row>
    <row r="2377" spans="1:9">
      <c r="A2377" s="1" t="s">
        <v>2389</v>
      </c>
      <c r="B2377">
        <f>HYPERLINK("https://www.suredividend.com/sure-analysis-research-database/","RF Industries Ltd.")</f>
        <v>0</v>
      </c>
      <c r="C2377">
        <v>-0.03030303030303</v>
      </c>
      <c r="D2377">
        <v>-0.244094488188976</v>
      </c>
      <c r="E2377">
        <v>-0.261538461538461</v>
      </c>
      <c r="F2377">
        <v>-0.4396887159533071</v>
      </c>
      <c r="G2377">
        <v>-0.45661402615045</v>
      </c>
      <c r="H2377">
        <v>-0.627425614489003</v>
      </c>
      <c r="I2377">
        <v>-0.6334665410950181</v>
      </c>
    </row>
    <row r="2378" spans="1:9">
      <c r="A2378" s="1" t="s">
        <v>2390</v>
      </c>
      <c r="B2378">
        <f>HYPERLINK("https://www.suredividend.com/sure-analysis-research-database/","Rafael Holdings Inc")</f>
        <v>0</v>
      </c>
      <c r="C2378">
        <v>-0.109375</v>
      </c>
      <c r="D2378">
        <v>-0.181818181818181</v>
      </c>
      <c r="E2378">
        <v>-0.136363636363636</v>
      </c>
      <c r="F2378">
        <v>-0.08556149732620301</v>
      </c>
      <c r="G2378">
        <v>-0.09999999999999901</v>
      </c>
      <c r="H2378">
        <v>-0.775</v>
      </c>
      <c r="I2378">
        <v>-0.7959427207637231</v>
      </c>
    </row>
    <row r="2379" spans="1:9">
      <c r="A2379" s="1" t="s">
        <v>2391</v>
      </c>
      <c r="B2379">
        <f>HYPERLINK("https://www.suredividend.com/sure-analysis-research-database/","Resolute Forest Products Inc")</f>
        <v>0</v>
      </c>
      <c r="C2379">
        <v>0.033146591970121</v>
      </c>
      <c r="D2379">
        <v>0.044853635505193</v>
      </c>
      <c r="E2379">
        <v>0.083210964268233</v>
      </c>
      <c r="F2379">
        <v>0.025011579434923</v>
      </c>
      <c r="G2379">
        <v>0.8050570962479601</v>
      </c>
      <c r="H2379">
        <v>1.586851825875531</v>
      </c>
      <c r="I2379">
        <v>1.911803792055367</v>
      </c>
    </row>
    <row r="2380" spans="1:9">
      <c r="A2380" s="1" t="s">
        <v>2392</v>
      </c>
      <c r="B2380">
        <f>HYPERLINK("https://www.suredividend.com/sure-analysis-RGA/","Reinsurance Group Of America, Inc.")</f>
        <v>0</v>
      </c>
      <c r="C2380">
        <v>0.037957019257605</v>
      </c>
      <c r="D2380">
        <v>0.05003846941152301</v>
      </c>
      <c r="E2380">
        <v>0.07006801938149501</v>
      </c>
      <c r="F2380">
        <v>0.06461625221586301</v>
      </c>
      <c r="G2380">
        <v>0.061002660352193</v>
      </c>
      <c r="H2380">
        <v>0.305077132550076</v>
      </c>
      <c r="I2380">
        <v>0.160395233299817</v>
      </c>
    </row>
    <row r="2381" spans="1:9">
      <c r="A2381" s="1" t="s">
        <v>2393</v>
      </c>
      <c r="B2381">
        <f>HYPERLINK("https://www.suredividend.com/sure-analysis-RGCO/","RGC Resources, Inc.")</f>
        <v>0</v>
      </c>
      <c r="C2381">
        <v>0.012057912202753</v>
      </c>
      <c r="D2381">
        <v>-0.160877430339145</v>
      </c>
      <c r="E2381">
        <v>-0.045368075171499</v>
      </c>
      <c r="F2381">
        <v>-0.202189162105912</v>
      </c>
      <c r="G2381">
        <v>-0.193780032424063</v>
      </c>
      <c r="H2381">
        <v>-0.180206136572905</v>
      </c>
      <c r="I2381">
        <v>-0.294213917965154</v>
      </c>
    </row>
    <row r="2382" spans="1:9">
      <c r="A2382" s="1" t="s">
        <v>2394</v>
      </c>
      <c r="B2382">
        <f>HYPERLINK("https://www.suredividend.com/sure-analysis-research-database/","Repligen Corp.")</f>
        <v>0</v>
      </c>
      <c r="C2382">
        <v>-0.118869385647909</v>
      </c>
      <c r="D2382">
        <v>-0.19908493664946</v>
      </c>
      <c r="E2382">
        <v>-0.131590663359409</v>
      </c>
      <c r="F2382">
        <v>-0.19355029236312</v>
      </c>
      <c r="G2382">
        <v>-0.203941231343283</v>
      </c>
      <c r="H2382">
        <v>-0.548971030291018</v>
      </c>
      <c r="I2382">
        <v>1.061914829356689</v>
      </c>
    </row>
    <row r="2383" spans="1:9">
      <c r="A2383" s="1" t="s">
        <v>2395</v>
      </c>
      <c r="B2383">
        <f>HYPERLINK("https://www.suredividend.com/sure-analysis-RGLD/","Royal Gold, Inc.")</f>
        <v>0</v>
      </c>
      <c r="C2383">
        <v>0.044138167396998</v>
      </c>
      <c r="D2383">
        <v>-0.05097568030616501</v>
      </c>
      <c r="E2383">
        <v>-0.211171288203226</v>
      </c>
      <c r="F2383">
        <v>-0.035150106863708</v>
      </c>
      <c r="G2383">
        <v>0.181251087032382</v>
      </c>
      <c r="H2383">
        <v>0.07893104575262601</v>
      </c>
      <c r="I2383">
        <v>0.481515444551891</v>
      </c>
    </row>
    <row r="2384" spans="1:9">
      <c r="A2384" s="1" t="s">
        <v>2396</v>
      </c>
      <c r="B2384">
        <f>HYPERLINK("https://www.suredividend.com/sure-analysis-research-database/","Regulus Therapeutics Inc")</f>
        <v>0</v>
      </c>
      <c r="C2384">
        <v>-0.021739130434782</v>
      </c>
      <c r="D2384">
        <v>0</v>
      </c>
      <c r="E2384">
        <v>0.042471042471042</v>
      </c>
      <c r="F2384">
        <v>-0.014598540145985</v>
      </c>
      <c r="G2384">
        <v>-0.068965517241379</v>
      </c>
      <c r="H2384">
        <v>-0.715729627289955</v>
      </c>
      <c r="I2384">
        <v>-0.9278074866310161</v>
      </c>
    </row>
    <row r="2385" spans="1:9">
      <c r="A2385" s="1" t="s">
        <v>2397</v>
      </c>
      <c r="B2385">
        <f>HYPERLINK("https://www.suredividend.com/sure-analysis-research-database/","Regenxbio Inc")</f>
        <v>0</v>
      </c>
      <c r="C2385">
        <v>-0.11698817672682</v>
      </c>
      <c r="D2385">
        <v>-0.249206349206349</v>
      </c>
      <c r="E2385">
        <v>-0.271934325295023</v>
      </c>
      <c r="F2385">
        <v>-0.374338624338624</v>
      </c>
      <c r="G2385">
        <v>-0.414603960396039</v>
      </c>
      <c r="H2385">
        <v>-0.612189122711123</v>
      </c>
      <c r="I2385">
        <v>-0.799008498583569</v>
      </c>
    </row>
    <row r="2386" spans="1:9">
      <c r="A2386" s="1" t="s">
        <v>2398</v>
      </c>
      <c r="B2386">
        <f>HYPERLINK("https://www.suredividend.com/sure-analysis-research-database/","Sturm, Ruger &amp; Co., Inc.")</f>
        <v>0</v>
      </c>
      <c r="C2386">
        <v>-0.124735322425409</v>
      </c>
      <c r="D2386">
        <v>-0.124678034751071</v>
      </c>
      <c r="E2386">
        <v>-0.198666264854281</v>
      </c>
      <c r="F2386">
        <v>-0.083556213053529</v>
      </c>
      <c r="G2386">
        <v>-0.08070842262747101</v>
      </c>
      <c r="H2386">
        <v>-0.320679171428784</v>
      </c>
      <c r="I2386">
        <v>0.08288461217870101</v>
      </c>
    </row>
    <row r="2387" spans="1:9">
      <c r="A2387" s="1" t="s">
        <v>2399</v>
      </c>
      <c r="B2387">
        <f>HYPERLINK("https://www.suredividend.com/sure-analysis-research-database/","Regis Corp.")</f>
        <v>0</v>
      </c>
      <c r="C2387">
        <v>-0.207451564828613</v>
      </c>
      <c r="D2387">
        <v>-0.5845312500000001</v>
      </c>
      <c r="E2387">
        <v>-0.549322033898305</v>
      </c>
      <c r="F2387">
        <v>-0.564098360655737</v>
      </c>
      <c r="G2387">
        <v>-0.6001503759398491</v>
      </c>
      <c r="H2387">
        <v>-0.817876712328767</v>
      </c>
      <c r="I2387">
        <v>-0.9685697399527181</v>
      </c>
    </row>
    <row r="2388" spans="1:9">
      <c r="A2388" s="1" t="s">
        <v>2400</v>
      </c>
      <c r="B2388">
        <f>HYPERLINK("https://www.suredividend.com/sure-analysis-research-database/","RH")</f>
        <v>0</v>
      </c>
      <c r="C2388">
        <v>-0.141177817640548</v>
      </c>
      <c r="D2388">
        <v>-0.420186039320776</v>
      </c>
      <c r="E2388">
        <v>-0.127152831652443</v>
      </c>
      <c r="F2388">
        <v>-0.157827763015082</v>
      </c>
      <c r="G2388">
        <v>-0.038252767448818</v>
      </c>
      <c r="H2388">
        <v>-0.65876590388669</v>
      </c>
      <c r="I2388">
        <v>0.8014570490753341</v>
      </c>
    </row>
    <row r="2389" spans="1:9">
      <c r="A2389" s="1" t="s">
        <v>2401</v>
      </c>
      <c r="B2389">
        <f>HYPERLINK("https://www.suredividend.com/sure-analysis-research-database/","Regional Health Properties Inc")</f>
        <v>0</v>
      </c>
      <c r="C2389">
        <v>-0.119718309859154</v>
      </c>
      <c r="D2389">
        <v>-0.409578990458796</v>
      </c>
      <c r="E2389">
        <v>-0.397106109324758</v>
      </c>
      <c r="F2389">
        <v>-0.435240963855421</v>
      </c>
      <c r="G2389">
        <v>-0.258893280632411</v>
      </c>
      <c r="H2389">
        <v>-0.725073313782991</v>
      </c>
      <c r="I2389">
        <v>-0.054176755447941</v>
      </c>
    </row>
    <row r="2390" spans="1:9">
      <c r="A2390" s="1" t="s">
        <v>2402</v>
      </c>
      <c r="B2390">
        <f>HYPERLINK("https://www.suredividend.com/sure-analysis-RHI/","Robert Half Inc")</f>
        <v>0</v>
      </c>
      <c r="C2390">
        <v>0.05275579619602901</v>
      </c>
      <c r="D2390">
        <v>0.027142125695213</v>
      </c>
      <c r="E2390">
        <v>0.082923708360348</v>
      </c>
      <c r="F2390">
        <v>0.047219475547846</v>
      </c>
      <c r="G2390">
        <v>0.022891289978821</v>
      </c>
      <c r="H2390">
        <v>-0.310542346683638</v>
      </c>
      <c r="I2390">
        <v>0.352158585752317</v>
      </c>
    </row>
    <row r="2391" spans="1:9">
      <c r="A2391" s="1" t="s">
        <v>2403</v>
      </c>
      <c r="B2391">
        <f>HYPERLINK("https://www.suredividend.com/sure-analysis-research-database/","Ryman Hospitality Properties Inc")</f>
        <v>0</v>
      </c>
      <c r="C2391">
        <v>0.07075415322098701</v>
      </c>
      <c r="D2391">
        <v>-0.024876055096298</v>
      </c>
      <c r="E2391">
        <v>0.011420391427255</v>
      </c>
      <c r="F2391">
        <v>0.131298284427001</v>
      </c>
      <c r="G2391">
        <v>0.087398484997444</v>
      </c>
      <c r="H2391">
        <v>0.039973812022324</v>
      </c>
      <c r="I2391">
        <v>0.3468231120197831</v>
      </c>
    </row>
    <row r="2392" spans="1:9">
      <c r="A2392" s="1" t="s">
        <v>2404</v>
      </c>
      <c r="B2392">
        <f>HYPERLINK("https://www.suredividend.com/sure-analysis-research-database/","RiceBran Technologies")</f>
        <v>0</v>
      </c>
      <c r="C2392">
        <v>-0.17545045045045</v>
      </c>
      <c r="D2392">
        <v>-0.5932222222222221</v>
      </c>
      <c r="E2392">
        <v>-0.602065217391304</v>
      </c>
      <c r="F2392">
        <v>-0.508524634179084</v>
      </c>
      <c r="G2392">
        <v>-0.730808823529411</v>
      </c>
      <c r="H2392">
        <v>-0.9344728834795061</v>
      </c>
      <c r="I2392">
        <v>-0.9857548638132291</v>
      </c>
    </row>
    <row r="2393" spans="1:9">
      <c r="A2393" s="1" t="s">
        <v>2405</v>
      </c>
      <c r="B2393">
        <f>HYPERLINK("https://www.suredividend.com/sure-analysis-research-database/","RCI Hospitality Holdings Inc")</f>
        <v>0</v>
      </c>
      <c r="C2393">
        <v>-0.07038098449089601</v>
      </c>
      <c r="D2393">
        <v>-0.202858117562707</v>
      </c>
      <c r="E2393">
        <v>-0.236430351703129</v>
      </c>
      <c r="F2393">
        <v>-0.4057542002385811</v>
      </c>
      <c r="G2393">
        <v>-0.30267259311714</v>
      </c>
      <c r="H2393">
        <v>-0.200145625857582</v>
      </c>
      <c r="I2393">
        <v>1.139833221449165</v>
      </c>
    </row>
    <row r="2394" spans="1:9">
      <c r="A2394" s="1" t="s">
        <v>2406</v>
      </c>
      <c r="B2394">
        <f>HYPERLINK("https://www.suredividend.com/sure-analysis-research-database/","Transocean Ltd")</f>
        <v>0</v>
      </c>
      <c r="C2394">
        <v>-0.125634517766497</v>
      </c>
      <c r="D2394">
        <v>-0.179761904761904</v>
      </c>
      <c r="E2394">
        <v>0.202443280977312</v>
      </c>
      <c r="F2394">
        <v>0.5109649122807011</v>
      </c>
      <c r="G2394">
        <v>0.9085872576177281</v>
      </c>
      <c r="H2394">
        <v>0.86720867208672</v>
      </c>
      <c r="I2394">
        <v>-0.367309458218549</v>
      </c>
    </row>
    <row r="2395" spans="1:9">
      <c r="A2395" s="1" t="s">
        <v>2407</v>
      </c>
      <c r="B2395">
        <f>HYPERLINK("https://www.suredividend.com/sure-analysis-research-database/","Rigel Pharmaceuticals")</f>
        <v>0</v>
      </c>
      <c r="C2395">
        <v>-0.224757281553398</v>
      </c>
      <c r="D2395">
        <v>-0.381007751937984</v>
      </c>
      <c r="E2395">
        <v>-0.299561403508771</v>
      </c>
      <c r="F2395">
        <v>-0.467666666666666</v>
      </c>
      <c r="G2395">
        <v>0.136169607285145</v>
      </c>
      <c r="H2395">
        <v>-0.7763305322128851</v>
      </c>
      <c r="I2395">
        <v>-0.736468646864686</v>
      </c>
    </row>
    <row r="2396" spans="1:9">
      <c r="A2396" s="1" t="s">
        <v>2408</v>
      </c>
      <c r="B2396">
        <f>HYPERLINK("https://www.suredividend.com/sure-analysis-research-database/","B. Riley Financial Inc")</f>
        <v>0</v>
      </c>
      <c r="C2396">
        <v>0.032469232783451</v>
      </c>
      <c r="D2396">
        <v>-0.234530943936137</v>
      </c>
      <c r="E2396">
        <v>0.497667846670414</v>
      </c>
      <c r="F2396">
        <v>0.302726044278809</v>
      </c>
      <c r="G2396">
        <v>0.139486696355549</v>
      </c>
      <c r="H2396">
        <v>-0.353204696032452</v>
      </c>
      <c r="I2396">
        <v>1.849709102735518</v>
      </c>
    </row>
    <row r="2397" spans="1:9">
      <c r="A2397" s="1" t="s">
        <v>2409</v>
      </c>
      <c r="B2397">
        <f>HYPERLINK("https://www.suredividend.com/sure-analysis-research-database/","Riot Platforms Inc")</f>
        <v>0</v>
      </c>
      <c r="C2397">
        <v>0.143724696356275</v>
      </c>
      <c r="D2397">
        <v>-0.371174179187534</v>
      </c>
      <c r="E2397">
        <v>-0.040747028862478</v>
      </c>
      <c r="F2397">
        <v>2.333333333333333</v>
      </c>
      <c r="G2397">
        <v>0.925042589437819</v>
      </c>
      <c r="H2397">
        <v>-0.6457680250783699</v>
      </c>
      <c r="I2397">
        <v>3.448818897637796</v>
      </c>
    </row>
    <row r="2398" spans="1:9">
      <c r="A2398" s="1" t="s">
        <v>2410</v>
      </c>
      <c r="B2398">
        <f>HYPERLINK("https://www.suredividend.com/sure-analysis-RJF/","Raymond James Financial, Inc.")</f>
        <v>0</v>
      </c>
      <c r="C2398">
        <v>0.013457029258843</v>
      </c>
      <c r="D2398">
        <v>-0.080454879296406</v>
      </c>
      <c r="E2398">
        <v>0.15808076160032</v>
      </c>
      <c r="F2398">
        <v>-0.05764472798627301</v>
      </c>
      <c r="G2398">
        <v>-0.138833158345201</v>
      </c>
      <c r="H2398">
        <v>0.01547057832076</v>
      </c>
      <c r="I2398">
        <v>1.044333303857314</v>
      </c>
    </row>
    <row r="2399" spans="1:9">
      <c r="A2399" s="1" t="s">
        <v>2411</v>
      </c>
      <c r="B2399">
        <f>HYPERLINK("https://www.suredividend.com/sure-analysis-research-database/","Arcadia Biosciences Inc")</f>
        <v>0</v>
      </c>
      <c r="C2399">
        <v>-0.011940298507462</v>
      </c>
      <c r="D2399">
        <v>-0.237327188940092</v>
      </c>
      <c r="E2399">
        <v>-0.466129032258064</v>
      </c>
      <c r="F2399">
        <v>-0.694649446494464</v>
      </c>
      <c r="G2399">
        <v>-0.758746355685131</v>
      </c>
      <c r="H2399">
        <v>-0.9579949238578681</v>
      </c>
      <c r="I2399">
        <v>-0.9809770114942521</v>
      </c>
    </row>
    <row r="2400" spans="1:9">
      <c r="A2400" s="1" t="s">
        <v>2412</v>
      </c>
      <c r="B2400">
        <f>HYPERLINK("https://www.suredividend.com/sure-analysis-RL/","Ralph Lauren Corp")</f>
        <v>0</v>
      </c>
      <c r="C2400">
        <v>-0.029498016215283</v>
      </c>
      <c r="D2400">
        <v>-0.138599573586884</v>
      </c>
      <c r="E2400">
        <v>0.012952686863303</v>
      </c>
      <c r="F2400">
        <v>0.085405768316222</v>
      </c>
      <c r="G2400">
        <v>0.279524760941972</v>
      </c>
      <c r="H2400">
        <v>0.015063572280428</v>
      </c>
      <c r="I2400">
        <v>-0.06564561961180901</v>
      </c>
    </row>
    <row r="2401" spans="1:9">
      <c r="A2401" s="1" t="s">
        <v>2413</v>
      </c>
      <c r="B2401">
        <f>HYPERLINK("https://www.suredividend.com/sure-analysis-research-database/","Radiant Logistics, Inc.")</f>
        <v>0</v>
      </c>
      <c r="C2401">
        <v>0.008620689655172001</v>
      </c>
      <c r="D2401">
        <v>-0.218958611481976</v>
      </c>
      <c r="E2401">
        <v>-0.080188679245283</v>
      </c>
      <c r="F2401">
        <v>0.149312377210216</v>
      </c>
      <c r="G2401">
        <v>-0.021739130434782</v>
      </c>
      <c r="H2401">
        <v>-0.16189111747851</v>
      </c>
      <c r="I2401">
        <v>0.081330868761552</v>
      </c>
    </row>
    <row r="2402" spans="1:9">
      <c r="A2402" s="1" t="s">
        <v>2414</v>
      </c>
      <c r="B2402">
        <f>HYPERLINK("https://www.suredividend.com/sure-analysis-research-database/","Red Lion Hotels Corporation")</f>
        <v>0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</row>
    <row r="2403" spans="1:9">
      <c r="A2403" s="1" t="s">
        <v>2415</v>
      </c>
      <c r="B2403">
        <f>HYPERLINK("https://www.suredividend.com/sure-analysis-RLI/","RLI Corp.")</f>
        <v>0</v>
      </c>
      <c r="C2403">
        <v>0.002462319056857</v>
      </c>
      <c r="D2403">
        <v>-0.005903166755211</v>
      </c>
      <c r="E2403">
        <v>-0.033736859972036</v>
      </c>
      <c r="F2403">
        <v>0.02983335632924</v>
      </c>
      <c r="G2403">
        <v>0.058808601923429</v>
      </c>
      <c r="H2403">
        <v>0.243735037686976</v>
      </c>
      <c r="I2403">
        <v>0.9741849782670661</v>
      </c>
    </row>
    <row r="2404" spans="1:9">
      <c r="A2404" s="1" t="s">
        <v>2416</v>
      </c>
      <c r="B2404">
        <f>HYPERLINK("https://www.suredividend.com/sure-analysis-research-database/","RLJ Lodging Trust")</f>
        <v>0</v>
      </c>
      <c r="C2404">
        <v>0.013292433537832</v>
      </c>
      <c r="D2404">
        <v>-0.002707081685435</v>
      </c>
      <c r="E2404">
        <v>0.010451185317359</v>
      </c>
      <c r="F2404">
        <v>-0.039151428183598</v>
      </c>
      <c r="G2404">
        <v>-0.111640998978073</v>
      </c>
      <c r="H2404">
        <v>-0.320790925602275</v>
      </c>
      <c r="I2404">
        <v>-0.405640121390958</v>
      </c>
    </row>
    <row r="2405" spans="1:9">
      <c r="A2405" s="1" t="s">
        <v>2417</v>
      </c>
      <c r="B2405">
        <f>HYPERLINK("https://www.suredividend.com/sure-analysis-research-database/","Regional Management Corp")</f>
        <v>0</v>
      </c>
      <c r="C2405">
        <v>-0.176384305097176</v>
      </c>
      <c r="D2405">
        <v>-0.292801118419602</v>
      </c>
      <c r="E2405">
        <v>-0.101384332239737</v>
      </c>
      <c r="F2405">
        <v>-0.174668268824435</v>
      </c>
      <c r="G2405">
        <v>-0.205723318704402</v>
      </c>
      <c r="H2405">
        <v>-0.5473936848723491</v>
      </c>
      <c r="I2405">
        <v>-0.167963251092835</v>
      </c>
    </row>
    <row r="2406" spans="1:9">
      <c r="A2406" s="1" t="s">
        <v>2418</v>
      </c>
      <c r="B2406">
        <f>HYPERLINK("https://www.suredividend.com/sure-analysis-research-database/","RE/MAX Holdings Inc")</f>
        <v>0</v>
      </c>
      <c r="C2406">
        <v>-0.134570765661252</v>
      </c>
      <c r="D2406">
        <v>-0.423837376941137</v>
      </c>
      <c r="E2406">
        <v>-0.390632402672722</v>
      </c>
      <c r="F2406">
        <v>-0.376834273558059</v>
      </c>
      <c r="G2406">
        <v>-0.371595439995507</v>
      </c>
      <c r="H2406">
        <v>-0.6133713397253171</v>
      </c>
      <c r="I2406">
        <v>-0.6254857139032151</v>
      </c>
    </row>
    <row r="2407" spans="1:9">
      <c r="A2407" s="1" t="s">
        <v>2419</v>
      </c>
      <c r="B2407">
        <f>HYPERLINK("https://www.suredividend.com/sure-analysis-research-database/","Rambus Inc.")</f>
        <v>0</v>
      </c>
      <c r="C2407">
        <v>-0.02901904931458</v>
      </c>
      <c r="D2407">
        <v>0.010748702742772</v>
      </c>
      <c r="E2407">
        <v>0.12430426716141</v>
      </c>
      <c r="F2407">
        <v>0.522613065326633</v>
      </c>
      <c r="G2407">
        <v>0.6324453756360371</v>
      </c>
      <c r="H2407">
        <v>1.249072164948453</v>
      </c>
      <c r="I2407">
        <v>4.889848812095033</v>
      </c>
    </row>
    <row r="2408" spans="1:9">
      <c r="A2408" s="1" t="s">
        <v>2420</v>
      </c>
      <c r="B2408">
        <f>HYPERLINK("https://www.suredividend.com/sure-analysis-research-database/","Rocky Mountain Chocolate Factory Inc")</f>
        <v>0</v>
      </c>
      <c r="C2408">
        <v>-0.178644763860369</v>
      </c>
      <c r="D2408">
        <v>-0.32088285229202</v>
      </c>
      <c r="E2408">
        <v>-0.279279279279279</v>
      </c>
      <c r="F2408">
        <v>-0.298245614035087</v>
      </c>
      <c r="G2408">
        <v>-0.393019726858877</v>
      </c>
      <c r="H2408">
        <v>-0.55406911928651</v>
      </c>
      <c r="I2408">
        <v>-0.474396541529243</v>
      </c>
    </row>
    <row r="2409" spans="1:9">
      <c r="A2409" s="1" t="s">
        <v>2421</v>
      </c>
      <c r="B2409">
        <f>HYPERLINK("https://www.suredividend.com/sure-analysis-RMD/","Resmed Inc.")</f>
        <v>0</v>
      </c>
      <c r="C2409">
        <v>0.029845626072041</v>
      </c>
      <c r="D2409">
        <v>-0.322556826695503</v>
      </c>
      <c r="E2409">
        <v>-0.360934763828992</v>
      </c>
      <c r="F2409">
        <v>-0.274121086854966</v>
      </c>
      <c r="G2409">
        <v>-0.305554270401714</v>
      </c>
      <c r="H2409">
        <v>-0.4192417099752681</v>
      </c>
      <c r="I2409">
        <v>0.4870116811157441</v>
      </c>
    </row>
    <row r="2410" spans="1:9">
      <c r="A2410" s="1" t="s">
        <v>2422</v>
      </c>
      <c r="B2410">
        <f>HYPERLINK("https://www.suredividend.com/sure-analysis-research-database/","RMR Group Inc (The)")</f>
        <v>0</v>
      </c>
      <c r="C2410">
        <v>-0.002395804105242</v>
      </c>
      <c r="D2410">
        <v>0.027604361204489</v>
      </c>
      <c r="E2410">
        <v>0.050034531641888</v>
      </c>
      <c r="F2410">
        <v>-0.083914392969409</v>
      </c>
      <c r="G2410">
        <v>-0.04150439431455701</v>
      </c>
      <c r="H2410">
        <v>-0.208829883019113</v>
      </c>
      <c r="I2410">
        <v>-0.5300916229834201</v>
      </c>
    </row>
    <row r="2411" spans="1:9">
      <c r="A2411" s="1" t="s">
        <v>2423</v>
      </c>
      <c r="B2411">
        <f>HYPERLINK("https://www.suredividend.com/sure-analysis-research-database/","Rockwell Medical Inc")</f>
        <v>0</v>
      </c>
      <c r="C2411">
        <v>-0.04926108374384201</v>
      </c>
      <c r="D2411">
        <v>-0.409785932721712</v>
      </c>
      <c r="E2411">
        <v>-0.332179930795847</v>
      </c>
      <c r="F2411">
        <v>0.9014778325123151</v>
      </c>
      <c r="G2411">
        <v>1.031578947368421</v>
      </c>
      <c r="H2411">
        <v>-0.6797690354908821</v>
      </c>
      <c r="I2411">
        <v>-0.9553550774924821</v>
      </c>
    </row>
    <row r="2412" spans="1:9">
      <c r="A2412" s="1" t="s">
        <v>2424</v>
      </c>
      <c r="B2412">
        <f>HYPERLINK("https://www.suredividend.com/sure-analysis-research-database/","Randolph Bancorp Inc")</f>
        <v>0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</row>
    <row r="2413" spans="1:9">
      <c r="A2413" s="1" t="s">
        <v>2425</v>
      </c>
      <c r="B2413">
        <f>HYPERLINK("https://www.suredividend.com/sure-analysis-research-database/","RigNet Inc")</f>
        <v>0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</row>
    <row r="2414" spans="1:9">
      <c r="A2414" s="1" t="s">
        <v>2426</v>
      </c>
      <c r="B2414">
        <f>HYPERLINK("https://www.suredividend.com/sure-analysis-research-database/","RingCentral Inc.")</f>
        <v>0</v>
      </c>
      <c r="C2414">
        <v>-0.09468438538205901</v>
      </c>
      <c r="D2414">
        <v>-0.314292903875188</v>
      </c>
      <c r="E2414">
        <v>0.022514071294559</v>
      </c>
      <c r="F2414">
        <v>-0.230225988700565</v>
      </c>
      <c r="G2414">
        <v>-0.197821607300559</v>
      </c>
      <c r="H2414">
        <v>-0.890178535445129</v>
      </c>
      <c r="I2414">
        <v>-0.6461498506687441</v>
      </c>
    </row>
    <row r="2415" spans="1:9">
      <c r="A2415" s="1" t="s">
        <v>2427</v>
      </c>
      <c r="B2415">
        <f>HYPERLINK("https://www.suredividend.com/sure-analysis-RNR/","RenaissanceRe Holdings Ltd")</f>
        <v>0</v>
      </c>
      <c r="C2415">
        <v>0.055932374974691</v>
      </c>
      <c r="D2415">
        <v>0.08773865489782201</v>
      </c>
      <c r="E2415">
        <v>-0.048570735329262</v>
      </c>
      <c r="F2415">
        <v>0.139062737179606</v>
      </c>
      <c r="G2415">
        <v>0.304224145746001</v>
      </c>
      <c r="H2415">
        <v>0.389255165836882</v>
      </c>
      <c r="I2415">
        <v>0.7552214493597451</v>
      </c>
    </row>
    <row r="2416" spans="1:9">
      <c r="A2416" s="1" t="s">
        <v>2428</v>
      </c>
      <c r="B2416">
        <f>HYPERLINK("https://www.suredividend.com/sure-analysis-research-database/","Renasant Corp.")</f>
        <v>0</v>
      </c>
      <c r="C2416">
        <v>0.014419329696024</v>
      </c>
      <c r="D2416">
        <v>-0.128384917007376</v>
      </c>
      <c r="E2416">
        <v>0.016522890314719</v>
      </c>
      <c r="F2416">
        <v>-0.285923950763592</v>
      </c>
      <c r="G2416">
        <v>-0.316618535048569</v>
      </c>
      <c r="H2416">
        <v>-0.277115125595345</v>
      </c>
      <c r="I2416">
        <v>-0.157997567476645</v>
      </c>
    </row>
    <row r="2417" spans="1:9">
      <c r="A2417" s="1" t="s">
        <v>2429</v>
      </c>
      <c r="B2417">
        <f>HYPERLINK("https://www.suredividend.com/sure-analysis-research-database/","Realnetworks, Inc.")</f>
        <v>0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</row>
    <row r="2418" spans="1:9">
      <c r="A2418" s="1" t="s">
        <v>2430</v>
      </c>
      <c r="B2418">
        <f>HYPERLINK("https://www.suredividend.com/sure-analysis-research-database/","Construction Partners Inc")</f>
        <v>0</v>
      </c>
      <c r="C2418">
        <v>0.093337004405286</v>
      </c>
      <c r="D2418">
        <v>0.207357859531772</v>
      </c>
      <c r="E2418">
        <v>0.53974408685537</v>
      </c>
      <c r="F2418">
        <v>0.487823154739602</v>
      </c>
      <c r="G2418">
        <v>0.3329976502181941</v>
      </c>
      <c r="H2418">
        <v>0.06575415995705801</v>
      </c>
      <c r="I2418">
        <v>3.136458333333333</v>
      </c>
    </row>
    <row r="2419" spans="1:9">
      <c r="A2419" s="1" t="s">
        <v>2431</v>
      </c>
      <c r="B2419">
        <f>HYPERLINK("https://www.suredividend.com/sure-analysis-research-database/","Gibraltar Industries Inc.")</f>
        <v>0</v>
      </c>
      <c r="C2419">
        <v>-0.022188905547226</v>
      </c>
      <c r="D2419">
        <v>-0.104243922538113</v>
      </c>
      <c r="E2419">
        <v>0.306228720208291</v>
      </c>
      <c r="F2419">
        <v>0.421534437663469</v>
      </c>
      <c r="G2419">
        <v>0.330205996328778</v>
      </c>
      <c r="H2419">
        <v>-0.06225736879942401</v>
      </c>
      <c r="I2419">
        <v>0.9847839318320141</v>
      </c>
    </row>
    <row r="2420" spans="1:9">
      <c r="A2420" s="1" t="s">
        <v>2432</v>
      </c>
      <c r="B2420">
        <f>HYPERLINK("https://www.suredividend.com/sure-analysis-research-database/","Rogers Corp.")</f>
        <v>0</v>
      </c>
      <c r="C2420">
        <v>-0.098096184723602</v>
      </c>
      <c r="D2420">
        <v>-0.261087446755199</v>
      </c>
      <c r="E2420">
        <v>-0.258765866532612</v>
      </c>
      <c r="F2420">
        <v>-0.011563599798893</v>
      </c>
      <c r="G2420">
        <v>-0.077211922084017</v>
      </c>
      <c r="H2420">
        <v>-0.5629492404594291</v>
      </c>
      <c r="I2420">
        <v>-0.078653440599859</v>
      </c>
    </row>
    <row r="2421" spans="1:9">
      <c r="A2421" s="1" t="s">
        <v>2433</v>
      </c>
      <c r="B2421">
        <f>HYPERLINK("https://www.suredividend.com/sure-analysis-research-database/","Retail Opportunity Investments Corp")</f>
        <v>0</v>
      </c>
      <c r="C2421">
        <v>0.03</v>
      </c>
      <c r="D2421">
        <v>-0.160651106568787</v>
      </c>
      <c r="E2421">
        <v>0.027756065922735</v>
      </c>
      <c r="F2421">
        <v>-0.130551002750441</v>
      </c>
      <c r="G2421">
        <v>-0.064996368917937</v>
      </c>
      <c r="H2421">
        <v>-0.249485387431916</v>
      </c>
      <c r="I2421">
        <v>-0.143872384343116</v>
      </c>
    </row>
    <row r="2422" spans="1:9">
      <c r="A2422" s="1" t="s">
        <v>2434</v>
      </c>
      <c r="B2422">
        <f>HYPERLINK("https://www.suredividend.com/sure-analysis-ROK/","Rockwell Automation Inc")</f>
        <v>0</v>
      </c>
      <c r="C2422">
        <v>-0.08927628103539301</v>
      </c>
      <c r="D2422">
        <v>-0.146760494416989</v>
      </c>
      <c r="E2422">
        <v>-0.06543879925148301</v>
      </c>
      <c r="F2422">
        <v>0.016443508970526</v>
      </c>
      <c r="G2422">
        <v>0.122457704916894</v>
      </c>
      <c r="H2422">
        <v>-0.217143171980869</v>
      </c>
      <c r="I2422">
        <v>0.654886426539617</v>
      </c>
    </row>
    <row r="2423" spans="1:9">
      <c r="A2423" s="1" t="s">
        <v>2435</v>
      </c>
      <c r="B2423">
        <f>HYPERLINK("https://www.suredividend.com/sure-analysis-research-database/","Roku Inc")</f>
        <v>0</v>
      </c>
      <c r="C2423">
        <v>0.10709219858156</v>
      </c>
      <c r="D2423">
        <v>-0.144657534246575</v>
      </c>
      <c r="E2423">
        <v>0.410117434507678</v>
      </c>
      <c r="F2423">
        <v>0.917690417690417</v>
      </c>
      <c r="G2423">
        <v>0.436855670103092</v>
      </c>
      <c r="H2423">
        <v>-0.7509651893685581</v>
      </c>
      <c r="I2423">
        <v>0.348246674727932</v>
      </c>
    </row>
    <row r="2424" spans="1:9">
      <c r="A2424" s="1" t="s">
        <v>2436</v>
      </c>
      <c r="B2424">
        <f>HYPERLINK("https://www.suredividend.com/sure-analysis-ROL/","Rollins, Inc.")</f>
        <v>0</v>
      </c>
      <c r="C2424">
        <v>0.029219006007646</v>
      </c>
      <c r="D2424">
        <v>-0.084467526410524</v>
      </c>
      <c r="E2424">
        <v>-0.092804051451898</v>
      </c>
      <c r="F2424">
        <v>0.041848070963979</v>
      </c>
      <c r="G2424">
        <v>-0.087954661497845</v>
      </c>
      <c r="H2424">
        <v>0.09980857669771401</v>
      </c>
      <c r="I2424">
        <v>0.507575878785939</v>
      </c>
    </row>
    <row r="2425" spans="1:9">
      <c r="A2425" s="1" t="s">
        <v>2437</v>
      </c>
      <c r="B2425">
        <f>HYPERLINK("https://www.suredividend.com/sure-analysis-research-database/","RBC Bearings Inc.")</f>
        <v>0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</row>
    <row r="2426" spans="1:9">
      <c r="A2426" s="1" t="s">
        <v>2438</v>
      </c>
      <c r="B2426">
        <f>HYPERLINK("https://www.suredividend.com/sure-analysis-ROP/","Roper Technologies Inc")</f>
        <v>0</v>
      </c>
      <c r="C2426">
        <v>0.023876285155918</v>
      </c>
      <c r="D2426">
        <v>0.008700282387078</v>
      </c>
      <c r="E2426">
        <v>0.07688649130306001</v>
      </c>
      <c r="F2426">
        <v>0.151839784576467</v>
      </c>
      <c r="G2426">
        <v>0.234616029541821</v>
      </c>
      <c r="H2426">
        <v>0.04506237904468501</v>
      </c>
      <c r="I2426">
        <v>0.7838895689129121</v>
      </c>
    </row>
    <row r="2427" spans="1:9">
      <c r="A2427" s="1" t="s">
        <v>2439</v>
      </c>
      <c r="B2427">
        <f>HYPERLINK("https://www.suredividend.com/sure-analysis-ROST/","Ross Stores, Inc.")</f>
        <v>0</v>
      </c>
      <c r="C2427">
        <v>0.033633266357997</v>
      </c>
      <c r="D2427">
        <v>0.064450919834214</v>
      </c>
      <c r="E2427">
        <v>0.135570755789903</v>
      </c>
      <c r="F2427">
        <v>0.028324106343591</v>
      </c>
      <c r="G2427">
        <v>0.292325235184188</v>
      </c>
      <c r="H2427">
        <v>0.05886680132197201</v>
      </c>
      <c r="I2427">
        <v>0.240696350263931</v>
      </c>
    </row>
    <row r="2428" spans="1:9">
      <c r="A2428" s="1" t="s">
        <v>2440</v>
      </c>
      <c r="B2428">
        <f>HYPERLINK("https://www.suredividend.com/sure-analysis-research-database/","RealPage Inc.")</f>
        <v>0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</row>
    <row r="2429" spans="1:9">
      <c r="A2429" s="1" t="s">
        <v>2441</v>
      </c>
      <c r="B2429">
        <f>HYPERLINK("https://www.suredividend.com/sure-analysis-research-database/","Retail Properties of America Inc")</f>
        <v>0</v>
      </c>
      <c r="C2429">
        <v>0.03646954040654801</v>
      </c>
      <c r="D2429">
        <v>0.08582564034812401</v>
      </c>
      <c r="E2429">
        <v>0.151448285524149</v>
      </c>
      <c r="F2429">
        <v>0.565532102336988</v>
      </c>
      <c r="G2429">
        <v>1.431313093961469</v>
      </c>
      <c r="H2429">
        <v>0.074346405228758</v>
      </c>
      <c r="I2429">
        <v>0.06087742226955101</v>
      </c>
    </row>
    <row r="2430" spans="1:9">
      <c r="A2430" s="1" t="s">
        <v>2442</v>
      </c>
      <c r="B2430">
        <f>HYPERLINK("https://www.suredividend.com/sure-analysis-research-database/","Rapid7 Inc")</f>
        <v>0</v>
      </c>
      <c r="C2430">
        <v>0.018362497299632</v>
      </c>
      <c r="D2430">
        <v>0.09398932466929601</v>
      </c>
      <c r="E2430">
        <v>0.015510555794916</v>
      </c>
      <c r="F2430">
        <v>0.387286639199529</v>
      </c>
      <c r="G2430">
        <v>0.206552341950345</v>
      </c>
      <c r="H2430">
        <v>-0.61687256176853</v>
      </c>
      <c r="I2430">
        <v>0.336546640204139</v>
      </c>
    </row>
    <row r="2431" spans="1:9">
      <c r="A2431" s="1" t="s">
        <v>2443</v>
      </c>
      <c r="B2431">
        <f>HYPERLINK("https://www.suredividend.com/sure-analysis-RPM/","RPM International, Inc.")</f>
        <v>0</v>
      </c>
      <c r="C2431">
        <v>0.003042302079688</v>
      </c>
      <c r="D2431">
        <v>-0.08824079829109301</v>
      </c>
      <c r="E2431">
        <v>0.160165233785077</v>
      </c>
      <c r="F2431">
        <v>-0.016201342352098</v>
      </c>
      <c r="G2431">
        <v>0.039479895245012</v>
      </c>
      <c r="H2431">
        <v>0.108955496718421</v>
      </c>
      <c r="I2431">
        <v>0.659334395674401</v>
      </c>
    </row>
    <row r="2432" spans="1:9">
      <c r="A2432" s="1" t="s">
        <v>2444</v>
      </c>
      <c r="B2432">
        <f>HYPERLINK("https://www.suredividend.com/sure-analysis-RPT/","RPT Realty")</f>
        <v>0</v>
      </c>
      <c r="C2432">
        <v>0.086829268292683</v>
      </c>
      <c r="D2432">
        <v>0.05221399425721601</v>
      </c>
      <c r="E2432">
        <v>0.262280035806148</v>
      </c>
      <c r="F2432">
        <v>0.155997384996938</v>
      </c>
      <c r="G2432">
        <v>0.301614750075946</v>
      </c>
      <c r="H2432">
        <v>-0.112704101951413</v>
      </c>
      <c r="I2432">
        <v>0.091087169441723</v>
      </c>
    </row>
    <row r="2433" spans="1:9">
      <c r="A2433" s="1" t="s">
        <v>2445</v>
      </c>
      <c r="B2433">
        <f>HYPERLINK("https://www.suredividend.com/sure-analysis-research-database/","Range Resources Corp")</f>
        <v>0</v>
      </c>
      <c r="C2433">
        <v>0.22700394218134</v>
      </c>
      <c r="D2433">
        <v>0.198505958836855</v>
      </c>
      <c r="E2433">
        <v>0.493886464628688</v>
      </c>
      <c r="F2433">
        <v>0.505805515239477</v>
      </c>
      <c r="G2433">
        <v>0.3720973803409851</v>
      </c>
      <c r="H2433">
        <v>0.610024829298572</v>
      </c>
      <c r="I2433">
        <v>1.347712944164032</v>
      </c>
    </row>
    <row r="2434" spans="1:9">
      <c r="A2434" s="1" t="s">
        <v>2446</v>
      </c>
      <c r="B2434">
        <f>HYPERLINK("https://www.suredividend.com/sure-analysis-research-database/","R.R. Donnelley &amp; Sons Co.")</f>
        <v>0</v>
      </c>
      <c r="C2434">
        <v>-0.020776874435411</v>
      </c>
      <c r="D2434">
        <v>0.170626349892008</v>
      </c>
      <c r="E2434">
        <v>1.163672654690618</v>
      </c>
      <c r="F2434">
        <v>-0.037300177619893</v>
      </c>
      <c r="G2434">
        <v>2.419558359621451</v>
      </c>
      <c r="H2434">
        <v>3.106060606060605</v>
      </c>
      <c r="I2434">
        <v>-0.308532353541539</v>
      </c>
    </row>
    <row r="2435" spans="1:9">
      <c r="A2435" s="1" t="s">
        <v>2447</v>
      </c>
      <c r="B2435">
        <f>HYPERLINK("https://www.suredividend.com/sure-analysis-research-database/","Red Robin Gourmet Burgers Inc")</f>
        <v>0</v>
      </c>
      <c r="C2435">
        <v>0.167085427135678</v>
      </c>
      <c r="D2435">
        <v>-0.330209084354722</v>
      </c>
      <c r="E2435">
        <v>-0.280402788536018</v>
      </c>
      <c r="F2435">
        <v>0.6648745519713251</v>
      </c>
      <c r="G2435">
        <v>0.204928664072632</v>
      </c>
      <c r="H2435">
        <v>-0.5359640359640361</v>
      </c>
      <c r="I2435">
        <v>-0.7069400630914821</v>
      </c>
    </row>
    <row r="2436" spans="1:9">
      <c r="A2436" s="1" t="s">
        <v>2448</v>
      </c>
      <c r="B2436">
        <f>HYPERLINK("https://www.suredividend.com/sure-analysis-research-database/","Red Rock Resorts Inc")</f>
        <v>0</v>
      </c>
      <c r="C2436">
        <v>-0.025578562728379</v>
      </c>
      <c r="D2436">
        <v>-0.153161354518413</v>
      </c>
      <c r="E2436">
        <v>-0.155537352694047</v>
      </c>
      <c r="F2436">
        <v>0.027722823154595</v>
      </c>
      <c r="G2436">
        <v>0.05722773742691901</v>
      </c>
      <c r="H2436">
        <v>-0.146451800133153</v>
      </c>
      <c r="I2436">
        <v>0.8964356491973331</v>
      </c>
    </row>
    <row r="2437" spans="1:9">
      <c r="A2437" s="1" t="s">
        <v>2449</v>
      </c>
      <c r="B2437">
        <f>HYPERLINK("https://www.suredividend.com/sure-analysis-research-database/","Roadrunner Transportation Systems Inc")</f>
        <v>0</v>
      </c>
      <c r="C2437">
        <v>0</v>
      </c>
      <c r="D2437">
        <v>-0.165</v>
      </c>
      <c r="E2437">
        <v>0.151724137931034</v>
      </c>
      <c r="F2437">
        <v>0.143835616438356</v>
      </c>
      <c r="G2437">
        <v>-0.27391304347826</v>
      </c>
      <c r="H2437">
        <v>-0.257777777777777</v>
      </c>
      <c r="I2437">
        <v>-0.204761904761904</v>
      </c>
    </row>
    <row r="2438" spans="1:9">
      <c r="A2438" s="1" t="s">
        <v>2450</v>
      </c>
      <c r="B2438">
        <f>HYPERLINK("https://www.suredividend.com/sure-analysis-RS/","Reliance Steel &amp; Aluminum Co.")</f>
        <v>0</v>
      </c>
      <c r="C2438">
        <v>0.019384615384615</v>
      </c>
      <c r="D2438">
        <v>-0.06684599297247401</v>
      </c>
      <c r="E2438">
        <v>0.07861773818288001</v>
      </c>
      <c r="F2438">
        <v>0.324603266228564</v>
      </c>
      <c r="G2438">
        <v>0.353819057976085</v>
      </c>
      <c r="H2438">
        <v>0.822749570686907</v>
      </c>
      <c r="I2438">
        <v>2.568091803243377</v>
      </c>
    </row>
    <row r="2439" spans="1:9">
      <c r="A2439" s="1" t="s">
        <v>2451</v>
      </c>
      <c r="B2439">
        <f>HYPERLINK("https://www.suredividend.com/sure-analysis-RSG/","Republic Services, Inc.")</f>
        <v>0</v>
      </c>
      <c r="C2439">
        <v>0.07473788608671</v>
      </c>
      <c r="D2439">
        <v>-0.001953857388146</v>
      </c>
      <c r="E2439">
        <v>0.05388564323077601</v>
      </c>
      <c r="F2439">
        <v>0.188729052675952</v>
      </c>
      <c r="G2439">
        <v>0.181068340969159</v>
      </c>
      <c r="H2439">
        <v>0.162966296131341</v>
      </c>
      <c r="I2439">
        <v>1.301167648049217</v>
      </c>
    </row>
    <row r="2440" spans="1:9">
      <c r="A2440" s="1" t="s">
        <v>2452</v>
      </c>
      <c r="B2440">
        <f>HYPERLINK("https://www.suredividend.com/sure-analysis-research-database/","Rubius Therapeutics Inc")</f>
        <v>0</v>
      </c>
      <c r="C2440">
        <v>0.05521472392638001</v>
      </c>
      <c r="D2440">
        <v>-0.044444444444444</v>
      </c>
      <c r="E2440">
        <v>-0.16504854368932</v>
      </c>
      <c r="F2440">
        <v>-0.752161383285302</v>
      </c>
      <c r="G2440">
        <v>-0.752161383285302</v>
      </c>
      <c r="H2440">
        <v>-0.752161383285302</v>
      </c>
      <c r="I2440">
        <v>-0.752161383285302</v>
      </c>
    </row>
    <row r="2441" spans="1:9">
      <c r="A2441" s="1" t="s">
        <v>2453</v>
      </c>
      <c r="B2441">
        <f>HYPERLINK("https://www.suredividend.com/sure-analysis-research-database/","Sunrun Inc")</f>
        <v>0</v>
      </c>
      <c r="C2441">
        <v>-0.070284697508896</v>
      </c>
      <c r="D2441">
        <v>-0.414237668161435</v>
      </c>
      <c r="E2441">
        <v>-0.462171899125064</v>
      </c>
      <c r="F2441">
        <v>-0.5649458784346371</v>
      </c>
      <c r="G2441">
        <v>-0.5175438596491221</v>
      </c>
      <c r="H2441">
        <v>-0.8189535689535691</v>
      </c>
      <c r="I2441">
        <v>-0.203506097560975</v>
      </c>
    </row>
    <row r="2442" spans="1:9">
      <c r="A2442" s="1" t="s">
        <v>2454</v>
      </c>
      <c r="B2442">
        <f>HYPERLINK("https://www.suredividend.com/sure-analysis-research-database/","Rush Enterprises Inc")</f>
        <v>0</v>
      </c>
      <c r="C2442">
        <v>-0.088850603002707</v>
      </c>
      <c r="D2442">
        <v>-0.145894664956302</v>
      </c>
      <c r="E2442">
        <v>0.066880311706576</v>
      </c>
      <c r="F2442">
        <v>0.07941673008458601</v>
      </c>
      <c r="G2442">
        <v>0.159712671944163</v>
      </c>
      <c r="H2442">
        <v>0.08331772637887401</v>
      </c>
      <c r="I2442">
        <v>1.370949148200333</v>
      </c>
    </row>
    <row r="2443" spans="1:9">
      <c r="A2443" s="1" t="s">
        <v>2455</v>
      </c>
      <c r="B2443">
        <f>HYPERLINK("https://www.suredividend.com/sure-analysis-research-database/","Rush Enterprises Inc")</f>
        <v>0</v>
      </c>
      <c r="C2443">
        <v>-0.07947019867549601</v>
      </c>
      <c r="D2443">
        <v>-0.09597219843518601</v>
      </c>
      <c r="E2443">
        <v>0.111342085485392</v>
      </c>
      <c r="F2443">
        <v>0.128316967776674</v>
      </c>
      <c r="G2443">
        <v>0.229337837957353</v>
      </c>
      <c r="H2443">
        <v>0.237546630578976</v>
      </c>
      <c r="I2443">
        <v>2.978324333606824</v>
      </c>
    </row>
    <row r="2444" spans="1:9">
      <c r="A2444" s="1" t="s">
        <v>2456</v>
      </c>
      <c r="B2444">
        <f>HYPERLINK("https://www.suredividend.com/sure-analysis-research-database/","Ruths Hospitality Group Inc")</f>
        <v>0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</row>
    <row r="2445" spans="1:9">
      <c r="A2445" s="1" t="s">
        <v>2457</v>
      </c>
      <c r="B2445">
        <f>HYPERLINK("https://www.suredividend.com/sure-analysis-research-database/","Retail Value Inc")</f>
        <v>0</v>
      </c>
      <c r="C2445">
        <v>-0.11504424778761</v>
      </c>
      <c r="D2445">
        <v>-0.016812506144921</v>
      </c>
      <c r="E2445">
        <v>0.20491605751466</v>
      </c>
      <c r="F2445">
        <v>-0.039784911820247</v>
      </c>
      <c r="G2445">
        <v>0.6727069974909391</v>
      </c>
      <c r="H2445">
        <v>2.332963004110654</v>
      </c>
      <c r="I2445">
        <v>-0.9047619047619041</v>
      </c>
    </row>
    <row r="2446" spans="1:9">
      <c r="A2446" s="1" t="s">
        <v>2458</v>
      </c>
      <c r="B2446">
        <f>HYPERLINK("https://www.suredividend.com/sure-analysis-research-database/","Revance Therapeutics Inc")</f>
        <v>0</v>
      </c>
      <c r="C2446">
        <v>-0.246428571428571</v>
      </c>
      <c r="D2446">
        <v>-0.6179266636487091</v>
      </c>
      <c r="E2446">
        <v>-0.745322872661436</v>
      </c>
      <c r="F2446">
        <v>-0.542795232936078</v>
      </c>
      <c r="G2446">
        <v>-0.6182722749886921</v>
      </c>
      <c r="H2446">
        <v>-0.409790209790209</v>
      </c>
      <c r="I2446">
        <v>-0.660771704180064</v>
      </c>
    </row>
    <row r="2447" spans="1:9">
      <c r="A2447" s="1" t="s">
        <v>2459</v>
      </c>
      <c r="B2447">
        <f>HYPERLINK("https://www.suredividend.com/sure-analysis-research-database/","Retractable Technologies Inc")</f>
        <v>0</v>
      </c>
      <c r="C2447">
        <v>-0.09090909090909001</v>
      </c>
      <c r="D2447">
        <v>-0.035087719298245</v>
      </c>
      <c r="E2447">
        <v>-0.316770186335403</v>
      </c>
      <c r="F2447">
        <v>-0.3293091884641171</v>
      </c>
      <c r="G2447">
        <v>-0.5491803278688521</v>
      </c>
      <c r="H2447">
        <v>-0.8826040554962641</v>
      </c>
      <c r="I2447">
        <v>0.5942028985507241</v>
      </c>
    </row>
    <row r="2448" spans="1:9">
      <c r="A2448" s="1" t="s">
        <v>2460</v>
      </c>
      <c r="B2448">
        <f>HYPERLINK("https://www.suredividend.com/sure-analysis-research-database/","Riverview Bancorp, Inc.")</f>
        <v>0</v>
      </c>
      <c r="C2448">
        <v>0.010751896310479</v>
      </c>
      <c r="D2448">
        <v>-0.012376771965172</v>
      </c>
      <c r="E2448">
        <v>0.254283755997258</v>
      </c>
      <c r="F2448">
        <v>-0.228780940072486</v>
      </c>
      <c r="G2448">
        <v>-0.115970500144922</v>
      </c>
      <c r="H2448">
        <v>-0.178131409152831</v>
      </c>
      <c r="I2448">
        <v>-0.198001577701814</v>
      </c>
    </row>
    <row r="2449" spans="1:9">
      <c r="A2449" s="1" t="s">
        <v>2461</v>
      </c>
      <c r="B2449">
        <f>HYPERLINK("https://www.suredividend.com/sure-analysis-research-database/","Redwood Trust Inc.")</f>
        <v>0</v>
      </c>
      <c r="C2449">
        <v>-0.038737446197991</v>
      </c>
      <c r="D2449">
        <v>-0.084861978064004</v>
      </c>
      <c r="E2449">
        <v>0.216390406855358</v>
      </c>
      <c r="F2449">
        <v>0.076270641907087</v>
      </c>
      <c r="G2449">
        <v>0.099045306912503</v>
      </c>
      <c r="H2449">
        <v>-0.383216113709172</v>
      </c>
      <c r="I2449">
        <v>-0.3711341173820401</v>
      </c>
    </row>
    <row r="2450" spans="1:9">
      <c r="A2450" s="1" t="s">
        <v>2462</v>
      </c>
      <c r="B2450">
        <f>HYPERLINK("https://www.suredividend.com/sure-analysis-research-database/","Rayonier Advanced Materials Inc")</f>
        <v>0</v>
      </c>
      <c r="C2450">
        <v>-0.222222222222222</v>
      </c>
      <c r="D2450">
        <v>-0.389261744966442</v>
      </c>
      <c r="E2450">
        <v>-0.480988593155893</v>
      </c>
      <c r="F2450">
        <v>-0.715625</v>
      </c>
      <c r="G2450">
        <v>-0.544999999999999</v>
      </c>
      <c r="H2450">
        <v>-0.6388888888888881</v>
      </c>
      <c r="I2450">
        <v>-0.785336856010568</v>
      </c>
    </row>
    <row r="2451" spans="1:9">
      <c r="A2451" s="1" t="s">
        <v>2463</v>
      </c>
      <c r="B2451">
        <f>HYPERLINK("https://www.suredividend.com/sure-analysis-research-database/","Ryerson Holding Corp.")</f>
        <v>0</v>
      </c>
      <c r="C2451">
        <v>0.016427822439706</v>
      </c>
      <c r="D2451">
        <v>-0.113706462506248</v>
      </c>
      <c r="E2451">
        <v>-0.236099800881585</v>
      </c>
      <c r="F2451">
        <v>-0.023899033297529</v>
      </c>
      <c r="G2451">
        <v>-0.06048377977584701</v>
      </c>
      <c r="H2451">
        <v>0.114945172916187</v>
      </c>
      <c r="I2451">
        <v>2.525745947453291</v>
      </c>
    </row>
    <row r="2452" spans="1:9">
      <c r="A2452" s="1" t="s">
        <v>2464</v>
      </c>
      <c r="B2452">
        <f>HYPERLINK("https://www.suredividend.com/sure-analysis-RYN/","Rayonier Inc.")</f>
        <v>0</v>
      </c>
      <c r="C2452">
        <v>0.03402099167571401</v>
      </c>
      <c r="D2452">
        <v>-0.104778795446498</v>
      </c>
      <c r="E2452">
        <v>-0.054405602737821</v>
      </c>
      <c r="F2452">
        <v>-0.108872288329876</v>
      </c>
      <c r="G2452">
        <v>-0.07295641564779401</v>
      </c>
      <c r="H2452">
        <v>-0.190541490060971</v>
      </c>
      <c r="I2452">
        <v>0.08230766025313101</v>
      </c>
    </row>
    <row r="2453" spans="1:9">
      <c r="A2453" s="1" t="s">
        <v>2465</v>
      </c>
      <c r="B2453">
        <f>HYPERLINK("https://www.suredividend.com/sure-analysis-research-database/","Rhythm Pharmaceuticals Inc.")</f>
        <v>0</v>
      </c>
      <c r="C2453">
        <v>0.13076923076923</v>
      </c>
      <c r="D2453">
        <v>0.027549342105263</v>
      </c>
      <c r="E2453">
        <v>0.33351120597652</v>
      </c>
      <c r="F2453">
        <v>-0.141826923076923</v>
      </c>
      <c r="G2453">
        <v>0.09126637554585101</v>
      </c>
      <c r="H2453">
        <v>0.9372093023255811</v>
      </c>
      <c r="I2453">
        <v>-0.192829457364341</v>
      </c>
    </row>
    <row r="2454" spans="1:9">
      <c r="A2454" s="1" t="s">
        <v>2466</v>
      </c>
      <c r="B2454">
        <f>HYPERLINK("https://www.suredividend.com/sure-analysis-research-database/","SentinelOne Inc")</f>
        <v>0</v>
      </c>
      <c r="C2454">
        <v>-0.101956135151155</v>
      </c>
      <c r="D2454">
        <v>-0.053716427232979</v>
      </c>
      <c r="E2454">
        <v>-0.03687221869040001</v>
      </c>
      <c r="F2454">
        <v>0.038382453735435</v>
      </c>
      <c r="G2454">
        <v>-0.273381294964028</v>
      </c>
      <c r="H2454">
        <v>-0.7641289117234931</v>
      </c>
      <c r="I2454">
        <v>-0.643529411764705</v>
      </c>
    </row>
    <row r="2455" spans="1:9">
      <c r="A2455" s="1" t="s">
        <v>2467</v>
      </c>
      <c r="B2455">
        <f>HYPERLINK("https://www.suredividend.com/sure-analysis-research-database/","Sabre Corp")</f>
        <v>0</v>
      </c>
      <c r="C2455">
        <v>0.012224938875305</v>
      </c>
      <c r="D2455">
        <v>0.121951219512195</v>
      </c>
      <c r="E2455">
        <v>0.058823529411764</v>
      </c>
      <c r="F2455">
        <v>-0.33009708737864</v>
      </c>
      <c r="G2455">
        <v>-0.18019801980198</v>
      </c>
      <c r="H2455">
        <v>-0.540510543840177</v>
      </c>
      <c r="I2455">
        <v>-0.8201087169058699</v>
      </c>
    </row>
    <row r="2456" spans="1:9">
      <c r="A2456" s="1" t="s">
        <v>2468</v>
      </c>
      <c r="B2456">
        <f>HYPERLINK("https://www.suredividend.com/sure-analysis-SACH/","Sachem Capital Corp")</f>
        <v>0</v>
      </c>
      <c r="C2456">
        <v>0.029776674937965</v>
      </c>
      <c r="D2456">
        <v>-0.017199017199017</v>
      </c>
      <c r="E2456">
        <v>0.166139796276782</v>
      </c>
      <c r="F2456">
        <v>0.238205348152015</v>
      </c>
      <c r="G2456">
        <v>0.141638870740345</v>
      </c>
      <c r="H2456">
        <v>-0.153342003927269</v>
      </c>
      <c r="I2456">
        <v>0.57345971563981</v>
      </c>
    </row>
    <row r="2457" spans="1:9">
      <c r="A2457" s="1" t="s">
        <v>2469</v>
      </c>
      <c r="B2457">
        <f>HYPERLINK("https://www.suredividend.com/sure-analysis-SAFE/","Safehold Inc.")</f>
        <v>0</v>
      </c>
      <c r="C2457">
        <v>-0.022900763358778</v>
      </c>
      <c r="D2457">
        <v>-0.276399041576615</v>
      </c>
      <c r="E2457">
        <v>-0.36314752090629</v>
      </c>
      <c r="F2457">
        <v>1.18086500655308</v>
      </c>
      <c r="G2457">
        <v>1.094319912401042</v>
      </c>
      <c r="H2457">
        <v>-0.194949079561672</v>
      </c>
      <c r="I2457">
        <v>1.287914203217379</v>
      </c>
    </row>
    <row r="2458" spans="1:9">
      <c r="A2458" s="1" t="s">
        <v>2470</v>
      </c>
      <c r="B2458">
        <f>HYPERLINK("https://www.suredividend.com/sure-analysis-research-database/","Sanderson Farms, Inc.")</f>
        <v>0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</row>
    <row r="2459" spans="1:9">
      <c r="A2459" s="1" t="s">
        <v>2471</v>
      </c>
      <c r="B2459">
        <f>HYPERLINK("https://www.suredividend.com/sure-analysis-research-database/","Safety Insurance Group, Inc.")</f>
        <v>0</v>
      </c>
      <c r="C2459">
        <v>0.153336279275298</v>
      </c>
      <c r="D2459">
        <v>0.13100113100113</v>
      </c>
      <c r="E2459">
        <v>0.144579546085771</v>
      </c>
      <c r="F2459">
        <v>-0.01152214228274</v>
      </c>
      <c r="G2459">
        <v>-0.010361502430491</v>
      </c>
      <c r="H2459">
        <v>0.104535932683965</v>
      </c>
      <c r="I2459">
        <v>0.173023163836729</v>
      </c>
    </row>
    <row r="2460" spans="1:9">
      <c r="A2460" s="1" t="s">
        <v>2472</v>
      </c>
      <c r="B2460">
        <f>HYPERLINK("https://www.suredividend.com/sure-analysis-research-database/","Sage Therapeutics Inc")</f>
        <v>0</v>
      </c>
      <c r="C2460">
        <v>-0.010121457489878</v>
      </c>
      <c r="D2460">
        <v>-0.4676102340773</v>
      </c>
      <c r="E2460">
        <v>-0.570581778265642</v>
      </c>
      <c r="F2460">
        <v>-0.487152595700052</v>
      </c>
      <c r="G2460">
        <v>-0.469918699186991</v>
      </c>
      <c r="H2460">
        <v>-0.551067248106495</v>
      </c>
      <c r="I2460">
        <v>-0.8577971646673931</v>
      </c>
    </row>
    <row r="2461" spans="1:9">
      <c r="A2461" s="1" t="s">
        <v>2473</v>
      </c>
      <c r="B2461">
        <f>HYPERLINK("https://www.suredividend.com/sure-analysis-research-database/","Sonic Automotive, Inc.")</f>
        <v>0</v>
      </c>
      <c r="C2461">
        <v>0.09463519313304701</v>
      </c>
      <c r="D2461">
        <v>0.02987880097153</v>
      </c>
      <c r="E2461">
        <v>0.189141305234692</v>
      </c>
      <c r="F2461">
        <v>0.053224920610668</v>
      </c>
      <c r="G2461">
        <v>0.146263800220668</v>
      </c>
      <c r="H2461">
        <v>0.05431990062399301</v>
      </c>
      <c r="I2461">
        <v>2.012211829176114</v>
      </c>
    </row>
    <row r="2462" spans="1:9">
      <c r="A2462" s="1" t="s">
        <v>2474</v>
      </c>
      <c r="B2462">
        <f>HYPERLINK("https://www.suredividend.com/sure-analysis-research-database/","Saia Inc.")</f>
        <v>0</v>
      </c>
      <c r="C2462">
        <v>-0.055406858943892</v>
      </c>
      <c r="D2462">
        <v>-0.111754051701832</v>
      </c>
      <c r="E2462">
        <v>0.283374116367591</v>
      </c>
      <c r="F2462">
        <v>0.800934757726058</v>
      </c>
      <c r="G2462">
        <v>0.8934964649250361</v>
      </c>
      <c r="H2462">
        <v>0.128706360593017</v>
      </c>
      <c r="I2462">
        <v>4.920664785199122</v>
      </c>
    </row>
    <row r="2463" spans="1:9">
      <c r="A2463" s="1" t="s">
        <v>2475</v>
      </c>
      <c r="B2463">
        <f>HYPERLINK("https://www.suredividend.com/sure-analysis-research-database/","Science Applications International Corp.")</f>
        <v>0</v>
      </c>
      <c r="C2463">
        <v>0.033197243931573</v>
      </c>
      <c r="D2463">
        <v>-0.09458692738440701</v>
      </c>
      <c r="E2463">
        <v>0.108946908323295</v>
      </c>
      <c r="F2463">
        <v>0.005985113503369</v>
      </c>
      <c r="G2463">
        <v>0.026717404216711</v>
      </c>
      <c r="H2463">
        <v>0.251123465922196</v>
      </c>
      <c r="I2463">
        <v>0.725572670414209</v>
      </c>
    </row>
    <row r="2464" spans="1:9">
      <c r="A2464" s="1" t="s">
        <v>2476</v>
      </c>
      <c r="B2464">
        <f>HYPERLINK("https://www.suredividend.com/sure-analysis-research-database/","SailPoint Technologies Holdings Inc")</f>
        <v>0</v>
      </c>
      <c r="C2464">
        <v>0.025302530253025</v>
      </c>
      <c r="D2464">
        <v>0.08192371475953501</v>
      </c>
      <c r="E2464">
        <v>0.577369439071566</v>
      </c>
      <c r="F2464">
        <v>0.349606950765411</v>
      </c>
      <c r="G2464">
        <v>0.476352115863317</v>
      </c>
      <c r="H2464">
        <v>0.7878870923540691</v>
      </c>
      <c r="I2464">
        <v>4.018461538461538</v>
      </c>
    </row>
    <row r="2465" spans="1:9">
      <c r="A2465" s="1" t="s">
        <v>2477</v>
      </c>
      <c r="B2465">
        <f>HYPERLINK("https://www.suredividend.com/sure-analysis-research-database/","Salisbury Bancorp, Inc.")</f>
        <v>0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</row>
    <row r="2466" spans="1:9">
      <c r="A2466" s="1" t="s">
        <v>2478</v>
      </c>
      <c r="B2466">
        <f>HYPERLINK("https://www.suredividend.com/sure-analysis-research-database/","Salem Media Group Inc")</f>
        <v>0</v>
      </c>
      <c r="C2466">
        <v>0.111111111111111</v>
      </c>
      <c r="D2466">
        <v>-0.294662596062743</v>
      </c>
      <c r="E2466">
        <v>-0.34313725490196</v>
      </c>
      <c r="F2466">
        <v>-0.361904761904761</v>
      </c>
      <c r="G2466">
        <v>-0.658163265306122</v>
      </c>
      <c r="H2466">
        <v>-0.8208556149732621</v>
      </c>
      <c r="I2466">
        <v>-0.7527219044104071</v>
      </c>
    </row>
    <row r="2467" spans="1:9">
      <c r="A2467" s="1" t="s">
        <v>2479</v>
      </c>
      <c r="B2467">
        <f>HYPERLINK("https://www.suredividend.com/sure-analysis-research-database/","Boston Beer Co., Inc.")</f>
        <v>0</v>
      </c>
      <c r="C2467">
        <v>-0.153768001828757</v>
      </c>
      <c r="D2467">
        <v>-0.07238911935852001</v>
      </c>
      <c r="E2467">
        <v>0.07021939545790301</v>
      </c>
      <c r="F2467">
        <v>0.011076717649915</v>
      </c>
      <c r="G2467">
        <v>-0.09680654955541</v>
      </c>
      <c r="H2467">
        <v>-0.329124884217309</v>
      </c>
      <c r="I2467">
        <v>0.147279614325068</v>
      </c>
    </row>
    <row r="2468" spans="1:9">
      <c r="A2468" s="1" t="s">
        <v>2480</v>
      </c>
      <c r="B2468">
        <f>HYPERLINK("https://www.suredividend.com/sure-analysis-research-database/","Silvercrest Asset Management Group Inc")</f>
        <v>0</v>
      </c>
      <c r="C2468">
        <v>0.136653895274585</v>
      </c>
      <c r="D2468">
        <v>-0.100528565797851</v>
      </c>
      <c r="E2468">
        <v>0.031101018936343</v>
      </c>
      <c r="F2468">
        <v>-0.005358769327052</v>
      </c>
      <c r="G2468">
        <v>0.04813161706688</v>
      </c>
      <c r="H2468">
        <v>0.197298678935615</v>
      </c>
      <c r="I2468">
        <v>0.548001078382773</v>
      </c>
    </row>
    <row r="2469" spans="1:9">
      <c r="A2469" s="1" t="s">
        <v>2481</v>
      </c>
      <c r="B2469">
        <f>HYPERLINK("https://www.suredividend.com/sure-analysis-research-database/","Sanmina Corp")</f>
        <v>0</v>
      </c>
      <c r="C2469">
        <v>-0.03746078612290001</v>
      </c>
      <c r="D2469">
        <v>-0.055585732391816</v>
      </c>
      <c r="E2469">
        <v>0.001151631477926</v>
      </c>
      <c r="F2469">
        <v>-0.08954442311049</v>
      </c>
      <c r="G2469">
        <v>-0.06840507233434501</v>
      </c>
      <c r="H2469">
        <v>0.31850353892821</v>
      </c>
      <c r="I2469">
        <v>1.015455950540958</v>
      </c>
    </row>
    <row r="2470" spans="1:9">
      <c r="A2470" s="1" t="s">
        <v>2482</v>
      </c>
      <c r="B2470">
        <f>HYPERLINK("https://www.suredividend.com/sure-analysis-research-database/","S&amp;W Seed Co")</f>
        <v>0</v>
      </c>
      <c r="C2470">
        <v>-0.3714285714285711</v>
      </c>
      <c r="D2470">
        <v>-0.463414634146341</v>
      </c>
      <c r="E2470">
        <v>-0.518213008248777</v>
      </c>
      <c r="F2470">
        <v>-0.557046979865771</v>
      </c>
      <c r="G2470">
        <v>-0.261083743842364</v>
      </c>
      <c r="H2470">
        <v>-0.8267716535433071</v>
      </c>
      <c r="I2470">
        <v>-0.7828947368421051</v>
      </c>
    </row>
    <row r="2471" spans="1:9">
      <c r="A2471" s="1" t="s">
        <v>2483</v>
      </c>
      <c r="B2471">
        <f>HYPERLINK("https://www.suredividend.com/sure-analysis-research-database/","Sandy Spring Bancorp")</f>
        <v>0</v>
      </c>
      <c r="C2471">
        <v>0.05700483091787401</v>
      </c>
      <c r="D2471">
        <v>-0.080618187624482</v>
      </c>
      <c r="E2471">
        <v>0.09409846886219701</v>
      </c>
      <c r="F2471">
        <v>-0.334130672290645</v>
      </c>
      <c r="G2471">
        <v>-0.312544183489121</v>
      </c>
      <c r="H2471">
        <v>-0.493389520479751</v>
      </c>
      <c r="I2471">
        <v>-0.246073587077122</v>
      </c>
    </row>
    <row r="2472" spans="1:9">
      <c r="A2472" s="1" t="s">
        <v>2484</v>
      </c>
      <c r="B2472">
        <f>HYPERLINK("https://www.suredividend.com/sure-analysis-research-database/","EchoStar Corp")</f>
        <v>0</v>
      </c>
      <c r="C2472">
        <v>-0.077833125778331</v>
      </c>
      <c r="D2472">
        <v>-0.225013082155939</v>
      </c>
      <c r="E2472">
        <v>-0.108904933814681</v>
      </c>
      <c r="F2472">
        <v>-0.112110311750599</v>
      </c>
      <c r="G2472">
        <v>-0.223387519664394</v>
      </c>
      <c r="H2472">
        <v>-0.408546325878594</v>
      </c>
      <c r="I2472">
        <v>-0.6419245647969051</v>
      </c>
    </row>
    <row r="2473" spans="1:9">
      <c r="A2473" s="1" t="s">
        <v>2485</v>
      </c>
      <c r="B2473">
        <f>HYPERLINK("https://www.suredividend.com/sure-analysis-research-database/","Cassava Sciences Inc")</f>
        <v>0</v>
      </c>
      <c r="C2473">
        <v>0.4428571428571421</v>
      </c>
      <c r="D2473">
        <v>0.15538608198284</v>
      </c>
      <c r="E2473">
        <v>0.09287646528403901</v>
      </c>
      <c r="F2473">
        <v>-0.179417738659444</v>
      </c>
      <c r="G2473">
        <v>-0.321388577827547</v>
      </c>
      <c r="H2473">
        <v>-0.5825727570173921</v>
      </c>
      <c r="I2473">
        <v>18.86885245901639</v>
      </c>
    </row>
    <row r="2474" spans="1:9">
      <c r="A2474" s="1" t="s">
        <v>2486</v>
      </c>
      <c r="B2474">
        <f>HYPERLINK("https://www.suredividend.com/sure-analysis-research-database/","Spirit Airlines Inc")</f>
        <v>0</v>
      </c>
      <c r="C2474">
        <v>-0.318831160868658</v>
      </c>
      <c r="D2474">
        <v>-0.337562755643536</v>
      </c>
      <c r="E2474">
        <v>-0.314755877926627</v>
      </c>
      <c r="F2474">
        <v>-0.395564937325905</v>
      </c>
      <c r="G2474">
        <v>-0.451078820338246</v>
      </c>
      <c r="H2474">
        <v>-0.4840333636752051</v>
      </c>
      <c r="I2474">
        <v>-0.7806969927260881</v>
      </c>
    </row>
    <row r="2475" spans="1:9">
      <c r="A2475" s="1" t="s">
        <v>2487</v>
      </c>
      <c r="B2475">
        <f>HYPERLINK("https://www.suredividend.com/sure-analysis-SBAC/","SBA Communications Corp")</f>
        <v>0</v>
      </c>
      <c r="C2475">
        <v>0.096650524616626</v>
      </c>
      <c r="D2475">
        <v>-0.041369703666827</v>
      </c>
      <c r="E2475">
        <v>-0.106135512158859</v>
      </c>
      <c r="F2475">
        <v>-0.209709450079192</v>
      </c>
      <c r="G2475">
        <v>-0.172496745559877</v>
      </c>
      <c r="H2475">
        <v>-0.375222544637532</v>
      </c>
      <c r="I2475">
        <v>0.3788257022243871</v>
      </c>
    </row>
    <row r="2476" spans="1:9">
      <c r="A2476" s="1" t="s">
        <v>2488</v>
      </c>
      <c r="B2476">
        <f>HYPERLINK("https://www.suredividend.com/sure-analysis-research-database/","Seacoast Banking Corp. Of Florida")</f>
        <v>0</v>
      </c>
      <c r="C2476">
        <v>0.001389532190829</v>
      </c>
      <c r="D2476">
        <v>-0.07307766511607901</v>
      </c>
      <c r="E2476">
        <v>0.131581702083115</v>
      </c>
      <c r="F2476">
        <v>-0.279165138532324</v>
      </c>
      <c r="G2476">
        <v>-0.255263447971781</v>
      </c>
      <c r="H2476">
        <v>-0.377402773178211</v>
      </c>
      <c r="I2476">
        <v>-0.118022608319633</v>
      </c>
    </row>
    <row r="2477" spans="1:9">
      <c r="A2477" s="1" t="s">
        <v>2489</v>
      </c>
      <c r="B2477">
        <f>HYPERLINK("https://www.suredividend.com/sure-analysis-research-database/","SB Financial Group Inc")</f>
        <v>0</v>
      </c>
      <c r="C2477">
        <v>-0.036337209302325</v>
      </c>
      <c r="D2477">
        <v>-0.030567110929149</v>
      </c>
      <c r="E2477">
        <v>0.006619701202477001</v>
      </c>
      <c r="F2477">
        <v>-0.187360576569509</v>
      </c>
      <c r="G2477">
        <v>-0.171405361494719</v>
      </c>
      <c r="H2477">
        <v>-0.224543264169922</v>
      </c>
      <c r="I2477">
        <v>-0.103551315940696</v>
      </c>
    </row>
    <row r="2478" spans="1:9">
      <c r="A2478" s="1" t="s">
        <v>2490</v>
      </c>
      <c r="B2478">
        <f>HYPERLINK("https://www.suredividend.com/sure-analysis-research-database/","Sinclair Inc")</f>
        <v>0</v>
      </c>
      <c r="C2478">
        <v>0.340545625587958</v>
      </c>
      <c r="D2478">
        <v>0.09821511143993301</v>
      </c>
      <c r="E2478">
        <v>-0.018878836700128</v>
      </c>
      <c r="F2478">
        <v>-0.018878836700128</v>
      </c>
      <c r="G2478">
        <v>-0.018878836700128</v>
      </c>
      <c r="H2478">
        <v>-0.018878836700128</v>
      </c>
      <c r="I2478">
        <v>-0.018878836700128</v>
      </c>
    </row>
    <row r="2479" spans="1:9">
      <c r="A2479" s="1" t="s">
        <v>2491</v>
      </c>
      <c r="B2479">
        <f>HYPERLINK("https://www.suredividend.com/sure-analysis-research-database/","Sally Beauty Holdings Inc")</f>
        <v>0</v>
      </c>
      <c r="C2479">
        <v>0.066272189349112</v>
      </c>
      <c r="D2479">
        <v>-0.239662447257383</v>
      </c>
      <c r="E2479">
        <v>-0.3545845272206301</v>
      </c>
      <c r="F2479">
        <v>-0.28035143769968</v>
      </c>
      <c r="G2479">
        <v>-0.251661129568106</v>
      </c>
      <c r="H2479">
        <v>-0.444512946979038</v>
      </c>
      <c r="I2479">
        <v>-0.5137614678899081</v>
      </c>
    </row>
    <row r="2480" spans="1:9">
      <c r="A2480" s="1" t="s">
        <v>2492</v>
      </c>
      <c r="B2480">
        <f>HYPERLINK("https://www.suredividend.com/sure-analysis-research-database/","Signature Bank")</f>
        <v>0</v>
      </c>
      <c r="C2480">
        <v>-0.333333333333333</v>
      </c>
      <c r="D2480">
        <v>-0.609756097560975</v>
      </c>
      <c r="E2480">
        <v>-0.757575757575757</v>
      </c>
      <c r="F2480">
        <v>-0.876923076923076</v>
      </c>
      <c r="G2480">
        <v>-0.876923076923076</v>
      </c>
      <c r="H2480">
        <v>-0.876923076923076</v>
      </c>
      <c r="I2480">
        <v>-0.876923076923076</v>
      </c>
    </row>
    <row r="2481" spans="1:9">
      <c r="A2481" s="1" t="s">
        <v>2493</v>
      </c>
      <c r="B2481">
        <f>HYPERLINK("https://www.suredividend.com/sure-analysis-research-database/","SilverBow Resources Inc")</f>
        <v>0</v>
      </c>
      <c r="C2481">
        <v>0.08894878706199401</v>
      </c>
      <c r="D2481">
        <v>0.06752789195537201</v>
      </c>
      <c r="E2481">
        <v>0.656492027334852</v>
      </c>
      <c r="F2481">
        <v>0.285714285714285</v>
      </c>
      <c r="G2481">
        <v>0.04844290657439401</v>
      </c>
      <c r="H2481">
        <v>0.265135699373695</v>
      </c>
      <c r="I2481">
        <v>0.410395655546935</v>
      </c>
    </row>
    <row r="2482" spans="1:9">
      <c r="A2482" s="1" t="s">
        <v>2494</v>
      </c>
      <c r="B2482">
        <f>HYPERLINK("https://www.suredividend.com/sure-analysis-SBRA/","Sabra Healthcare REIT Inc")</f>
        <v>0</v>
      </c>
      <c r="C2482">
        <v>0.04325513196480901</v>
      </c>
      <c r="D2482">
        <v>0.133873576681885</v>
      </c>
      <c r="E2482">
        <v>0.341377197530282</v>
      </c>
      <c r="F2482">
        <v>0.232931309350523</v>
      </c>
      <c r="G2482">
        <v>0.181599269285061</v>
      </c>
      <c r="H2482">
        <v>0.163646473897684</v>
      </c>
      <c r="I2482">
        <v>0.013785487835286</v>
      </c>
    </row>
    <row r="2483" spans="1:9">
      <c r="A2483" s="1" t="s">
        <v>2495</v>
      </c>
      <c r="B2483">
        <f>HYPERLINK("https://www.suredividend.com/sure-analysis-SBSI/","Southside Bancshares Inc")</f>
        <v>0</v>
      </c>
      <c r="C2483">
        <v>-0.011925640126271</v>
      </c>
      <c r="D2483">
        <v>-0.155767870628993</v>
      </c>
      <c r="E2483">
        <v>-0.005781081252779</v>
      </c>
      <c r="F2483">
        <v>-0.191019367289268</v>
      </c>
      <c r="G2483">
        <v>-0.149967260009836</v>
      </c>
      <c r="H2483">
        <v>-0.280625143645139</v>
      </c>
      <c r="I2483">
        <v>0.022827535374147</v>
      </c>
    </row>
    <row r="2484" spans="1:9">
      <c r="A2484" s="1" t="s">
        <v>2496</v>
      </c>
      <c r="B2484">
        <f>HYPERLINK("https://www.suredividend.com/sure-analysis-research-database/","Sterling Bancorp Inc")</f>
        <v>0</v>
      </c>
      <c r="C2484">
        <v>0.007104795737122</v>
      </c>
      <c r="D2484">
        <v>-0.035714285714285</v>
      </c>
      <c r="E2484">
        <v>0.122772277227722</v>
      </c>
      <c r="F2484">
        <v>-0.068965517241379</v>
      </c>
      <c r="G2484">
        <v>-0.112676056338028</v>
      </c>
      <c r="H2484">
        <v>0.042279411764705</v>
      </c>
      <c r="I2484">
        <v>-0.4264152470359721</v>
      </c>
    </row>
    <row r="2485" spans="1:9">
      <c r="A2485" s="1" t="s">
        <v>2497</v>
      </c>
      <c r="B2485">
        <f>HYPERLINK("https://www.suredividend.com/sure-analysis-SBUX/","Starbucks Corp.")</f>
        <v>0</v>
      </c>
      <c r="C2485">
        <v>0.097443212992428</v>
      </c>
      <c r="D2485">
        <v>-0.010288996404739</v>
      </c>
      <c r="E2485">
        <v>-0.112506899568898</v>
      </c>
      <c r="F2485">
        <v>0.029148752693527</v>
      </c>
      <c r="G2485">
        <v>0.221039831220331</v>
      </c>
      <c r="H2485">
        <v>-0.05267634797780801</v>
      </c>
      <c r="I2485">
        <v>0.736821448294785</v>
      </c>
    </row>
    <row r="2486" spans="1:9">
      <c r="A2486" s="1" t="s">
        <v>2498</v>
      </c>
      <c r="B2486">
        <f>HYPERLINK("https://www.suredividend.com/sure-analysis-research-database/","Santander Consumer USA Holdings Inc")</f>
        <v>0</v>
      </c>
      <c r="C2486">
        <v>-0.017477562588568</v>
      </c>
      <c r="D2486">
        <v>-0.002398081534772</v>
      </c>
      <c r="E2486">
        <v>0.019308046652945</v>
      </c>
      <c r="F2486">
        <v>-0.009995240361732001</v>
      </c>
      <c r="G2486">
        <v>0.920076803072122</v>
      </c>
      <c r="H2486">
        <v>0.6448018725436701</v>
      </c>
      <c r="I2486">
        <v>2.619185161340838</v>
      </c>
    </row>
    <row r="2487" spans="1:9">
      <c r="A2487" s="1" t="s">
        <v>2499</v>
      </c>
      <c r="B2487">
        <f>HYPERLINK("https://www.suredividend.com/sure-analysis-SCHL/","Scholastic Corp.")</f>
        <v>0</v>
      </c>
      <c r="C2487">
        <v>0.045877497320983</v>
      </c>
      <c r="D2487">
        <v>-0.07721615562118801</v>
      </c>
      <c r="E2487">
        <v>0.123265817736375</v>
      </c>
      <c r="F2487">
        <v>0.029737825563509</v>
      </c>
      <c r="G2487">
        <v>0.07924203980303701</v>
      </c>
      <c r="H2487">
        <v>0.106987242835324</v>
      </c>
      <c r="I2487">
        <v>-0.025808778839074</v>
      </c>
    </row>
    <row r="2488" spans="1:9">
      <c r="A2488" s="1" t="s">
        <v>2500</v>
      </c>
      <c r="B2488">
        <f>HYPERLINK("https://www.suredividend.com/sure-analysis-SCHW/","Charles Schwab Corp.")</f>
        <v>0</v>
      </c>
      <c r="C2488">
        <v>0.025770308123249</v>
      </c>
      <c r="D2488">
        <v>-0.156088972465731</v>
      </c>
      <c r="E2488">
        <v>0.106438006840457</v>
      </c>
      <c r="F2488">
        <v>-0.332151558920937</v>
      </c>
      <c r="G2488">
        <v>-0.291571336818945</v>
      </c>
      <c r="H2488">
        <v>-0.308906214811525</v>
      </c>
      <c r="I2488">
        <v>0.269283027238864</v>
      </c>
    </row>
    <row r="2489" spans="1:9">
      <c r="A2489" s="1" t="s">
        <v>2501</v>
      </c>
      <c r="B2489">
        <f>HYPERLINK("https://www.suredividend.com/sure-analysis-SCI/","Service Corp. International")</f>
        <v>0</v>
      </c>
      <c r="C2489">
        <v>0.09255930984902901</v>
      </c>
      <c r="D2489">
        <v>-0.040664827638447</v>
      </c>
      <c r="E2489">
        <v>-0.099160510658476</v>
      </c>
      <c r="F2489">
        <v>-0.109198307784513</v>
      </c>
      <c r="G2489">
        <v>-0.08427005221121901</v>
      </c>
      <c r="H2489">
        <v>-0.083237067444434</v>
      </c>
      <c r="I2489">
        <v>0.5301088368253071</v>
      </c>
    </row>
    <row r="2490" spans="1:9">
      <c r="A2490" s="1" t="s">
        <v>2502</v>
      </c>
      <c r="B2490">
        <f>HYPERLINK("https://www.suredividend.com/sure-analysis-SCL/","Stepan Co.")</f>
        <v>0</v>
      </c>
      <c r="C2490">
        <v>0.05267581955729801</v>
      </c>
      <c r="D2490">
        <v>-0.19797198132088</v>
      </c>
      <c r="E2490">
        <v>-0.157958435824307</v>
      </c>
      <c r="F2490">
        <v>-0.28595592958769</v>
      </c>
      <c r="G2490">
        <v>-0.255575259815528</v>
      </c>
      <c r="H2490">
        <v>-0.3686738201283321</v>
      </c>
      <c r="I2490">
        <v>-0.052460211273377</v>
      </c>
    </row>
    <row r="2491" spans="1:9">
      <c r="A2491" s="1" t="s">
        <v>2503</v>
      </c>
      <c r="B2491">
        <f>HYPERLINK("https://www.suredividend.com/sure-analysis-research-database/","Superconductor Technologies Inc.")</f>
        <v>0</v>
      </c>
      <c r="C2491">
        <v>-0.018518518518518</v>
      </c>
      <c r="D2491">
        <v>0.48876404494382</v>
      </c>
      <c r="E2491">
        <v>1.022900763358778</v>
      </c>
      <c r="F2491">
        <v>2.354430379746835</v>
      </c>
      <c r="G2491">
        <v>0.892857142857143</v>
      </c>
      <c r="H2491">
        <v>0.892857142857143</v>
      </c>
      <c r="I2491">
        <v>0.892857142857143</v>
      </c>
    </row>
    <row r="2492" spans="1:9">
      <c r="A2492" s="1" t="s">
        <v>2504</v>
      </c>
      <c r="B2492">
        <f>HYPERLINK("https://www.suredividend.com/sure-analysis-research-database/","Comscore Inc.")</f>
        <v>0</v>
      </c>
      <c r="C2492">
        <v>0.05517357035049401</v>
      </c>
      <c r="D2492">
        <v>-0.19539641943734</v>
      </c>
      <c r="E2492">
        <v>-0.309406212270881</v>
      </c>
      <c r="F2492">
        <v>-0.4575862068965511</v>
      </c>
      <c r="G2492">
        <v>-0.443185840707964</v>
      </c>
      <c r="H2492">
        <v>-0.837835051546391</v>
      </c>
      <c r="I2492">
        <v>-0.9622781774580331</v>
      </c>
    </row>
    <row r="2493" spans="1:9">
      <c r="A2493" s="1" t="s">
        <v>2505</v>
      </c>
      <c r="B2493">
        <f>HYPERLINK("https://www.suredividend.com/sure-analysis-research-database/","Sciplay Corp")</f>
        <v>0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</row>
    <row r="2494" spans="1:9">
      <c r="A2494" s="1" t="s">
        <v>2506</v>
      </c>
      <c r="B2494">
        <f>HYPERLINK("https://www.suredividend.com/sure-analysis-research-database/","Steelcase, Inc.")</f>
        <v>0</v>
      </c>
      <c r="C2494">
        <v>0.027598896044158</v>
      </c>
      <c r="D2494">
        <v>0.304510312288323</v>
      </c>
      <c r="E2494">
        <v>0.439488640024743</v>
      </c>
      <c r="F2494">
        <v>0.633781392151413</v>
      </c>
      <c r="G2494">
        <v>0.572309338138002</v>
      </c>
      <c r="H2494">
        <v>0.020352236188249</v>
      </c>
      <c r="I2494">
        <v>-0.204767125628283</v>
      </c>
    </row>
    <row r="2495" spans="1:9">
      <c r="A2495" s="1" t="s">
        <v>2507</v>
      </c>
      <c r="B2495">
        <f>HYPERLINK("https://www.suredividend.com/sure-analysis-research-database/","Scansource, Inc.")</f>
        <v>0</v>
      </c>
      <c r="C2495">
        <v>0.02948801036941</v>
      </c>
      <c r="D2495">
        <v>0.07005725833614</v>
      </c>
      <c r="E2495">
        <v>0.17449168207024</v>
      </c>
      <c r="F2495">
        <v>0.08726899383983501</v>
      </c>
      <c r="G2495">
        <v>0.030824140168721</v>
      </c>
      <c r="H2495">
        <v>-0.160855784469096</v>
      </c>
      <c r="I2495">
        <v>-0.228321593393247</v>
      </c>
    </row>
    <row r="2496" spans="1:9">
      <c r="A2496" s="1" t="s">
        <v>2508</v>
      </c>
      <c r="B2496">
        <f>HYPERLINK("https://www.suredividend.com/sure-analysis-research-database/","Shoe Carnival, Inc.")</f>
        <v>0</v>
      </c>
      <c r="C2496">
        <v>-0.035245901639344</v>
      </c>
      <c r="D2496">
        <v>-0.09732341437226701</v>
      </c>
      <c r="E2496">
        <v>0.051301175009936</v>
      </c>
      <c r="F2496">
        <v>0.01072120153025</v>
      </c>
      <c r="G2496">
        <v>0.03851872113081201</v>
      </c>
      <c r="H2496">
        <v>-0.314004621872003</v>
      </c>
      <c r="I2496">
        <v>0.239665069250618</v>
      </c>
    </row>
    <row r="2497" spans="1:9">
      <c r="A2497" s="1" t="s">
        <v>2509</v>
      </c>
      <c r="B2497">
        <f>HYPERLINK("https://www.suredividend.com/sure-analysis-research-database/","SecureWorks Corp")</f>
        <v>0</v>
      </c>
      <c r="C2497">
        <v>-0.054927302100161</v>
      </c>
      <c r="D2497">
        <v>-0.21476510067114</v>
      </c>
      <c r="E2497">
        <v>-0.344904815229563</v>
      </c>
      <c r="F2497">
        <v>-0.084507042253521</v>
      </c>
      <c r="G2497">
        <v>-0.222074468085106</v>
      </c>
      <c r="H2497">
        <v>-0.6803278688524591</v>
      </c>
      <c r="I2497">
        <v>-0.6426389737324371</v>
      </c>
    </row>
    <row r="2498" spans="1:9">
      <c r="A2498" s="1" t="s">
        <v>2510</v>
      </c>
      <c r="B2498">
        <f>HYPERLINK("https://www.suredividend.com/sure-analysis-research-database/","L.S. Starrett Co.")</f>
        <v>0</v>
      </c>
      <c r="C2498">
        <v>-0.007414272474513</v>
      </c>
      <c r="D2498">
        <v>-0.124284546197874</v>
      </c>
      <c r="E2498">
        <v>0.08455696202531601</v>
      </c>
      <c r="F2498">
        <v>0.455163043478261</v>
      </c>
      <c r="G2498">
        <v>0.275</v>
      </c>
      <c r="H2498">
        <v>-0.09237288135593201</v>
      </c>
      <c r="I2498">
        <v>0.922800718132854</v>
      </c>
    </row>
    <row r="2499" spans="1:9">
      <c r="A2499" s="1" t="s">
        <v>2511</v>
      </c>
      <c r="B2499">
        <f>HYPERLINK("https://www.suredividend.com/sure-analysis-research-database/","Scynexis Inc")</f>
        <v>0</v>
      </c>
      <c r="C2499">
        <v>-0.174311926605504</v>
      </c>
      <c r="D2499">
        <v>-0.37062937062937</v>
      </c>
      <c r="E2499">
        <v>-0.4098360655737701</v>
      </c>
      <c r="F2499">
        <v>0.153846153846153</v>
      </c>
      <c r="G2499">
        <v>-0.181818181818181</v>
      </c>
      <c r="H2499">
        <v>-0.6660482374768081</v>
      </c>
      <c r="I2499">
        <v>-0.816513761467889</v>
      </c>
    </row>
    <row r="2500" spans="1:9">
      <c r="A2500" s="1" t="s">
        <v>2512</v>
      </c>
      <c r="B2500">
        <f>HYPERLINK("https://www.suredividend.com/sure-analysis-research-database/","Sandridge Energy Inc")</f>
        <v>0</v>
      </c>
      <c r="C2500">
        <v>0.068758344459279</v>
      </c>
      <c r="D2500">
        <v>-0.032037678583304</v>
      </c>
      <c r="E2500">
        <v>0.339905930401888</v>
      </c>
      <c r="F2500">
        <v>0.067674989329918</v>
      </c>
      <c r="G2500">
        <v>-0.022970268027144</v>
      </c>
      <c r="H2500">
        <v>0.3858592154011281</v>
      </c>
      <c r="I2500">
        <v>1.042977822014649</v>
      </c>
    </row>
    <row r="2501" spans="1:9">
      <c r="A2501" s="1" t="s">
        <v>2513</v>
      </c>
      <c r="B2501">
        <f>HYPERLINK("https://www.suredividend.com/sure-analysis-research-database/","Superior Drilling Products Inc")</f>
        <v>0</v>
      </c>
      <c r="C2501">
        <v>-0.034567901234567</v>
      </c>
      <c r="D2501">
        <v>-0.398461538461538</v>
      </c>
      <c r="E2501">
        <v>-0.172486772486772</v>
      </c>
      <c r="F2501">
        <v>-0.149167664019149</v>
      </c>
      <c r="G2501">
        <v>0.002564102564102</v>
      </c>
      <c r="H2501">
        <v>-0.3483333333333331</v>
      </c>
      <c r="I2501">
        <v>-0.77593123209169</v>
      </c>
    </row>
    <row r="2502" spans="1:9">
      <c r="A2502" s="1" t="s">
        <v>2514</v>
      </c>
      <c r="B2502">
        <f>HYPERLINK("https://www.suredividend.com/sure-analysis-research-database/","Seachange International Inc.")</f>
        <v>0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</row>
    <row r="2503" spans="1:9">
      <c r="A2503" s="1" t="s">
        <v>2515</v>
      </c>
      <c r="B2503">
        <f>HYPERLINK("https://www.suredividend.com/sure-analysis-research-database/","SeaWorld Entertainment Inc")</f>
        <v>0</v>
      </c>
      <c r="C2503">
        <v>-0.025512429132141</v>
      </c>
      <c r="D2503">
        <v>-0.174089817039364</v>
      </c>
      <c r="E2503">
        <v>-0.170102135561745</v>
      </c>
      <c r="F2503">
        <v>-0.1648290039245</v>
      </c>
      <c r="G2503">
        <v>-0.213065680577566</v>
      </c>
      <c r="H2503">
        <v>-0.309806949806949</v>
      </c>
      <c r="I2503">
        <v>0.6998858881704061</v>
      </c>
    </row>
    <row r="2504" spans="1:9">
      <c r="A2504" s="1" t="s">
        <v>2516</v>
      </c>
      <c r="B2504">
        <f>HYPERLINK("https://www.suredividend.com/sure-analysis-research-database/","Seaboard Corp.")</f>
        <v>0</v>
      </c>
      <c r="C2504">
        <v>-0.04757755597518201</v>
      </c>
      <c r="D2504">
        <v>-0.030137135015487</v>
      </c>
      <c r="E2504">
        <v>-0.112512928479847</v>
      </c>
      <c r="F2504">
        <v>-0.06253827672867</v>
      </c>
      <c r="G2504">
        <v>-0.05162698339789101</v>
      </c>
      <c r="H2504">
        <v>-0.112149953394932</v>
      </c>
      <c r="I2504">
        <v>-0.02782755945295</v>
      </c>
    </row>
    <row r="2505" spans="1:9">
      <c r="A2505" s="1" t="s">
        <v>2517</v>
      </c>
      <c r="B2505">
        <f>HYPERLINK("https://www.suredividend.com/sure-analysis-research-database/","Solaredge Technologies Inc")</f>
        <v>0</v>
      </c>
      <c r="C2505">
        <v>-0.4060868146214091</v>
      </c>
      <c r="D2505">
        <v>-0.627691678175029</v>
      </c>
      <c r="E2505">
        <v>-0.723872387238723</v>
      </c>
      <c r="F2505">
        <v>-0.7430366787870231</v>
      </c>
      <c r="G2505">
        <v>-0.66545638385881</v>
      </c>
      <c r="H2505">
        <v>-0.79505011825656</v>
      </c>
      <c r="I2505">
        <v>0.9282119205298011</v>
      </c>
    </row>
    <row r="2506" spans="1:9">
      <c r="A2506" s="1" t="s">
        <v>2518</v>
      </c>
      <c r="B2506">
        <f>HYPERLINK("https://www.suredividend.com/sure-analysis-research-database/","Sealed Air Corp.")</f>
        <v>0</v>
      </c>
      <c r="C2506">
        <v>0.007308160779536</v>
      </c>
      <c r="D2506">
        <v>-0.260226672987986</v>
      </c>
      <c r="E2506">
        <v>-0.216648353730155</v>
      </c>
      <c r="F2506">
        <v>-0.326892555122372</v>
      </c>
      <c r="G2506">
        <v>-0.205535315011972</v>
      </c>
      <c r="H2506">
        <v>-0.437046365392306</v>
      </c>
      <c r="I2506">
        <v>0.076900038414209</v>
      </c>
    </row>
    <row r="2507" spans="1:9">
      <c r="A2507" s="1" t="s">
        <v>2519</v>
      </c>
      <c r="B2507">
        <f>HYPERLINK("https://www.suredividend.com/sure-analysis-research-database/","Seelos Therapeutics Inc")</f>
        <v>0</v>
      </c>
      <c r="C2507">
        <v>-0.078036175710594</v>
      </c>
      <c r="D2507">
        <v>-0.8856410256410251</v>
      </c>
      <c r="E2507">
        <v>-0.75747688961392</v>
      </c>
      <c r="F2507">
        <v>-0.7372606774668631</v>
      </c>
      <c r="G2507">
        <v>-0.7995955964951691</v>
      </c>
      <c r="H2507">
        <v>-0.9220960698689951</v>
      </c>
      <c r="I2507">
        <v>-0.518488529014844</v>
      </c>
    </row>
    <row r="2508" spans="1:9">
      <c r="A2508" s="1" t="s">
        <v>2520</v>
      </c>
      <c r="B2508">
        <f>HYPERLINK("https://www.suredividend.com/sure-analysis-SEIC/","SEI Investments Co.")</f>
        <v>0</v>
      </c>
      <c r="C2508">
        <v>-0.06523576136555601</v>
      </c>
      <c r="D2508">
        <v>-0.109196327911096</v>
      </c>
      <c r="E2508">
        <v>-0.040827687147854</v>
      </c>
      <c r="F2508">
        <v>-0.03737377604973401</v>
      </c>
      <c r="G2508">
        <v>0.045949145426832</v>
      </c>
      <c r="H2508">
        <v>-0.083078310516665</v>
      </c>
      <c r="I2508">
        <v>0.096548182894165</v>
      </c>
    </row>
    <row r="2509" spans="1:9">
      <c r="A2509" s="1" t="s">
        <v>2521</v>
      </c>
      <c r="B2509">
        <f>HYPERLINK("https://www.suredividend.com/sure-analysis-research-database/","Selecta Biosciences Inc")</f>
        <v>0</v>
      </c>
      <c r="C2509">
        <v>0.134615384615384</v>
      </c>
      <c r="D2509">
        <v>0.113207547169811</v>
      </c>
      <c r="E2509">
        <v>0.035087719298245</v>
      </c>
      <c r="F2509">
        <v>0.044247787610619</v>
      </c>
      <c r="G2509">
        <v>-0.276073619631901</v>
      </c>
      <c r="H2509">
        <v>-0.7027707808564231</v>
      </c>
      <c r="I2509">
        <v>-0.791150442477876</v>
      </c>
    </row>
    <row r="2510" spans="1:9">
      <c r="A2510" s="1" t="s">
        <v>2522</v>
      </c>
      <c r="B2510">
        <f>HYPERLINK("https://www.suredividend.com/sure-analysis-research-database/","Global Self Storage Inc")</f>
        <v>0</v>
      </c>
      <c r="C2510">
        <v>-0.04928131416837701</v>
      </c>
      <c r="D2510">
        <v>-0.092423796922473</v>
      </c>
      <c r="E2510">
        <v>-0.027024755180095</v>
      </c>
      <c r="F2510">
        <v>0.019127908256476</v>
      </c>
      <c r="G2510">
        <v>0.019060615398159</v>
      </c>
      <c r="H2510">
        <v>0.029140456556047</v>
      </c>
      <c r="I2510">
        <v>0.6230806983103131</v>
      </c>
    </row>
    <row r="2511" spans="1:9">
      <c r="A2511" s="1" t="s">
        <v>2523</v>
      </c>
      <c r="B2511">
        <f>HYPERLINK("https://www.suredividend.com/sure-analysis-research-database/","Select Medical Holdings Corporation")</f>
        <v>0</v>
      </c>
      <c r="C2511">
        <v>-0.080367852858856</v>
      </c>
      <c r="D2511">
        <v>-0.239141222005359</v>
      </c>
      <c r="E2511">
        <v>-0.207773464544418</v>
      </c>
      <c r="F2511">
        <v>-0.06113251910391201</v>
      </c>
      <c r="G2511">
        <v>-0.050567595459236</v>
      </c>
      <c r="H2511">
        <v>-0.282657784098706</v>
      </c>
      <c r="I2511">
        <v>0.219137274857148</v>
      </c>
    </row>
    <row r="2512" spans="1:9">
      <c r="A2512" s="1" t="s">
        <v>2524</v>
      </c>
      <c r="B2512">
        <f>HYPERLINK("https://www.suredividend.com/sure-analysis-research-database/","Seneca Foods Corp.")</f>
        <v>0</v>
      </c>
      <c r="C2512">
        <v>0.015257352941176</v>
      </c>
      <c r="D2512">
        <v>0.493510005408328</v>
      </c>
      <c r="E2512">
        <v>0.180885182809493</v>
      </c>
      <c r="F2512">
        <v>-0.09384741591468401</v>
      </c>
      <c r="G2512">
        <v>-0.110198163363943</v>
      </c>
      <c r="H2512">
        <v>0.07828973057399401</v>
      </c>
      <c r="I2512">
        <v>0.699384615384615</v>
      </c>
    </row>
    <row r="2513" spans="1:9">
      <c r="A2513" s="1" t="s">
        <v>2525</v>
      </c>
      <c r="B2513">
        <f>HYPERLINK("https://www.suredividend.com/sure-analysis-research-database/","Seneca Foods Corp.")</f>
        <v>0</v>
      </c>
      <c r="C2513">
        <v>0.011215296929582</v>
      </c>
      <c r="D2513">
        <v>0.4666666666666661</v>
      </c>
      <c r="E2513">
        <v>0.158626500947967</v>
      </c>
      <c r="F2513">
        <v>-0.09135965636874201</v>
      </c>
      <c r="G2513">
        <v>-0.130022144890857</v>
      </c>
      <c r="H2513">
        <v>0.06485963213939901</v>
      </c>
      <c r="I2513">
        <v>0.7054263565891471</v>
      </c>
    </row>
    <row r="2514" spans="1:9">
      <c r="A2514" s="1" t="s">
        <v>2526</v>
      </c>
      <c r="B2514">
        <f>HYPERLINK("https://www.suredividend.com/sure-analysis-research-database/","Senseonics Holdings Inc")</f>
        <v>0</v>
      </c>
      <c r="C2514">
        <v>-0.08875000000000001</v>
      </c>
      <c r="D2514">
        <v>-0.404689687354176</v>
      </c>
      <c r="E2514">
        <v>-0.08054054054054001</v>
      </c>
      <c r="F2514">
        <v>-0.504563106796116</v>
      </c>
      <c r="G2514">
        <v>-0.5600862068965511</v>
      </c>
      <c r="H2514">
        <v>-0.869488491048593</v>
      </c>
      <c r="I2514">
        <v>-0.8667624020887721</v>
      </c>
    </row>
    <row r="2515" spans="1:9">
      <c r="A2515" s="1" t="s">
        <v>2527</v>
      </c>
      <c r="B2515">
        <f>HYPERLINK("https://www.suredividend.com/sure-analysis-research-database/","SES AI Corporation")</f>
        <v>0</v>
      </c>
      <c r="C2515">
        <v>-0.141630901287553</v>
      </c>
      <c r="D2515">
        <v>-0.312714776632302</v>
      </c>
      <c r="E2515">
        <v>0.34228187919463</v>
      </c>
      <c r="F2515">
        <v>-0.365079365079365</v>
      </c>
      <c r="G2515">
        <v>-0.652173913043478</v>
      </c>
      <c r="H2515">
        <v>-0.8062015503875961</v>
      </c>
      <c r="I2515">
        <v>-0.813953488372093</v>
      </c>
    </row>
    <row r="2516" spans="1:9">
      <c r="A2516" s="1" t="s">
        <v>2528</v>
      </c>
      <c r="B2516">
        <f>HYPERLINK("https://www.suredividend.com/sure-analysis-research-database/","Stifel Financial Corp.")</f>
        <v>0</v>
      </c>
      <c r="C2516">
        <v>-0.025789386675483</v>
      </c>
      <c r="D2516">
        <v>-0.056552421937037</v>
      </c>
      <c r="E2516">
        <v>0.031124455829448</v>
      </c>
      <c r="F2516">
        <v>0.027116717967309</v>
      </c>
      <c r="G2516">
        <v>-0.031232995615642</v>
      </c>
      <c r="H2516">
        <v>-0.182201325852457</v>
      </c>
      <c r="I2516">
        <v>0.98573960628913</v>
      </c>
    </row>
    <row r="2517" spans="1:9">
      <c r="A2517" s="1" t="s">
        <v>2529</v>
      </c>
      <c r="B2517">
        <f>HYPERLINK("https://www.suredividend.com/sure-analysis-research-database/","Sound Financial Bancorp Inc")</f>
        <v>0</v>
      </c>
      <c r="C2517">
        <v>-0.004081632653061</v>
      </c>
      <c r="D2517">
        <v>-0.0007317046534230001</v>
      </c>
      <c r="E2517">
        <v>0.014952524625077</v>
      </c>
      <c r="F2517">
        <v>-0.048369357493311</v>
      </c>
      <c r="G2517">
        <v>-0.07462188443392601</v>
      </c>
      <c r="H2517">
        <v>-0.125038249694002</v>
      </c>
      <c r="I2517">
        <v>0.089564590936966</v>
      </c>
    </row>
    <row r="2518" spans="1:9">
      <c r="A2518" s="1" t="s">
        <v>2530</v>
      </c>
      <c r="B2518">
        <f>HYPERLINK("https://www.suredividend.com/sure-analysis-research-database/","ServisFirst Bancshares Inc")</f>
        <v>0</v>
      </c>
      <c r="C2518">
        <v>-0.06931257121154501</v>
      </c>
      <c r="D2518">
        <v>-0.155717640005994</v>
      </c>
      <c r="E2518">
        <v>0.04693588078474201</v>
      </c>
      <c r="F2518">
        <v>-0.276411853203586</v>
      </c>
      <c r="G2518">
        <v>-0.322088757822052</v>
      </c>
      <c r="H2518">
        <v>-0.379306763795891</v>
      </c>
      <c r="I2518">
        <v>0.453453025975913</v>
      </c>
    </row>
    <row r="2519" spans="1:9">
      <c r="A2519" s="1" t="s">
        <v>2531</v>
      </c>
      <c r="B2519">
        <f>HYPERLINK("https://www.suredividend.com/sure-analysis-research-database/","Safeguard Scientifics, Inc.")</f>
        <v>0</v>
      </c>
      <c r="C2519">
        <v>-0.029702970297029</v>
      </c>
      <c r="D2519">
        <v>-0.367741935483871</v>
      </c>
      <c r="E2519">
        <v>-0.458563535911602</v>
      </c>
      <c r="F2519">
        <v>-0.683870967741935</v>
      </c>
      <c r="G2519">
        <v>-0.72394366197183</v>
      </c>
      <c r="H2519">
        <v>-0.881499395405078</v>
      </c>
      <c r="I2519">
        <v>-0.8754100027969181</v>
      </c>
    </row>
    <row r="2520" spans="1:9">
      <c r="A2520" s="1" t="s">
        <v>2532</v>
      </c>
      <c r="B2520">
        <f>HYPERLINK("https://www.suredividend.com/sure-analysis-research-database/","Stitch Fix Inc")</f>
        <v>0</v>
      </c>
      <c r="C2520">
        <v>0</v>
      </c>
      <c r="D2520">
        <v>-0.258771929824561</v>
      </c>
      <c r="E2520">
        <v>0.069620253164556</v>
      </c>
      <c r="F2520">
        <v>0.08681672025723401</v>
      </c>
      <c r="G2520">
        <v>-0.110526315789473</v>
      </c>
      <c r="H2520">
        <v>-0.8993748139327181</v>
      </c>
      <c r="I2520">
        <v>-0.87740297424737</v>
      </c>
    </row>
    <row r="2521" spans="1:9">
      <c r="A2521" s="1" t="s">
        <v>2533</v>
      </c>
      <c r="B2521">
        <f>HYPERLINK("https://www.suredividend.com/sure-analysis-research-database/","Sprouts Farmers Market Inc")</f>
        <v>0</v>
      </c>
      <c r="C2521">
        <v>-0.019523809523809</v>
      </c>
      <c r="D2521">
        <v>0.101658640984483</v>
      </c>
      <c r="E2521">
        <v>0.08769149498151001</v>
      </c>
      <c r="F2521">
        <v>0.272165585418597</v>
      </c>
      <c r="G2521">
        <v>0.430357763112191</v>
      </c>
      <c r="H2521">
        <v>0.8549549549549551</v>
      </c>
      <c r="I2521">
        <v>0.5539622641509431</v>
      </c>
    </row>
    <row r="2522" spans="1:9">
      <c r="A2522" s="1" t="s">
        <v>2534</v>
      </c>
      <c r="B2522">
        <f>HYPERLINK("https://www.suredividend.com/sure-analysis-research-database/","Simmons First National Corp.")</f>
        <v>0</v>
      </c>
      <c r="C2522">
        <v>-0.085748792270531</v>
      </c>
      <c r="D2522">
        <v>-0.21339207780872</v>
      </c>
      <c r="E2522">
        <v>0.00864073336309</v>
      </c>
      <c r="F2522">
        <v>-0.26639822850193</v>
      </c>
      <c r="G2522">
        <v>-0.318067166330354</v>
      </c>
      <c r="H2522">
        <v>-0.4718537097567521</v>
      </c>
      <c r="I2522">
        <v>-0.344937544078261</v>
      </c>
    </row>
    <row r="2523" spans="1:9">
      <c r="A2523" s="1" t="s">
        <v>2535</v>
      </c>
      <c r="B2523">
        <f>HYPERLINK("https://www.suredividend.com/sure-analysis-research-database/","Southern First Bancshares Inc")</f>
        <v>0</v>
      </c>
      <c r="C2523">
        <v>0.053787878787878</v>
      </c>
      <c r="D2523">
        <v>-0.063614944463143</v>
      </c>
      <c r="E2523">
        <v>0.152921674264401</v>
      </c>
      <c r="F2523">
        <v>-0.39191256830601</v>
      </c>
      <c r="G2523">
        <v>-0.373987398739874</v>
      </c>
      <c r="H2523">
        <v>-0.4937215650591441</v>
      </c>
      <c r="I2523">
        <v>-0.242580996460658</v>
      </c>
    </row>
    <row r="2524" spans="1:9">
      <c r="A2524" s="1" t="s">
        <v>2536</v>
      </c>
      <c r="B2524">
        <f>HYPERLINK("https://www.suredividend.com/sure-analysis-research-database/","Saga Communications, Inc.")</f>
        <v>0</v>
      </c>
      <c r="C2524">
        <v>-0.056829210009119</v>
      </c>
      <c r="D2524">
        <v>-0.075755548334066</v>
      </c>
      <c r="E2524">
        <v>-0.082351154890015</v>
      </c>
      <c r="F2524">
        <v>-0.130692748880778</v>
      </c>
      <c r="G2524">
        <v>-0.100050721029683</v>
      </c>
      <c r="H2524">
        <v>-0.009201008217381</v>
      </c>
      <c r="I2524">
        <v>-0.3325718071981471</v>
      </c>
    </row>
    <row r="2525" spans="1:9">
      <c r="A2525" s="1" t="s">
        <v>2537</v>
      </c>
      <c r="B2525">
        <f>HYPERLINK("https://www.suredividend.com/sure-analysis-research-database/","Superior Group of Companies Inc..")</f>
        <v>0</v>
      </c>
      <c r="C2525">
        <v>0.06060606060606</v>
      </c>
      <c r="D2525">
        <v>-0.037092857740935</v>
      </c>
      <c r="E2525">
        <v>0.08258583359109101</v>
      </c>
      <c r="F2525">
        <v>-0.136034343976388</v>
      </c>
      <c r="G2525">
        <v>-0.121514705079936</v>
      </c>
      <c r="H2525">
        <v>-0.6513672467107251</v>
      </c>
      <c r="I2525">
        <v>-0.441515193561814</v>
      </c>
    </row>
    <row r="2526" spans="1:9">
      <c r="A2526" s="1" t="s">
        <v>2538</v>
      </c>
      <c r="B2526">
        <f>HYPERLINK("https://www.suredividend.com/sure-analysis-research-database/","Seagen Inc")</f>
        <v>0</v>
      </c>
      <c r="C2526">
        <v>0.014404458297912</v>
      </c>
      <c r="D2526">
        <v>0.113016892942273</v>
      </c>
      <c r="E2526">
        <v>0.074326014104936</v>
      </c>
      <c r="F2526">
        <v>0.671387440666096</v>
      </c>
      <c r="G2526">
        <v>0.663749031758326</v>
      </c>
      <c r="H2526">
        <v>0.190038229264779</v>
      </c>
      <c r="I2526">
        <v>2.804960141718334</v>
      </c>
    </row>
    <row r="2527" spans="1:9">
      <c r="A2527" s="1" t="s">
        <v>2539</v>
      </c>
      <c r="B2527">
        <f>HYPERLINK("https://www.suredividend.com/sure-analysis-research-database/","SMART Global Holdings Inc")</f>
        <v>0</v>
      </c>
      <c r="C2527">
        <v>-0.444987775061124</v>
      </c>
      <c r="D2527">
        <v>-0.486618921975122</v>
      </c>
      <c r="E2527">
        <v>-0.153511497824735</v>
      </c>
      <c r="F2527">
        <v>-0.08467741935483801</v>
      </c>
      <c r="G2527">
        <v>-0.017316017316017</v>
      </c>
      <c r="H2527">
        <v>-0.5108637098222301</v>
      </c>
      <c r="I2527">
        <v>-0.121573685907771</v>
      </c>
    </row>
    <row r="2528" spans="1:9">
      <c r="A2528" s="1" t="s">
        <v>2540</v>
      </c>
      <c r="B2528">
        <f>HYPERLINK("https://www.suredividend.com/sure-analysis-research-database/","Sigmatron International Inc.")</f>
        <v>0</v>
      </c>
      <c r="C2528">
        <v>-0.016286644951139</v>
      </c>
      <c r="D2528">
        <v>-0.5129032258064511</v>
      </c>
      <c r="E2528">
        <v>0.318777292576419</v>
      </c>
      <c r="F2528">
        <v>-0.213541666666666</v>
      </c>
      <c r="G2528">
        <v>-0.361522198731501</v>
      </c>
      <c r="H2528">
        <v>-0.6650027731558511</v>
      </c>
      <c r="I2528">
        <v>-0.289411764705882</v>
      </c>
    </row>
    <row r="2529" spans="1:9">
      <c r="A2529" s="1" t="s">
        <v>2541</v>
      </c>
      <c r="B2529">
        <f>HYPERLINK("https://www.suredividend.com/sure-analysis-research-database/","Sangamo Therapeutics Inc")</f>
        <v>0</v>
      </c>
      <c r="C2529">
        <v>-0.233333333333333</v>
      </c>
      <c r="D2529">
        <v>-0.629032258064516</v>
      </c>
      <c r="E2529">
        <v>-0.6642335766423351</v>
      </c>
      <c r="F2529">
        <v>-0.8535031847133751</v>
      </c>
      <c r="G2529">
        <v>-0.8920187793427231</v>
      </c>
      <c r="H2529">
        <v>-0.9475484606613451</v>
      </c>
      <c r="I2529">
        <v>-0.9669302659956861</v>
      </c>
    </row>
    <row r="2530" spans="1:9">
      <c r="A2530" s="1" t="s">
        <v>2542</v>
      </c>
      <c r="B2530">
        <f>HYPERLINK("https://www.suredividend.com/sure-analysis-research-database/","Spar Group, Inc.")</f>
        <v>0</v>
      </c>
      <c r="C2530">
        <v>0.05806039982985901</v>
      </c>
      <c r="D2530">
        <v>-0.21031746031746</v>
      </c>
      <c r="E2530">
        <v>-0.07044095665171901</v>
      </c>
      <c r="F2530">
        <v>-0.234615384615384</v>
      </c>
      <c r="G2530">
        <v>-0.345394736842105</v>
      </c>
      <c r="H2530">
        <v>-0.353896103896104</v>
      </c>
      <c r="I2530">
        <v>0.07555939898389301</v>
      </c>
    </row>
    <row r="2531" spans="1:9">
      <c r="A2531" s="1" t="s">
        <v>2543</v>
      </c>
      <c r="B2531">
        <f>HYPERLINK("https://www.suredividend.com/sure-analysis-research-database/","Surgery Partners Inc")</f>
        <v>0</v>
      </c>
      <c r="C2531">
        <v>-0.182689018132056</v>
      </c>
      <c r="D2531">
        <v>-0.355543566226058</v>
      </c>
      <c r="E2531">
        <v>-0.357104413347685</v>
      </c>
      <c r="F2531">
        <v>-0.142498205312275</v>
      </c>
      <c r="G2531">
        <v>-0.05833661805281801</v>
      </c>
      <c r="H2531">
        <v>-0.418026796589524</v>
      </c>
      <c r="I2531">
        <v>0.6590277777777771</v>
      </c>
    </row>
    <row r="2532" spans="1:9">
      <c r="A2532" s="1" t="s">
        <v>2544</v>
      </c>
      <c r="B2532">
        <f>HYPERLINK("https://www.suredividend.com/sure-analysis-research-database/","Shake Shack Inc")</f>
        <v>0</v>
      </c>
      <c r="C2532">
        <v>-0.039135613408201</v>
      </c>
      <c r="D2532">
        <v>-0.247367719578835</v>
      </c>
      <c r="E2532">
        <v>0.036527165932452</v>
      </c>
      <c r="F2532">
        <v>0.359739947026246</v>
      </c>
      <c r="G2532">
        <v>0.08742538031966</v>
      </c>
      <c r="H2532">
        <v>-0.204535850119735</v>
      </c>
      <c r="I2532">
        <v>0.196651833015469</v>
      </c>
    </row>
    <row r="2533" spans="1:9">
      <c r="A2533" s="1" t="s">
        <v>2545</v>
      </c>
      <c r="B2533">
        <f>HYPERLINK("https://www.suredividend.com/sure-analysis-research-database/","Shore Bancshares Inc.")</f>
        <v>0</v>
      </c>
      <c r="C2533">
        <v>0.05642023346303501</v>
      </c>
      <c r="D2533">
        <v>-0.04412347178579901</v>
      </c>
      <c r="E2533">
        <v>-0.041135803777183</v>
      </c>
      <c r="F2533">
        <v>-0.352453640212271</v>
      </c>
      <c r="G2533">
        <v>-0.421164280612734</v>
      </c>
      <c r="H2533">
        <v>-0.383308442314353</v>
      </c>
      <c r="I2533">
        <v>-0.217641253214802</v>
      </c>
    </row>
    <row r="2534" spans="1:9">
      <c r="A2534" s="1" t="s">
        <v>2546</v>
      </c>
      <c r="B2534">
        <f>HYPERLINK("https://www.suredividend.com/sure-analysis-research-database/","Shenandoah Telecommunications Co.")</f>
        <v>0</v>
      </c>
      <c r="C2534">
        <v>0.159538683325324</v>
      </c>
      <c r="D2534">
        <v>0.264012572027239</v>
      </c>
      <c r="E2534">
        <v>0.230494645588985</v>
      </c>
      <c r="F2534">
        <v>0.5195214105793441</v>
      </c>
      <c r="G2534">
        <v>0.25899374416287</v>
      </c>
      <c r="H2534">
        <v>-0.138691081722617</v>
      </c>
      <c r="I2534">
        <v>0.001298825247834</v>
      </c>
    </row>
    <row r="2535" spans="1:9">
      <c r="A2535" s="1" t="s">
        <v>2547</v>
      </c>
      <c r="B2535">
        <f>HYPERLINK("https://www.suredividend.com/sure-analysis-research-database/","Sunstone Hotel Investors Inc")</f>
        <v>0</v>
      </c>
      <c r="C2535">
        <v>0.023454157782515</v>
      </c>
      <c r="D2535">
        <v>-0.025934494094728</v>
      </c>
      <c r="E2535">
        <v>0.019108280254777</v>
      </c>
      <c r="F2535">
        <v>0.011857707509881</v>
      </c>
      <c r="G2535">
        <v>-0.06773488710852101</v>
      </c>
      <c r="H2535">
        <v>-0.219315437224015</v>
      </c>
      <c r="I2535">
        <v>-0.242274754331268</v>
      </c>
    </row>
    <row r="2536" spans="1:9">
      <c r="A2536" s="1" t="s">
        <v>2548</v>
      </c>
      <c r="B2536">
        <f>HYPERLINK("https://www.suredividend.com/sure-analysis-research-database/","Steven Madden Ltd.")</f>
        <v>0</v>
      </c>
      <c r="C2536">
        <v>0.06259830135262601</v>
      </c>
      <c r="D2536">
        <v>0.00214788356335</v>
      </c>
      <c r="E2536">
        <v>0.03768281556708501</v>
      </c>
      <c r="F2536">
        <v>0.09120863146673501</v>
      </c>
      <c r="G2536">
        <v>0.186862298676111</v>
      </c>
      <c r="H2536">
        <v>-0.200238649923291</v>
      </c>
      <c r="I2536">
        <v>0.148198504418762</v>
      </c>
    </row>
    <row r="2537" spans="1:9">
      <c r="A2537" s="1" t="s">
        <v>2549</v>
      </c>
      <c r="B2537">
        <f>HYPERLINK("https://www.suredividend.com/sure-analysis-research-database/","SharpSpring Inc")</f>
        <v>0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</row>
    <row r="2538" spans="1:9">
      <c r="A2538" s="1" t="s">
        <v>2550</v>
      </c>
      <c r="B2538">
        <f>HYPERLINK("https://www.suredividend.com/sure-analysis-SHW/","Sherwin-Williams Co.")</f>
        <v>0</v>
      </c>
      <c r="C2538">
        <v>-0.029012467840886</v>
      </c>
      <c r="D2538">
        <v>-0.114575362875399</v>
      </c>
      <c r="E2538">
        <v>0.06313593899579301</v>
      </c>
      <c r="F2538">
        <v>0.04154725725605801</v>
      </c>
      <c r="G2538">
        <v>0.148694397281941</v>
      </c>
      <c r="H2538">
        <v>-0.200848015834493</v>
      </c>
      <c r="I2538">
        <v>0.9135516460818681</v>
      </c>
    </row>
    <row r="2539" spans="1:9">
      <c r="A2539" s="1" t="s">
        <v>2551</v>
      </c>
      <c r="B2539">
        <f>HYPERLINK("https://www.suredividend.com/sure-analysis-research-database/","SI-BONE Inc")</f>
        <v>0</v>
      </c>
      <c r="C2539">
        <v>-0.174138744690891</v>
      </c>
      <c r="D2539">
        <v>-0.287749287749287</v>
      </c>
      <c r="E2539">
        <v>-0.277456647398843</v>
      </c>
      <c r="F2539">
        <v>0.286764705882353</v>
      </c>
      <c r="G2539">
        <v>-0.034749034749034</v>
      </c>
      <c r="H2539">
        <v>-0.247311827956989</v>
      </c>
      <c r="I2539">
        <v>-0.045801526717557</v>
      </c>
    </row>
    <row r="2540" spans="1:9">
      <c r="A2540" s="1" t="s">
        <v>2552</v>
      </c>
      <c r="B2540">
        <f>HYPERLINK("https://www.suredividend.com/sure-analysis-research-database/","Siebert Financial Corp.")</f>
        <v>0</v>
      </c>
      <c r="C2540">
        <v>-0.223350253807106</v>
      </c>
      <c r="D2540">
        <v>-0.290023201856148</v>
      </c>
      <c r="E2540">
        <v>-0.328947368421052</v>
      </c>
      <c r="F2540">
        <v>0.125</v>
      </c>
      <c r="G2540">
        <v>-0.142857142857142</v>
      </c>
      <c r="H2540">
        <v>-0.5459940652818991</v>
      </c>
      <c r="I2540">
        <v>-0.887084870848708</v>
      </c>
    </row>
    <row r="2541" spans="1:9">
      <c r="A2541" s="1" t="s">
        <v>2553</v>
      </c>
      <c r="B2541">
        <f>HYPERLINK("https://www.suredividend.com/sure-analysis-research-database/","Sientra Inc")</f>
        <v>0</v>
      </c>
      <c r="C2541">
        <v>-0.6615234375</v>
      </c>
      <c r="D2541">
        <v>-0.76129476584022</v>
      </c>
      <c r="E2541">
        <v>-0.406506849315068</v>
      </c>
      <c r="F2541">
        <v>-0.5729423361261701</v>
      </c>
      <c r="G2541">
        <v>-0.587184373511195</v>
      </c>
      <c r="H2541">
        <v>-0.9855583333333331</v>
      </c>
      <c r="I2541">
        <v>-0.9959490416082281</v>
      </c>
    </row>
    <row r="2542" spans="1:9">
      <c r="A2542" s="1" t="s">
        <v>2554</v>
      </c>
      <c r="B2542">
        <f>HYPERLINK("https://www.suredividend.com/sure-analysis-research-database/","SIFCO Industries Inc.")</f>
        <v>0</v>
      </c>
      <c r="C2542">
        <v>0.282857142857142</v>
      </c>
      <c r="D2542">
        <v>0.747081712062257</v>
      </c>
      <c r="E2542">
        <v>0.9188034188034191</v>
      </c>
      <c r="F2542">
        <v>1.078992452655461</v>
      </c>
      <c r="G2542">
        <v>0.583774250440917</v>
      </c>
      <c r="H2542">
        <v>-0.413071895424836</v>
      </c>
      <c r="I2542">
        <v>-0.09657947686116601</v>
      </c>
    </row>
    <row r="2543" spans="1:9">
      <c r="A2543" s="1" t="s">
        <v>2555</v>
      </c>
      <c r="B2543">
        <f>HYPERLINK("https://www.suredividend.com/sure-analysis-research-database/","Signet Jewelers Ltd")</f>
        <v>0</v>
      </c>
      <c r="C2543">
        <v>-0.029284381985086</v>
      </c>
      <c r="D2543">
        <v>-0.09965745750232001</v>
      </c>
      <c r="E2543">
        <v>-0.017272851795632</v>
      </c>
      <c r="F2543">
        <v>0.046438596334562</v>
      </c>
      <c r="G2543">
        <v>0.117251855995118</v>
      </c>
      <c r="H2543">
        <v>-0.263266649063025</v>
      </c>
      <c r="I2543">
        <v>0.3570660660139</v>
      </c>
    </row>
    <row r="2544" spans="1:9">
      <c r="A2544" s="1" t="s">
        <v>2556</v>
      </c>
      <c r="B2544">
        <f>HYPERLINK("https://www.suredividend.com/sure-analysis-research-database/","SIGA Technologies Inc")</f>
        <v>0</v>
      </c>
      <c r="C2544">
        <v>-0.063218390804597</v>
      </c>
      <c r="D2544">
        <v>-0.126785714285714</v>
      </c>
      <c r="E2544">
        <v>0.036038899129218</v>
      </c>
      <c r="F2544">
        <v>-0.221573090943822</v>
      </c>
      <c r="G2544">
        <v>-0.3314740382249201</v>
      </c>
      <c r="H2544">
        <v>-0.160183420062857</v>
      </c>
      <c r="I2544">
        <v>0.262326397852237</v>
      </c>
    </row>
    <row r="2545" spans="1:9">
      <c r="A2545" s="1" t="s">
        <v>2557</v>
      </c>
      <c r="B2545">
        <f>HYPERLINK("https://www.suredividend.com/sure-analysis-research-database/","Selective Insurance Group Inc.")</f>
        <v>0</v>
      </c>
      <c r="C2545">
        <v>0.022815533980582</v>
      </c>
      <c r="D2545">
        <v>0.014965808128589</v>
      </c>
      <c r="E2545">
        <v>0.08863684273615101</v>
      </c>
      <c r="F2545">
        <v>0.203154354368072</v>
      </c>
      <c r="G2545">
        <v>0.122144974526723</v>
      </c>
      <c r="H2545">
        <v>0.368796887952248</v>
      </c>
      <c r="I2545">
        <v>0.7876535668227781</v>
      </c>
    </row>
    <row r="2546" spans="1:9">
      <c r="A2546" s="1" t="s">
        <v>2558</v>
      </c>
      <c r="B2546">
        <f>HYPERLINK("https://www.suredividend.com/sure-analysis-research-database/","Silk Road Medical Inc")</f>
        <v>0</v>
      </c>
      <c r="C2546">
        <v>-0.455263157894736</v>
      </c>
      <c r="D2546">
        <v>-0.624830086089714</v>
      </c>
      <c r="E2546">
        <v>-0.8031851675778461</v>
      </c>
      <c r="F2546">
        <v>-0.84333017975402</v>
      </c>
      <c r="G2546">
        <v>-0.807977736549165</v>
      </c>
      <c r="H2546">
        <v>-0.8634339435922811</v>
      </c>
      <c r="I2546">
        <v>-0.7711442786069651</v>
      </c>
    </row>
    <row r="2547" spans="1:9">
      <c r="A2547" s="1" t="s">
        <v>2559</v>
      </c>
      <c r="B2547">
        <f>HYPERLINK("https://www.suredividend.com/sure-analysis-research-database/","SINTX Technologies Inc")</f>
        <v>0</v>
      </c>
      <c r="C2547">
        <v>-0.48195302843016</v>
      </c>
      <c r="D2547">
        <v>-0.6825000000000001</v>
      </c>
      <c r="E2547">
        <v>-0.7278571428571421</v>
      </c>
      <c r="F2547">
        <v>-0.9567045454545451</v>
      </c>
      <c r="G2547">
        <v>-0.9591918208373901</v>
      </c>
      <c r="H2547">
        <v>-0.9965647540983601</v>
      </c>
      <c r="I2547">
        <v>0.445172413793103</v>
      </c>
    </row>
    <row r="2548" spans="1:9">
      <c r="A2548" s="1" t="s">
        <v>2560</v>
      </c>
      <c r="B2548">
        <f>HYPERLINK("https://www.suredividend.com/sure-analysis-research-database/","Sirius XM Holdings Inc")</f>
        <v>0</v>
      </c>
      <c r="C2548">
        <v>0.07888631090487201</v>
      </c>
      <c r="D2548">
        <v>-0.053049587618368</v>
      </c>
      <c r="E2548">
        <v>0.293247302258315</v>
      </c>
      <c r="F2548">
        <v>-0.181150615457763</v>
      </c>
      <c r="G2548">
        <v>-0.20613241369891</v>
      </c>
      <c r="H2548">
        <v>-0.196780211428176</v>
      </c>
      <c r="I2548">
        <v>-0.151227525782604</v>
      </c>
    </row>
    <row r="2549" spans="1:9">
      <c r="A2549" s="1" t="s">
        <v>2561</v>
      </c>
      <c r="B2549">
        <f>HYPERLINK("https://www.suredividend.com/sure-analysis-research-database/","SITE Centers Corp")</f>
        <v>0</v>
      </c>
      <c r="C2549">
        <v>0.027272727272727</v>
      </c>
      <c r="D2549">
        <v>-0.106738625829123</v>
      </c>
      <c r="E2549">
        <v>0.064166773682633</v>
      </c>
      <c r="F2549">
        <v>-0.061525568331961</v>
      </c>
      <c r="G2549">
        <v>0.066376122783387</v>
      </c>
      <c r="H2549">
        <v>-0.178860445912468</v>
      </c>
      <c r="I2549">
        <v>0.270285737644606</v>
      </c>
    </row>
    <row r="2550" spans="1:9">
      <c r="A2550" s="1" t="s">
        <v>2562</v>
      </c>
      <c r="B2550">
        <f>HYPERLINK("https://www.suredividend.com/sure-analysis-research-database/","SiteOne Landscape Supply Inc")</f>
        <v>0</v>
      </c>
      <c r="C2550">
        <v>-0.214975102969201</v>
      </c>
      <c r="D2550">
        <v>-0.212700369913686</v>
      </c>
      <c r="E2550">
        <v>-0.132885176885991</v>
      </c>
      <c r="F2550">
        <v>0.08847596317763301</v>
      </c>
      <c r="G2550">
        <v>0.15045045045045</v>
      </c>
      <c r="H2550">
        <v>-0.469816490907581</v>
      </c>
      <c r="I2550">
        <v>0.877665049257462</v>
      </c>
    </row>
    <row r="2551" spans="1:9">
      <c r="A2551" s="1" t="s">
        <v>2563</v>
      </c>
      <c r="B2551">
        <f>HYPERLINK("https://www.suredividend.com/sure-analysis-research-database/","SVB Financial Group")</f>
        <v>0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</row>
    <row r="2552" spans="1:9">
      <c r="A2552" s="1" t="s">
        <v>2564</v>
      </c>
      <c r="B2552">
        <f>HYPERLINK("https://www.suredividend.com/sure-analysis-research-database/","Six Flags Entertainment Corp")</f>
        <v>0</v>
      </c>
      <c r="C2552">
        <v>-0.044852627082443</v>
      </c>
      <c r="D2552">
        <v>-0.047294418406476</v>
      </c>
      <c r="E2552">
        <v>-0.038279569892473</v>
      </c>
      <c r="F2552">
        <v>-0.038279569892473</v>
      </c>
      <c r="G2552">
        <v>0.056710775047258</v>
      </c>
      <c r="H2552">
        <v>-0.467238503693114</v>
      </c>
      <c r="I2552">
        <v>-0.581002707741893</v>
      </c>
    </row>
    <row r="2553" spans="1:9">
      <c r="A2553" s="1" t="s">
        <v>2565</v>
      </c>
      <c r="B2553">
        <f>HYPERLINK("https://www.suredividend.com/sure-analysis-research-database/","South Jersey Industries Inc.")</f>
        <v>0</v>
      </c>
      <c r="C2553">
        <v>0.015761328454827</v>
      </c>
      <c r="D2553">
        <v>0.05010780408462501</v>
      </c>
      <c r="E2553">
        <v>0.07171810458234401</v>
      </c>
      <c r="F2553">
        <v>0.015761328454827</v>
      </c>
      <c r="G2553">
        <v>0.495016611295681</v>
      </c>
      <c r="H2553">
        <v>0.6962137163483231</v>
      </c>
      <c r="I2553">
        <v>0.505996444696672</v>
      </c>
    </row>
    <row r="2554" spans="1:9">
      <c r="A2554" s="1" t="s">
        <v>2566</v>
      </c>
      <c r="B2554">
        <f>HYPERLINK("https://www.suredividend.com/sure-analysis-SJM/","J.M. Smucker Co.")</f>
        <v>0</v>
      </c>
      <c r="C2554">
        <v>-0.060843075909764</v>
      </c>
      <c r="D2554">
        <v>-0.242714940297496</v>
      </c>
      <c r="E2554">
        <v>-0.271231367909008</v>
      </c>
      <c r="F2554">
        <v>-0.265046508825949</v>
      </c>
      <c r="G2554">
        <v>-0.208930547888586</v>
      </c>
      <c r="H2554">
        <v>-0.016954031160669</v>
      </c>
      <c r="I2554">
        <v>0.260990972865534</v>
      </c>
    </row>
    <row r="2555" spans="1:9">
      <c r="A2555" s="1" t="s">
        <v>2567</v>
      </c>
      <c r="B2555">
        <f>HYPERLINK("https://www.suredividend.com/sure-analysis-SJW/","SJW Group")</f>
        <v>0</v>
      </c>
      <c r="C2555">
        <v>0.08969530982540201</v>
      </c>
      <c r="D2555">
        <v>-0.08669641191914201</v>
      </c>
      <c r="E2555">
        <v>-0.150257352155991</v>
      </c>
      <c r="F2555">
        <v>-0.203871839123583</v>
      </c>
      <c r="G2555">
        <v>-0.047140073103485</v>
      </c>
      <c r="H2555">
        <v>-0.05862520240445401</v>
      </c>
      <c r="I2555">
        <v>0.156300347471342</v>
      </c>
    </row>
    <row r="2556" spans="1:9">
      <c r="A2556" s="1" t="s">
        <v>2568</v>
      </c>
      <c r="B2556">
        <f>HYPERLINK("https://www.suredividend.com/sure-analysis-SKT/","Tanger Factory Outlet Centers, Inc.")</f>
        <v>0</v>
      </c>
      <c r="C2556">
        <v>0.061516296517791</v>
      </c>
      <c r="D2556">
        <v>0.014298886998532</v>
      </c>
      <c r="E2556">
        <v>0.243756005117288</v>
      </c>
      <c r="F2556">
        <v>0.369798944149853</v>
      </c>
      <c r="G2556">
        <v>0.369798944149853</v>
      </c>
      <c r="H2556">
        <v>0.26159694589079</v>
      </c>
      <c r="I2556">
        <v>0.347891869502436</v>
      </c>
    </row>
    <row r="2557" spans="1:9">
      <c r="A2557" s="1" t="s">
        <v>2569</v>
      </c>
      <c r="B2557">
        <f>HYPERLINK("https://www.suredividend.com/sure-analysis-research-database/","Skechers U S A, Inc.")</f>
        <v>0</v>
      </c>
      <c r="C2557">
        <v>-0.03637849989781301</v>
      </c>
      <c r="D2557">
        <v>-0.129913268130651</v>
      </c>
      <c r="E2557">
        <v>-0.110545180154687</v>
      </c>
      <c r="F2557">
        <v>0.123957091775923</v>
      </c>
      <c r="G2557">
        <v>0.352553069420539</v>
      </c>
      <c r="H2557">
        <v>0.037860444640105</v>
      </c>
      <c r="I2557">
        <v>0.612517099863201</v>
      </c>
    </row>
    <row r="2558" spans="1:9">
      <c r="A2558" s="1" t="s">
        <v>2570</v>
      </c>
      <c r="B2558">
        <f>HYPERLINK("https://www.suredividend.com/sure-analysis-research-database/","Skyline Champion Corp")</f>
        <v>0</v>
      </c>
      <c r="C2558">
        <v>-0.111199744735162</v>
      </c>
      <c r="D2558">
        <v>-0.150244051250762</v>
      </c>
      <c r="E2558">
        <v>-0.246958637469586</v>
      </c>
      <c r="F2558">
        <v>0.081537565521258</v>
      </c>
      <c r="G2558">
        <v>0.173583315778386</v>
      </c>
      <c r="H2558">
        <v>-0.140940632228218</v>
      </c>
      <c r="I2558">
        <v>1.210714285714286</v>
      </c>
    </row>
    <row r="2559" spans="1:9">
      <c r="A2559" s="1" t="s">
        <v>2571</v>
      </c>
      <c r="B2559">
        <f>HYPERLINK("https://www.suredividend.com/sure-analysis-research-database/","Skywest Inc.")</f>
        <v>0</v>
      </c>
      <c r="C2559">
        <v>0.061105722599418</v>
      </c>
      <c r="D2559">
        <v>-0.01707097933513</v>
      </c>
      <c r="E2559">
        <v>0.5964976286026991</v>
      </c>
      <c r="F2559">
        <v>1.650514839491217</v>
      </c>
      <c r="G2559">
        <v>1.538283062645011</v>
      </c>
      <c r="H2559">
        <v>-0.009730708305046</v>
      </c>
      <c r="I2559">
        <v>-0.204253678690146</v>
      </c>
    </row>
    <row r="2560" spans="1:9">
      <c r="A2560" s="1" t="s">
        <v>2572</v>
      </c>
      <c r="B2560">
        <f>HYPERLINK("https://www.suredividend.com/sure-analysis-research-database/","Silicon Laboratories Inc")</f>
        <v>0</v>
      </c>
      <c r="C2560">
        <v>-0.237012706370472</v>
      </c>
      <c r="D2560">
        <v>-0.3734828589679891</v>
      </c>
      <c r="E2560">
        <v>-0.368597997138769</v>
      </c>
      <c r="F2560">
        <v>-0.3493771651802161</v>
      </c>
      <c r="G2560">
        <v>-0.240557515271444</v>
      </c>
      <c r="H2560">
        <v>-0.5553820581272351</v>
      </c>
      <c r="I2560">
        <v>0.024370430544272</v>
      </c>
    </row>
    <row r="2561" spans="1:9">
      <c r="A2561" s="1" t="s">
        <v>2573</v>
      </c>
      <c r="B2561">
        <f>HYPERLINK("https://www.suredividend.com/sure-analysis-SLB/","SLB")</f>
        <v>0</v>
      </c>
      <c r="C2561">
        <v>-0.010010355540214</v>
      </c>
      <c r="D2561">
        <v>0.002254023169261</v>
      </c>
      <c r="E2561">
        <v>0.254066533739112</v>
      </c>
      <c r="F2561">
        <v>0.08841678621035101</v>
      </c>
      <c r="G2561">
        <v>0.141681113497353</v>
      </c>
      <c r="H2561">
        <v>0.7862147568244241</v>
      </c>
      <c r="I2561">
        <v>0.29844259326331</v>
      </c>
    </row>
    <row r="2562" spans="1:9">
      <c r="A2562" s="1" t="s">
        <v>2574</v>
      </c>
      <c r="B2562">
        <f>HYPERLINK("https://www.suredividend.com/sure-analysis-research-database/","U.S. Silica Holdings Inc")</f>
        <v>0</v>
      </c>
      <c r="C2562">
        <v>-0.082388510959939</v>
      </c>
      <c r="D2562">
        <v>-0.047095761381475</v>
      </c>
      <c r="E2562">
        <v>0.009983361064891</v>
      </c>
      <c r="F2562">
        <v>-0.028799999999999</v>
      </c>
      <c r="G2562">
        <v>-0.154006968641114</v>
      </c>
      <c r="H2562">
        <v>0.112740604949587</v>
      </c>
      <c r="I2562">
        <v>-0.109833625411536</v>
      </c>
    </row>
    <row r="2563" spans="1:9">
      <c r="A2563" s="1" t="s">
        <v>2575</v>
      </c>
      <c r="B2563">
        <f>HYPERLINK("https://www.suredividend.com/sure-analysis-research-database/","Select Bancorp Inc")</f>
        <v>0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</row>
    <row r="2564" spans="1:9">
      <c r="A2564" s="1" t="s">
        <v>2576</v>
      </c>
      <c r="B2564">
        <f>HYPERLINK("https://www.suredividend.com/sure-analysis-research-database/","Solid Biosciences Inc")</f>
        <v>0</v>
      </c>
      <c r="C2564">
        <v>0.2</v>
      </c>
      <c r="D2564">
        <v>-0.265</v>
      </c>
      <c r="E2564">
        <v>-0.438931297709923</v>
      </c>
      <c r="F2564">
        <v>-0.4535315985130111</v>
      </c>
      <c r="G2564">
        <v>-0.5258064516129031</v>
      </c>
      <c r="H2564">
        <v>-0.9092592592592591</v>
      </c>
      <c r="I2564">
        <v>-0.9946153846153841</v>
      </c>
    </row>
    <row r="2565" spans="1:9">
      <c r="A2565" s="1" t="s">
        <v>2577</v>
      </c>
      <c r="B2565">
        <f>HYPERLINK("https://www.suredividend.com/sure-analysis-SLG/","SL Green Realty Corp.")</f>
        <v>0</v>
      </c>
      <c r="C2565">
        <v>-0.076913597880486</v>
      </c>
      <c r="D2565">
        <v>-0.08113141270469601</v>
      </c>
      <c r="E2565">
        <v>0.564212934180615</v>
      </c>
      <c r="F2565">
        <v>0.071542357783311</v>
      </c>
      <c r="G2565">
        <v>-0.038209014456045</v>
      </c>
      <c r="H2565">
        <v>-0.448829431438127</v>
      </c>
      <c r="I2565">
        <v>-0.503396819991894</v>
      </c>
    </row>
    <row r="2566" spans="1:9">
      <c r="A2566" s="1" t="s">
        <v>2578</v>
      </c>
      <c r="B2566">
        <f>HYPERLINK("https://www.suredividend.com/sure-analysis-SLGN/","Silgan Holdings Inc.")</f>
        <v>0</v>
      </c>
      <c r="C2566">
        <v>-0.027503526093088</v>
      </c>
      <c r="D2566">
        <v>-0.05108149643324</v>
      </c>
      <c r="E2566">
        <v>-0.142039445032041</v>
      </c>
      <c r="F2566">
        <v>-0.192811987824865</v>
      </c>
      <c r="G2566">
        <v>-0.08734124436620101</v>
      </c>
      <c r="H2566">
        <v>0.038374944466894</v>
      </c>
      <c r="I2566">
        <v>0.821439892923813</v>
      </c>
    </row>
    <row r="2567" spans="1:9">
      <c r="A2567" s="1" t="s">
        <v>2579</v>
      </c>
      <c r="B2567">
        <f>HYPERLINK("https://www.suredividend.com/sure-analysis-research-database/","SLM Corp.")</f>
        <v>0</v>
      </c>
      <c r="C2567">
        <v>0.056952662721893</v>
      </c>
      <c r="D2567">
        <v>-0.08032513627792301</v>
      </c>
      <c r="E2567">
        <v>0.033268497964555</v>
      </c>
      <c r="F2567">
        <v>-0.1060480944874</v>
      </c>
      <c r="G2567">
        <v>-0.08043758043758001</v>
      </c>
      <c r="H2567">
        <v>-0.16066089878005</v>
      </c>
      <c r="I2567">
        <v>0.557289509818879</v>
      </c>
    </row>
    <row r="2568" spans="1:9">
      <c r="A2568" s="1" t="s">
        <v>2580</v>
      </c>
      <c r="B2568">
        <f>HYPERLINK("https://www.suredividend.com/sure-analysis-research-database/","Stabilis Solutions Inc")</f>
        <v>0</v>
      </c>
      <c r="C2568">
        <v>0.154205607476635</v>
      </c>
      <c r="D2568">
        <v>0.1875</v>
      </c>
      <c r="E2568">
        <v>0.529411764705882</v>
      </c>
      <c r="F2568">
        <v>-0.07055503292568101</v>
      </c>
      <c r="G2568">
        <v>-0.375474083438685</v>
      </c>
      <c r="H2568">
        <v>-0.130281690140845</v>
      </c>
      <c r="I2568">
        <v>7.0064829821718</v>
      </c>
    </row>
    <row r="2569" spans="1:9">
      <c r="A2569" s="1" t="s">
        <v>2581</v>
      </c>
      <c r="B2569">
        <f>HYPERLINK("https://www.suredividend.com/sure-analysis-research-database/","Soleno Therapeutics Inc")</f>
        <v>0</v>
      </c>
      <c r="C2569">
        <v>-0.102341389728096</v>
      </c>
      <c r="D2569">
        <v>3.962421711899792</v>
      </c>
      <c r="E2569">
        <v>5.521262002743484</v>
      </c>
      <c r="F2569">
        <v>11.0050505050505</v>
      </c>
      <c r="G2569">
        <v>23.05870445344129</v>
      </c>
      <c r="H2569">
        <v>1.032666324610911</v>
      </c>
      <c r="I2569">
        <v>-0.215511551155115</v>
      </c>
    </row>
    <row r="2570" spans="1:9">
      <c r="A2570" s="1" t="s">
        <v>2582</v>
      </c>
      <c r="B2570">
        <f>HYPERLINK("https://www.suredividend.com/sure-analysis-research-database/","Simulations Plus Inc.")</f>
        <v>0</v>
      </c>
      <c r="C2570">
        <v>-0.157132946747335</v>
      </c>
      <c r="D2570">
        <v>-0.314748144887435</v>
      </c>
      <c r="E2570">
        <v>-0.140396201670397</v>
      </c>
      <c r="F2570">
        <v>-0.036585972338109</v>
      </c>
      <c r="G2570">
        <v>-0.141729143796673</v>
      </c>
      <c r="H2570">
        <v>-0.309902610574896</v>
      </c>
      <c r="I2570">
        <v>0.7674041410071211</v>
      </c>
    </row>
    <row r="2571" spans="1:9">
      <c r="A2571" s="1" t="s">
        <v>2583</v>
      </c>
      <c r="B2571">
        <f>HYPERLINK("https://www.suredividend.com/sure-analysis-research-database/","Salarius Pharmaceuticals Inc")</f>
        <v>0</v>
      </c>
      <c r="C2571">
        <v>0.101573676680972</v>
      </c>
      <c r="D2571">
        <v>-0.186046511627906</v>
      </c>
      <c r="E2571">
        <v>-0.5625</v>
      </c>
      <c r="F2571">
        <v>-0.49673202614379</v>
      </c>
      <c r="G2571">
        <v>-0.6323002721933051</v>
      </c>
      <c r="H2571">
        <v>-0.9641860465116281</v>
      </c>
      <c r="I2571">
        <v>-0.9507200000000001</v>
      </c>
    </row>
    <row r="2572" spans="1:9">
      <c r="A2572" s="1" t="s">
        <v>2584</v>
      </c>
      <c r="B2572">
        <f>HYPERLINK("https://www.suredividend.com/sure-analysis-research-database/","SELLAS Life Sciences Group Inc")</f>
        <v>0</v>
      </c>
      <c r="C2572">
        <v>-0.396114649681528</v>
      </c>
      <c r="D2572">
        <v>-0.399936708860759</v>
      </c>
      <c r="E2572">
        <v>-0.355034013605442</v>
      </c>
      <c r="F2572">
        <v>-0.598262711864406</v>
      </c>
      <c r="G2572">
        <v>-0.762380952380952</v>
      </c>
      <c r="H2572">
        <v>-0.8958131868131861</v>
      </c>
      <c r="I2572">
        <v>-0.989406703910614</v>
      </c>
    </row>
    <row r="2573" spans="1:9">
      <c r="A2573" s="1" t="s">
        <v>2585</v>
      </c>
      <c r="B2573">
        <f>HYPERLINK("https://www.suredividend.com/sure-analysis-research-database/","SM Energy Co")</f>
        <v>0</v>
      </c>
      <c r="C2573">
        <v>0.09018620369756801</v>
      </c>
      <c r="D2573">
        <v>0.158744960600417</v>
      </c>
      <c r="E2573">
        <v>0.570800600364343</v>
      </c>
      <c r="F2573">
        <v>0.201774172812379</v>
      </c>
      <c r="G2573">
        <v>-0.052561745884759</v>
      </c>
      <c r="H2573">
        <v>0.152533443925731</v>
      </c>
      <c r="I2573">
        <v>0.8478915256674061</v>
      </c>
    </row>
    <row r="2574" spans="1:9">
      <c r="A2574" s="1" t="s">
        <v>2586</v>
      </c>
      <c r="B2574">
        <f>HYPERLINK("https://www.suredividend.com/sure-analysis-research-database/","Smartsheet Inc")</f>
        <v>0</v>
      </c>
      <c r="C2574">
        <v>-0.043809992616293</v>
      </c>
      <c r="D2574">
        <v>-0.061820816227964</v>
      </c>
      <c r="E2574">
        <v>-0.016455696202531</v>
      </c>
      <c r="F2574">
        <v>-0.01295731707317</v>
      </c>
      <c r="G2574">
        <v>0.240025534631343</v>
      </c>
      <c r="H2574">
        <v>-0.4376899696048631</v>
      </c>
      <c r="I2574">
        <v>0.5994236311239191</v>
      </c>
    </row>
    <row r="2575" spans="1:9">
      <c r="A2575" s="1" t="s">
        <v>2587</v>
      </c>
      <c r="B2575">
        <f>HYPERLINK("https://www.suredividend.com/sure-analysis-research-database/","Southern Missouri Bancorp, Inc.")</f>
        <v>0</v>
      </c>
      <c r="C2575">
        <v>0.101868441259278</v>
      </c>
      <c r="D2575">
        <v>-0.078730552761668</v>
      </c>
      <c r="E2575">
        <v>0.401805251641137</v>
      </c>
      <c r="F2575">
        <v>-0.041488731648016</v>
      </c>
      <c r="G2575">
        <v>-0.104814662324861</v>
      </c>
      <c r="H2575">
        <v>-0.19035573568547</v>
      </c>
      <c r="I2575">
        <v>0.393019049252364</v>
      </c>
    </row>
    <row r="2576" spans="1:9">
      <c r="A2576" s="1" t="s">
        <v>2588</v>
      </c>
      <c r="B2576">
        <f>HYPERLINK("https://www.suredividend.com/sure-analysis-research-database/","SmartFinancial Inc")</f>
        <v>0</v>
      </c>
      <c r="C2576">
        <v>0.005208333333333</v>
      </c>
      <c r="D2576">
        <v>-0.151377063596754</v>
      </c>
      <c r="E2576">
        <v>0.07581915292543701</v>
      </c>
      <c r="F2576">
        <v>-0.217630041827126</v>
      </c>
      <c r="G2576">
        <v>-0.227924196193808</v>
      </c>
      <c r="H2576">
        <v>-0.160115993401193</v>
      </c>
      <c r="I2576">
        <v>0.09399718642268601</v>
      </c>
    </row>
    <row r="2577" spans="1:9">
      <c r="A2577" s="1" t="s">
        <v>2589</v>
      </c>
      <c r="B2577">
        <f>HYPERLINK("https://www.suredividend.com/sure-analysis-research-database/","Sharps Compliance Corp.")</f>
        <v>0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</row>
    <row r="2578" spans="1:9">
      <c r="A2578" s="1" t="s">
        <v>2590</v>
      </c>
      <c r="B2578">
        <f>HYPERLINK("https://www.suredividend.com/sure-analysis-SMG/","Scotts Miracle-Gro Company")</f>
        <v>0</v>
      </c>
      <c r="C2578">
        <v>0.102687946241075</v>
      </c>
      <c r="D2578">
        <v>-0.08063807324430901</v>
      </c>
      <c r="E2578">
        <v>-0.225182526988024</v>
      </c>
      <c r="F2578">
        <v>0.114578026829682</v>
      </c>
      <c r="G2578">
        <v>0.186637168341577</v>
      </c>
      <c r="H2578">
        <v>-0.617812791589698</v>
      </c>
      <c r="I2578">
        <v>-0.157282182881481</v>
      </c>
    </row>
    <row r="2579" spans="1:9">
      <c r="A2579" s="1" t="s">
        <v>2591</v>
      </c>
      <c r="B2579">
        <f>HYPERLINK("https://www.suredividend.com/sure-analysis-research-database/","SEACOR Marine Holdings Inc")</f>
        <v>0</v>
      </c>
      <c r="C2579">
        <v>0.015648286140089</v>
      </c>
      <c r="D2579">
        <v>0.213713268032057</v>
      </c>
      <c r="E2579">
        <v>0.7144654088050311</v>
      </c>
      <c r="F2579">
        <v>0.487991266375545</v>
      </c>
      <c r="G2579">
        <v>0.867123287671232</v>
      </c>
      <c r="H2579">
        <v>1.9375</v>
      </c>
      <c r="I2579">
        <v>-0.269560557341907</v>
      </c>
    </row>
    <row r="2580" spans="1:9">
      <c r="A2580" s="1" t="s">
        <v>2592</v>
      </c>
      <c r="B2580">
        <f>HYPERLINK("https://www.suredividend.com/sure-analysis-research-database/","Schmitt Industries Inc")</f>
        <v>0</v>
      </c>
      <c r="C2580">
        <v>0.8595041322314051</v>
      </c>
      <c r="D2580">
        <v>2</v>
      </c>
      <c r="E2580">
        <v>2.461538461538461</v>
      </c>
      <c r="F2580">
        <v>-0.816326530612244</v>
      </c>
      <c r="G2580">
        <v>-0.816326530612244</v>
      </c>
      <c r="H2580">
        <v>-0.816326530612244</v>
      </c>
      <c r="I2580">
        <v>-0.816326530612244</v>
      </c>
    </row>
    <row r="2581" spans="1:9">
      <c r="A2581" s="1" t="s">
        <v>2593</v>
      </c>
      <c r="B2581">
        <f>HYPERLINK("https://www.suredividend.com/sure-analysis-research-database/","Summit Financial Group Inc")</f>
        <v>0</v>
      </c>
      <c r="C2581">
        <v>-0.03787878787878701</v>
      </c>
      <c r="D2581">
        <v>-0.062982830755342</v>
      </c>
      <c r="E2581">
        <v>0.199537741824364</v>
      </c>
      <c r="F2581">
        <v>-0.091169314441105</v>
      </c>
      <c r="G2581">
        <v>-0.199047315194729</v>
      </c>
      <c r="H2581">
        <v>-0.124063307624584</v>
      </c>
      <c r="I2581">
        <v>0.225611244514836</v>
      </c>
    </row>
    <row r="2582" spans="1:9">
      <c r="A2582" s="1" t="s">
        <v>2594</v>
      </c>
      <c r="B2582">
        <f>HYPERLINK("https://www.suredividend.com/sure-analysis-research-database/","Standard Motor Products, Inc.")</f>
        <v>0</v>
      </c>
      <c r="C2582">
        <v>0.07106446776611601</v>
      </c>
      <c r="D2582">
        <v>-0.021702216233389</v>
      </c>
      <c r="E2582">
        <v>0.017147999020439</v>
      </c>
      <c r="F2582">
        <v>0.05031330034196901</v>
      </c>
      <c r="G2582">
        <v>0.008441320120832001</v>
      </c>
      <c r="H2582">
        <v>-0.226799660588428</v>
      </c>
      <c r="I2582">
        <v>-0.28793557132605</v>
      </c>
    </row>
    <row r="2583" spans="1:9">
      <c r="A2583" s="1" t="s">
        <v>2595</v>
      </c>
      <c r="B2583">
        <f>HYPERLINK("https://www.suredividend.com/sure-analysis-research-database/","Simply Good Foods Co")</f>
        <v>0</v>
      </c>
      <c r="C2583">
        <v>0.08552049542907701</v>
      </c>
      <c r="D2583">
        <v>-0.050554552489037</v>
      </c>
      <c r="E2583">
        <v>-0.012342366514623</v>
      </c>
      <c r="F2583">
        <v>-0.032079936891927</v>
      </c>
      <c r="G2583">
        <v>0.009046052631579002</v>
      </c>
      <c r="H2583">
        <v>-0.080898876404494</v>
      </c>
      <c r="I2583">
        <v>0.8819018404907971</v>
      </c>
    </row>
    <row r="2584" spans="1:9">
      <c r="A2584" s="1" t="s">
        <v>2596</v>
      </c>
      <c r="B2584">
        <f>HYPERLINK("https://www.suredividend.com/sure-analysis-research-database/","SmartRent Inc")</f>
        <v>0</v>
      </c>
      <c r="C2584">
        <v>-0.049429657794676</v>
      </c>
      <c r="D2584">
        <v>-0.355670103092783</v>
      </c>
      <c r="E2584">
        <v>-0.067164179104477</v>
      </c>
      <c r="F2584">
        <v>0.028806584362139</v>
      </c>
      <c r="G2584">
        <v>-0.011857707509881</v>
      </c>
      <c r="H2584">
        <v>-0.821683309557774</v>
      </c>
      <c r="I2584">
        <v>-0.7747747747747741</v>
      </c>
    </row>
    <row r="2585" spans="1:9">
      <c r="A2585" s="1" t="s">
        <v>2597</v>
      </c>
      <c r="B2585">
        <f>HYPERLINK("https://www.suredividend.com/sure-analysis-research-database/","Smith Micro Software, Inc.")</f>
        <v>0</v>
      </c>
      <c r="C2585">
        <v>-0.09243697478991501</v>
      </c>
      <c r="D2585">
        <v>-0.052631578947368</v>
      </c>
      <c r="E2585">
        <v>-0.07692307692307601</v>
      </c>
      <c r="F2585">
        <v>-0.485714285714285</v>
      </c>
      <c r="G2585">
        <v>-0.517857142857142</v>
      </c>
      <c r="H2585">
        <v>-0.8131487889273351</v>
      </c>
      <c r="I2585">
        <v>-0.538461538461538</v>
      </c>
    </row>
    <row r="2586" spans="1:9">
      <c r="A2586" s="1" t="s">
        <v>2598</v>
      </c>
      <c r="B2586">
        <f>HYPERLINK("https://www.suredividend.com/sure-analysis-research-database/","Semtech Corp.")</f>
        <v>0</v>
      </c>
      <c r="C2586">
        <v>-0.4339547798492661</v>
      </c>
      <c r="D2586">
        <v>-0.477480776272427</v>
      </c>
      <c r="E2586">
        <v>-0.234442060085836</v>
      </c>
      <c r="F2586">
        <v>-0.5026141512722201</v>
      </c>
      <c r="G2586">
        <v>-0.470697329376854</v>
      </c>
      <c r="H2586">
        <v>-0.8371190503367191</v>
      </c>
      <c r="I2586">
        <v>-0.6988180666948081</v>
      </c>
    </row>
    <row r="2587" spans="1:9">
      <c r="A2587" s="1" t="s">
        <v>2599</v>
      </c>
      <c r="B2587">
        <f>HYPERLINK("https://www.suredividend.com/sure-analysis-SNA/","Snap-on, Inc.")</f>
        <v>0</v>
      </c>
      <c r="C2587">
        <v>0.046115347950429</v>
      </c>
      <c r="D2587">
        <v>-0.031600482710592</v>
      </c>
      <c r="E2587">
        <v>0.017440625152111</v>
      </c>
      <c r="F2587">
        <v>0.174749378324431</v>
      </c>
      <c r="G2587">
        <v>0.228408288456031</v>
      </c>
      <c r="H2587">
        <v>0.352530428981753</v>
      </c>
      <c r="I2587">
        <v>0.9047019821571141</v>
      </c>
    </row>
    <row r="2588" spans="1:9">
      <c r="A2588" s="1" t="s">
        <v>2600</v>
      </c>
      <c r="B2588">
        <f>HYPERLINK("https://www.suredividend.com/sure-analysis-research-database/","Snap Inc")</f>
        <v>0</v>
      </c>
      <c r="C2588">
        <v>0.193363844393592</v>
      </c>
      <c r="D2588">
        <v>-0.04922515952598001</v>
      </c>
      <c r="E2588">
        <v>0.255114320096269</v>
      </c>
      <c r="F2588">
        <v>0.16536312849162</v>
      </c>
      <c r="G2588">
        <v>0.09329140461215901</v>
      </c>
      <c r="H2588">
        <v>-0.8001915708812261</v>
      </c>
      <c r="I2588">
        <v>0.52932551319648</v>
      </c>
    </row>
    <row r="2589" spans="1:9">
      <c r="A2589" s="1" t="s">
        <v>2601</v>
      </c>
      <c r="B2589">
        <f>HYPERLINK("https://www.suredividend.com/sure-analysis-research-database/","Sleep Number Corp")</f>
        <v>0</v>
      </c>
      <c r="C2589">
        <v>-0.316114790286975</v>
      </c>
      <c r="D2589">
        <v>-0.448754448398576</v>
      </c>
      <c r="E2589">
        <v>-0.314904909332153</v>
      </c>
      <c r="F2589">
        <v>-0.403772132409545</v>
      </c>
      <c r="G2589">
        <v>-0.382868525896414</v>
      </c>
      <c r="H2589">
        <v>-0.8239372584678331</v>
      </c>
      <c r="I2589">
        <v>-0.605752099770934</v>
      </c>
    </row>
    <row r="2590" spans="1:9">
      <c r="A2590" s="1" t="s">
        <v>2602</v>
      </c>
      <c r="B2590">
        <f>HYPERLINK("https://www.suredividend.com/sure-analysis-research-database/","Synchronoss Technologies Inc")</f>
        <v>0</v>
      </c>
      <c r="C2590">
        <v>-0.526796522504677</v>
      </c>
      <c r="D2590">
        <v>-0.5634960917673331</v>
      </c>
      <c r="E2590">
        <v>-0.5109746389173201</v>
      </c>
      <c r="F2590">
        <v>-0.304319689370652</v>
      </c>
      <c r="G2590">
        <v>-0.609090909090909</v>
      </c>
      <c r="H2590">
        <v>-0.824489795918367</v>
      </c>
      <c r="I2590">
        <v>-0.930645161290322</v>
      </c>
    </row>
    <row r="2591" spans="1:9">
      <c r="A2591" s="1" t="s">
        <v>2603</v>
      </c>
      <c r="B2591">
        <f>HYPERLINK("https://www.suredividend.com/sure-analysis-research-database/","Smart Sand Inc")</f>
        <v>0</v>
      </c>
      <c r="C2591">
        <v>-0.013698630136986</v>
      </c>
      <c r="D2591">
        <v>0.241379310344827</v>
      </c>
      <c r="E2591">
        <v>0.285714285714285</v>
      </c>
      <c r="F2591">
        <v>0.206703910614525</v>
      </c>
      <c r="G2591">
        <v>-0.048458149779735</v>
      </c>
      <c r="H2591">
        <v>-0.068965517241379</v>
      </c>
      <c r="I2591">
        <v>-0.32919254658385</v>
      </c>
    </row>
    <row r="2592" spans="1:9">
      <c r="A2592" s="1" t="s">
        <v>2604</v>
      </c>
      <c r="B2592">
        <f>HYPERLINK("https://www.suredividend.com/sure-analysis-research-database/","Schneider National Inc")</f>
        <v>0</v>
      </c>
      <c r="C2592">
        <v>-0.186191700330517</v>
      </c>
      <c r="D2592">
        <v>-0.278671662147514</v>
      </c>
      <c r="E2592">
        <v>-0.154143589469545</v>
      </c>
      <c r="F2592">
        <v>-0.043768312311482</v>
      </c>
      <c r="G2592">
        <v>0.025978174814458</v>
      </c>
      <c r="H2592">
        <v>-0.103342235170348</v>
      </c>
      <c r="I2592">
        <v>0.17577770585395</v>
      </c>
    </row>
    <row r="2593" spans="1:9">
      <c r="A2593" s="1" t="s">
        <v>2605</v>
      </c>
      <c r="B2593">
        <f>HYPERLINK("https://www.suredividend.com/sure-analysis-research-database/","Syndax Pharmaceuticals Inc")</f>
        <v>0</v>
      </c>
      <c r="C2593">
        <v>0.09481481481481401</v>
      </c>
      <c r="D2593">
        <v>-0.2783203125</v>
      </c>
      <c r="E2593">
        <v>-0.253158160687215</v>
      </c>
      <c r="F2593">
        <v>-0.4192534381139481</v>
      </c>
      <c r="G2593">
        <v>-0.354303189165574</v>
      </c>
      <c r="H2593">
        <v>-0.228601252609603</v>
      </c>
      <c r="I2593">
        <v>1.88671875</v>
      </c>
    </row>
    <row r="2594" spans="1:9">
      <c r="A2594" s="1" t="s">
        <v>2606</v>
      </c>
      <c r="B2594">
        <f>HYPERLINK("https://www.suredividend.com/sure-analysis-research-database/","Security National Financial Corp.")</f>
        <v>0</v>
      </c>
      <c r="C2594">
        <v>-0.05874673629242801</v>
      </c>
      <c r="D2594">
        <v>-0.123936816524908</v>
      </c>
      <c r="E2594">
        <v>0.010752386693395</v>
      </c>
      <c r="F2594">
        <v>0.037051953282319</v>
      </c>
      <c r="G2594">
        <v>0.213212404718235</v>
      </c>
      <c r="H2594">
        <v>-0.122625552161797</v>
      </c>
      <c r="I2594">
        <v>0.575956284153005</v>
      </c>
    </row>
    <row r="2595" spans="1:9">
      <c r="A2595" s="1" t="s">
        <v>2607</v>
      </c>
      <c r="B2595">
        <f>HYPERLINK("https://www.suredividend.com/sure-analysis-research-database/","Sonoma Pharmaceuticals Inc.")</f>
        <v>0</v>
      </c>
      <c r="C2595">
        <v>-0.7784237726098191</v>
      </c>
      <c r="D2595">
        <v>-0.8285</v>
      </c>
      <c r="E2595">
        <v>-0.8189973614775721</v>
      </c>
      <c r="F2595">
        <v>-0.8468749999999999</v>
      </c>
      <c r="G2595">
        <v>-0.936245353159851</v>
      </c>
      <c r="H2595">
        <v>-0.9710304054054051</v>
      </c>
      <c r="I2595">
        <v>-0.9847555555555551</v>
      </c>
    </row>
    <row r="2596" spans="1:9">
      <c r="A2596" s="1" t="s">
        <v>2608</v>
      </c>
      <c r="B2596">
        <f>HYPERLINK("https://www.suredividend.com/sure-analysis-research-database/","Synopsys, Inc.")</f>
        <v>0</v>
      </c>
      <c r="C2596">
        <v>0.031952050364365</v>
      </c>
      <c r="D2596">
        <v>0.0849086540641</v>
      </c>
      <c r="E2596">
        <v>0.297725239270124</v>
      </c>
      <c r="F2596">
        <v>0.499076075041498</v>
      </c>
      <c r="G2596">
        <v>0.7026786667140971</v>
      </c>
      <c r="H2596">
        <v>0.436537711215822</v>
      </c>
      <c r="I2596">
        <v>4.344350156319785</v>
      </c>
    </row>
    <row r="2597" spans="1:9">
      <c r="A2597" s="1" t="s">
        <v>2609</v>
      </c>
      <c r="B2597">
        <f>HYPERLINK("https://www.suredividend.com/sure-analysis-research-database/","New Senior Investment Group Inc")</f>
        <v>0</v>
      </c>
      <c r="C2597">
        <v>0.040094339622641</v>
      </c>
      <c r="D2597">
        <v>0.295154185022026</v>
      </c>
      <c r="E2597">
        <v>0.42915012557725</v>
      </c>
      <c r="F2597">
        <v>0.736493936052921</v>
      </c>
      <c r="G2597">
        <v>1.039259207879586</v>
      </c>
      <c r="H2597">
        <v>0.457730766052392</v>
      </c>
      <c r="I2597">
        <v>0.169125541814132</v>
      </c>
    </row>
    <row r="2598" spans="1:9">
      <c r="A2598" s="1" t="s">
        <v>2610</v>
      </c>
      <c r="B2598">
        <f>HYPERLINK("https://www.suredividend.com/sure-analysis-SNV/","Synovus Financial Corp.")</f>
        <v>0</v>
      </c>
      <c r="C2598">
        <v>0.03339587242026201</v>
      </c>
      <c r="D2598">
        <v>-0.155219906626339</v>
      </c>
      <c r="E2598">
        <v>0.009275513158328001</v>
      </c>
      <c r="F2598">
        <v>-0.238536574575858</v>
      </c>
      <c r="G2598">
        <v>-0.242892842120889</v>
      </c>
      <c r="H2598">
        <v>-0.379988068034715</v>
      </c>
      <c r="I2598">
        <v>-0.113714258129917</v>
      </c>
    </row>
    <row r="2599" spans="1:9">
      <c r="A2599" s="1" t="s">
        <v>2611</v>
      </c>
      <c r="B2599">
        <f>HYPERLINK("https://www.suredividend.com/sure-analysis-research-database/","TD Synnex Corp")</f>
        <v>0</v>
      </c>
      <c r="C2599">
        <v>-0.03998684663234101</v>
      </c>
      <c r="D2599">
        <v>-0.045393029825034</v>
      </c>
      <c r="E2599">
        <v>0.08257634629624701</v>
      </c>
      <c r="F2599">
        <v>0.013084740752482</v>
      </c>
      <c r="G2599">
        <v>0.052767479624124</v>
      </c>
      <c r="H2599">
        <v>-0.110797340006505</v>
      </c>
      <c r="I2599">
        <v>1.547666053474322</v>
      </c>
    </row>
    <row r="2600" spans="1:9">
      <c r="A2600" s="1" t="s">
        <v>2612</v>
      </c>
      <c r="B2600">
        <f>HYPERLINK("https://www.suredividend.com/sure-analysis-SO/","Southern Company")</f>
        <v>0</v>
      </c>
      <c r="C2600">
        <v>0.118162972412693</v>
      </c>
      <c r="D2600">
        <v>-0.001738273770288</v>
      </c>
      <c r="E2600">
        <v>-0.02231988488695</v>
      </c>
      <c r="F2600">
        <v>0.011950891806979</v>
      </c>
      <c r="G2600">
        <v>0.126979688007277</v>
      </c>
      <c r="H2600">
        <v>0.214815482140722</v>
      </c>
      <c r="I2600">
        <v>0.9335607353707601</v>
      </c>
    </row>
    <row r="2601" spans="1:9">
      <c r="A2601" s="1" t="s">
        <v>2613</v>
      </c>
      <c r="B2601">
        <f>HYPERLINK("https://www.suredividend.com/sure-analysis-research-database/","Sotherly Hotels Inc")</f>
        <v>0</v>
      </c>
      <c r="C2601">
        <v>-0.03012048192771</v>
      </c>
      <c r="D2601">
        <v>-0.244131455399061</v>
      </c>
      <c r="E2601">
        <v>-0.143617021276595</v>
      </c>
      <c r="F2601">
        <v>-0.11049723756906</v>
      </c>
      <c r="G2601">
        <v>-0.261467889908256</v>
      </c>
      <c r="H2601">
        <v>-0.317796610169491</v>
      </c>
      <c r="I2601">
        <v>-0.7304446825609431</v>
      </c>
    </row>
    <row r="2602" spans="1:9">
      <c r="A2602" s="1" t="s">
        <v>2614</v>
      </c>
      <c r="B2602">
        <f>HYPERLINK("https://www.suredividend.com/sure-analysis-research-database/","Solaris Oilfield Infrastructure Inc")</f>
        <v>0</v>
      </c>
      <c r="C2602">
        <v>-0.096993210475266</v>
      </c>
      <c r="D2602">
        <v>-0.116580950031313</v>
      </c>
      <c r="E2602">
        <v>0.301297103880129</v>
      </c>
      <c r="F2602">
        <v>-0.041342737991041</v>
      </c>
      <c r="G2602">
        <v>-0.199779960977454</v>
      </c>
      <c r="H2602">
        <v>0.248575068731978</v>
      </c>
      <c r="I2602">
        <v>-0.203667747260736</v>
      </c>
    </row>
    <row r="2603" spans="1:9">
      <c r="A2603" s="1" t="s">
        <v>2615</v>
      </c>
      <c r="B2603">
        <f>HYPERLINK("https://www.suredividend.com/sure-analysis-research-database/","Soliton Inc")</f>
        <v>0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</row>
    <row r="2604" spans="1:9">
      <c r="A2604" s="1" t="s">
        <v>2616</v>
      </c>
      <c r="B2604">
        <f>HYPERLINK("https://www.suredividend.com/sure-analysis-SON/","Sonoco Products Co.")</f>
        <v>0</v>
      </c>
      <c r="C2604">
        <v>0.012081784386617</v>
      </c>
      <c r="D2604">
        <v>-0.054022359471503</v>
      </c>
      <c r="E2604">
        <v>-0.07038127172524901</v>
      </c>
      <c r="F2604">
        <v>-0.07984168883270801</v>
      </c>
      <c r="G2604">
        <v>0.001355369894604</v>
      </c>
      <c r="H2604">
        <v>-0.009376807955550001</v>
      </c>
      <c r="I2604">
        <v>0.155158221671574</v>
      </c>
    </row>
    <row r="2605" spans="1:9">
      <c r="A2605" s="1" t="s">
        <v>2617</v>
      </c>
      <c r="B2605">
        <f>HYPERLINK("https://www.suredividend.com/sure-analysis-research-database/","Sonos Inc")</f>
        <v>0</v>
      </c>
      <c r="C2605">
        <v>-0.132708821233411</v>
      </c>
      <c r="D2605">
        <v>-0.335526315789473</v>
      </c>
      <c r="E2605">
        <v>-0.479137365213314</v>
      </c>
      <c r="F2605">
        <v>-0.342603550295858</v>
      </c>
      <c r="G2605">
        <v>-0.280440414507772</v>
      </c>
      <c r="H2605">
        <v>-0.67712874164487</v>
      </c>
      <c r="I2605">
        <v>-0.158333333333333</v>
      </c>
    </row>
    <row r="2606" spans="1:9">
      <c r="A2606" s="1" t="s">
        <v>2618</v>
      </c>
      <c r="B2606">
        <f>HYPERLINK("https://www.suredividend.com/sure-analysis-research-database/","SP Plus Corp")</f>
        <v>0</v>
      </c>
      <c r="C2606">
        <v>0.400714089535841</v>
      </c>
      <c r="D2606">
        <v>0.328125</v>
      </c>
      <c r="E2606">
        <v>0.5030946065428821</v>
      </c>
      <c r="F2606">
        <v>0.468894009216589</v>
      </c>
      <c r="G2606">
        <v>0.416666666666666</v>
      </c>
      <c r="H2606">
        <v>0.5668202764976961</v>
      </c>
      <c r="I2606">
        <v>0.6325224071702941</v>
      </c>
    </row>
    <row r="2607" spans="1:9">
      <c r="A2607" s="1" t="s">
        <v>2619</v>
      </c>
      <c r="B2607">
        <f>HYPERLINK("https://www.suredividend.com/sure-analysis-research-database/","Spectrum Brands Holdings Inc.")</f>
        <v>0</v>
      </c>
      <c r="C2607">
        <v>-0.030119706525936</v>
      </c>
      <c r="D2607">
        <v>0.003844852347544</v>
      </c>
      <c r="E2607">
        <v>0.156359439791041</v>
      </c>
      <c r="F2607">
        <v>0.258682150600859</v>
      </c>
      <c r="G2607">
        <v>0.7412826100520651</v>
      </c>
      <c r="H2607">
        <v>-0.169062435556849</v>
      </c>
      <c r="I2607">
        <v>0.303391932635308</v>
      </c>
    </row>
    <row r="2608" spans="1:9">
      <c r="A2608" s="1" t="s">
        <v>2620</v>
      </c>
      <c r="B2608">
        <f>HYPERLINK("https://www.suredividend.com/sure-analysis-SPG/","Simon Property Group, Inc.")</f>
        <v>0</v>
      </c>
      <c r="C2608">
        <v>0.107139443754181</v>
      </c>
      <c r="D2608">
        <v>-0.05067544311100401</v>
      </c>
      <c r="E2608">
        <v>0.06861891337397201</v>
      </c>
      <c r="F2608">
        <v>0.034466745966258</v>
      </c>
      <c r="G2608">
        <v>0.105589315181715</v>
      </c>
      <c r="H2608">
        <v>-0.179600494336028</v>
      </c>
      <c r="I2608">
        <v>-0.148478854210082</v>
      </c>
    </row>
    <row r="2609" spans="1:9">
      <c r="A2609" s="1" t="s">
        <v>2621</v>
      </c>
      <c r="B2609">
        <f>HYPERLINK("https://www.suredividend.com/sure-analysis-SPGI/","S&amp;P Global Inc")</f>
        <v>0</v>
      </c>
      <c r="C2609">
        <v>0.025087260034903</v>
      </c>
      <c r="D2609">
        <v>-0.044270862464699</v>
      </c>
      <c r="E2609">
        <v>0.06103790461384401</v>
      </c>
      <c r="F2609">
        <v>0.130755484353601</v>
      </c>
      <c r="G2609">
        <v>0.221715810026961</v>
      </c>
      <c r="H2609">
        <v>-0.169936839948313</v>
      </c>
      <c r="I2609">
        <v>1.149551414374181</v>
      </c>
    </row>
    <row r="2610" spans="1:9">
      <c r="A2610" s="1" t="s">
        <v>2622</v>
      </c>
      <c r="B2610">
        <f>HYPERLINK("https://www.suredividend.com/sure-analysis-research-database/","Splunk Inc")</f>
        <v>0</v>
      </c>
      <c r="C2610">
        <v>0.004035567715458</v>
      </c>
      <c r="D2610">
        <v>0.414161849710982</v>
      </c>
      <c r="E2610">
        <v>0.7698336146612</v>
      </c>
      <c r="F2610">
        <v>0.705076083168776</v>
      </c>
      <c r="G2610">
        <v>0.912324127149556</v>
      </c>
      <c r="H2610">
        <v>-0.110255788580433</v>
      </c>
      <c r="I2610">
        <v>0.392298207341363</v>
      </c>
    </row>
    <row r="2611" spans="1:9">
      <c r="A2611" s="1" t="s">
        <v>2623</v>
      </c>
      <c r="B2611">
        <f>HYPERLINK("https://www.suredividend.com/sure-analysis-research-database/","SeaSpine Holdings Corp")</f>
        <v>0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</row>
    <row r="2612" spans="1:9">
      <c r="A2612" s="1" t="s">
        <v>2624</v>
      </c>
      <c r="B2612">
        <f>HYPERLINK("https://www.suredividend.com/sure-analysis-research-database/","Spok Holdings Inc")</f>
        <v>0</v>
      </c>
      <c r="C2612">
        <v>0.07644628099173501</v>
      </c>
      <c r="D2612">
        <v>0.186598947775981</v>
      </c>
      <c r="E2612">
        <v>0.317508619018316</v>
      </c>
      <c r="F2612">
        <v>1.10831591016389</v>
      </c>
      <c r="G2612">
        <v>1.088120557900924</v>
      </c>
      <c r="H2612">
        <v>0.8962693357597811</v>
      </c>
      <c r="I2612">
        <v>0.6098133728834501</v>
      </c>
    </row>
    <row r="2613" spans="1:9">
      <c r="A2613" s="1" t="s">
        <v>2625</v>
      </c>
      <c r="B2613">
        <f>HYPERLINK("https://www.suredividend.com/sure-analysis-research-database/","Spectrum Pharmaceuticals, Inc.")</f>
        <v>0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</row>
    <row r="2614" spans="1:9">
      <c r="A2614" s="1" t="s">
        <v>2626</v>
      </c>
      <c r="B2614">
        <f>HYPERLINK("https://www.suredividend.com/sure-analysis-research-database/","Spirit Aerosystems Holdings Inc")</f>
        <v>0</v>
      </c>
      <c r="C2614">
        <v>0.501781472684085</v>
      </c>
      <c r="D2614">
        <v>0.106299212598425</v>
      </c>
      <c r="E2614">
        <v>-0.155874499332443</v>
      </c>
      <c r="F2614">
        <v>-0.145608108108108</v>
      </c>
      <c r="G2614">
        <v>0.07070279424216701</v>
      </c>
      <c r="H2614">
        <v>-0.40368681414552</v>
      </c>
      <c r="I2614">
        <v>-0.7048963403178811</v>
      </c>
    </row>
    <row r="2615" spans="1:9">
      <c r="A2615" s="1" t="s">
        <v>2627</v>
      </c>
      <c r="B2615">
        <f>HYPERLINK("https://www.suredividend.com/sure-analysis-research-database/","Spero Therapeutics Inc")</f>
        <v>0</v>
      </c>
      <c r="C2615">
        <v>-0.042016806722689</v>
      </c>
      <c r="D2615">
        <v>-0.257328990228013</v>
      </c>
      <c r="E2615">
        <v>-0.3410404624277451</v>
      </c>
      <c r="F2615">
        <v>-0.3410404624277451</v>
      </c>
      <c r="G2615">
        <v>-0.4062500000000001</v>
      </c>
      <c r="H2615">
        <v>-0.9350427350427351</v>
      </c>
      <c r="I2615">
        <v>-0.8671328671328671</v>
      </c>
    </row>
    <row r="2616" spans="1:9">
      <c r="A2616" s="1" t="s">
        <v>2628</v>
      </c>
      <c r="B2616">
        <f>HYPERLINK("https://www.suredividend.com/sure-analysis-research-database/","Support.com Inc")</f>
        <v>0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</row>
    <row r="2617" spans="1:9">
      <c r="A2617" s="1" t="s">
        <v>2629</v>
      </c>
      <c r="B2617">
        <f>HYPERLINK("https://www.suredividend.com/sure-analysis-research-database/","SPS Commerce Inc.")</f>
        <v>0</v>
      </c>
      <c r="C2617">
        <v>-0.03335308056872</v>
      </c>
      <c r="D2617">
        <v>-0.03335308056872</v>
      </c>
      <c r="E2617">
        <v>0.07553885702985901</v>
      </c>
      <c r="F2617">
        <v>0.270497547302032</v>
      </c>
      <c r="G2617">
        <v>0.343958487768717</v>
      </c>
      <c r="H2617">
        <v>0.11852207293666</v>
      </c>
      <c r="I2617">
        <v>2.475029283356404</v>
      </c>
    </row>
    <row r="2618" spans="1:9">
      <c r="A2618" s="1" t="s">
        <v>2630</v>
      </c>
      <c r="B2618">
        <f>HYPERLINK("https://www.suredividend.com/sure-analysis-SPTN/","SpartanNash Co")</f>
        <v>0</v>
      </c>
      <c r="C2618">
        <v>0.016858917480035</v>
      </c>
      <c r="D2618">
        <v>0.057649268366965</v>
      </c>
      <c r="E2618">
        <v>-0.012145609392374</v>
      </c>
      <c r="F2618">
        <v>-0.203973187927621</v>
      </c>
      <c r="G2618">
        <v>-0.310448569451547</v>
      </c>
      <c r="H2618">
        <v>0.06513990417458601</v>
      </c>
      <c r="I2618">
        <v>0.5335925006523791</v>
      </c>
    </row>
    <row r="2619" spans="1:9">
      <c r="A2619" s="1" t="s">
        <v>2631</v>
      </c>
      <c r="B2619">
        <f>HYPERLINK("https://www.suredividend.com/sure-analysis-research-database/","Sportsman`s Warehouse Holdings Inc")</f>
        <v>0</v>
      </c>
      <c r="C2619">
        <v>0.235576923076922</v>
      </c>
      <c r="D2619">
        <v>-0.14759535655058</v>
      </c>
      <c r="E2619">
        <v>-0.157377049180327</v>
      </c>
      <c r="F2619">
        <v>-0.453772582359192</v>
      </c>
      <c r="G2619">
        <v>-0.415909090909091</v>
      </c>
      <c r="H2619">
        <v>-0.700814901047729</v>
      </c>
      <c r="I2619">
        <v>-0.048148148148148</v>
      </c>
    </row>
    <row r="2620" spans="1:9">
      <c r="A2620" s="1" t="s">
        <v>2632</v>
      </c>
      <c r="B2620">
        <f>HYPERLINK("https://www.suredividend.com/sure-analysis-research-database/","Sunpower Corp")</f>
        <v>0</v>
      </c>
      <c r="C2620">
        <v>-0.204626334519573</v>
      </c>
      <c r="D2620">
        <v>-0.505530973451327</v>
      </c>
      <c r="E2620">
        <v>-0.6435406698564591</v>
      </c>
      <c r="F2620">
        <v>-0.752079866888519</v>
      </c>
      <c r="G2620">
        <v>-0.7404181184668991</v>
      </c>
      <c r="H2620">
        <v>-0.8627571384709851</v>
      </c>
      <c r="I2620">
        <v>-0.110500865619962</v>
      </c>
    </row>
    <row r="2621" spans="1:9">
      <c r="A2621" s="1" t="s">
        <v>2633</v>
      </c>
      <c r="B2621">
        <f>HYPERLINK("https://www.suredividend.com/sure-analysis-research-database/","SPX Technologies Inc")</f>
        <v>0</v>
      </c>
      <c r="C2621">
        <v>0.020022110305859</v>
      </c>
      <c r="D2621">
        <v>0.000481927710843</v>
      </c>
      <c r="E2621">
        <v>0.291848164281269</v>
      </c>
      <c r="F2621">
        <v>0.264889565879664</v>
      </c>
      <c r="G2621">
        <v>0.314756174794173</v>
      </c>
      <c r="H2621">
        <v>0.298311444652908</v>
      </c>
      <c r="I2621">
        <v>0.298311444652908</v>
      </c>
    </row>
    <row r="2622" spans="1:9">
      <c r="A2622" s="1" t="s">
        <v>2634</v>
      </c>
      <c r="B2622">
        <f>HYPERLINK("https://www.suredividend.com/sure-analysis-research-database/","Block Inc")</f>
        <v>0</v>
      </c>
      <c r="C2622">
        <v>0.018291271127575</v>
      </c>
      <c r="D2622">
        <v>-0.409585179218687</v>
      </c>
      <c r="E2622">
        <v>-0.238573407202216</v>
      </c>
      <c r="F2622">
        <v>-0.300127307447485</v>
      </c>
      <c r="G2622">
        <v>-0.195095168374817</v>
      </c>
      <c r="H2622">
        <v>-0.8233805871250151</v>
      </c>
      <c r="I2622">
        <v>-0.434413580246913</v>
      </c>
    </row>
    <row r="2623" spans="1:9">
      <c r="A2623" s="1" t="s">
        <v>2635</v>
      </c>
      <c r="B2623">
        <f>HYPERLINK("https://www.suredividend.com/sure-analysis-research-database/","Sequential Brands Group Inc.")</f>
        <v>0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</row>
    <row r="2624" spans="1:9">
      <c r="A2624" s="1" t="s">
        <v>2636</v>
      </c>
      <c r="B2624">
        <f>HYPERLINK("https://www.suredividend.com/sure-analysis-SR/","Spire Inc.")</f>
        <v>0</v>
      </c>
      <c r="C2624">
        <v>0.06283105022831001</v>
      </c>
      <c r="D2624">
        <v>-0.039711930081655</v>
      </c>
      <c r="E2624">
        <v>-0.106527310108263</v>
      </c>
      <c r="F2624">
        <v>-0.126124069657778</v>
      </c>
      <c r="G2624">
        <v>-0.120969094185767</v>
      </c>
      <c r="H2624">
        <v>-0.000499835964485</v>
      </c>
      <c r="I2624">
        <v>-0.023641336264031</v>
      </c>
    </row>
    <row r="2625" spans="1:9">
      <c r="A2625" s="1" t="s">
        <v>2637</v>
      </c>
      <c r="B2625">
        <f>HYPERLINK("https://www.suredividend.com/sure-analysis-SRC/","Spirit Realty Capital Inc")</f>
        <v>0</v>
      </c>
      <c r="C2625">
        <v>0.148929755803436</v>
      </c>
      <c r="D2625">
        <v>-0.021877502412582</v>
      </c>
      <c r="E2625">
        <v>0.065373272018226</v>
      </c>
      <c r="F2625">
        <v>0.007822458229977</v>
      </c>
      <c r="G2625">
        <v>0.076140239907831</v>
      </c>
      <c r="H2625">
        <v>-0.123998666804583</v>
      </c>
      <c r="I2625">
        <v>0.3498770906978551</v>
      </c>
    </row>
    <row r="2626" spans="1:9">
      <c r="A2626" s="1" t="s">
        <v>2638</v>
      </c>
      <c r="B2626">
        <f>HYPERLINK("https://www.suredividend.com/sure-analysis-SRCE/","1st Source Corp.")</f>
        <v>0</v>
      </c>
      <c r="C2626">
        <v>0.102850356294536</v>
      </c>
      <c r="D2626">
        <v>-0.0333125130127</v>
      </c>
      <c r="E2626">
        <v>0.166014555719071</v>
      </c>
      <c r="F2626">
        <v>-0.094039941853091</v>
      </c>
      <c r="G2626">
        <v>-0.157368623550848</v>
      </c>
      <c r="H2626">
        <v>0.012168696236031</v>
      </c>
      <c r="I2626">
        <v>0.138023667362765</v>
      </c>
    </row>
    <row r="2627" spans="1:9">
      <c r="A2627" s="1" t="s">
        <v>2639</v>
      </c>
      <c r="B2627">
        <f>HYPERLINK("https://www.suredividend.com/sure-analysis-research-database/","Stericycle Inc.")</f>
        <v>0</v>
      </c>
      <c r="C2627">
        <v>-0.046372819100091</v>
      </c>
      <c r="D2627">
        <v>-0.028985507246376</v>
      </c>
      <c r="E2627">
        <v>-0.06251410516813301</v>
      </c>
      <c r="F2627">
        <v>-0.167368210062136</v>
      </c>
      <c r="G2627">
        <v>-0.021206409048067</v>
      </c>
      <c r="H2627">
        <v>-0.351545426162972</v>
      </c>
      <c r="I2627">
        <v>-0.121961530331853</v>
      </c>
    </row>
    <row r="2628" spans="1:9">
      <c r="A2628" s="1" t="s">
        <v>2640</v>
      </c>
      <c r="B2628">
        <f>HYPERLINK("https://www.suredividend.com/sure-analysis-research-database/","Surmodics, Inc.")</f>
        <v>0</v>
      </c>
      <c r="C2628">
        <v>-0.039196631033365</v>
      </c>
      <c r="D2628">
        <v>-0.09018404907975401</v>
      </c>
      <c r="E2628">
        <v>0.302019315188762</v>
      </c>
      <c r="F2628">
        <v>-0.130715123094958</v>
      </c>
      <c r="G2628">
        <v>-0.16167326172979</v>
      </c>
      <c r="H2628">
        <v>-0.449619595472258</v>
      </c>
      <c r="I2628">
        <v>-0.543832666871731</v>
      </c>
    </row>
    <row r="2629" spans="1:9">
      <c r="A2629" s="1" t="s">
        <v>2641</v>
      </c>
      <c r="B2629">
        <f>HYPERLINK("https://www.suredividend.com/sure-analysis-SRE/","Sempra")</f>
        <v>0</v>
      </c>
      <c r="C2629">
        <v>0.104335835759154</v>
      </c>
      <c r="D2629">
        <v>-0.010234080738424</v>
      </c>
      <c r="E2629">
        <v>-0.043309871773261</v>
      </c>
      <c r="F2629">
        <v>-0.043892345037074</v>
      </c>
      <c r="G2629">
        <v>-0.011255066837675</v>
      </c>
      <c r="H2629">
        <v>0.198632414958294</v>
      </c>
      <c r="I2629">
        <v>0.552043408983247</v>
      </c>
    </row>
    <row r="2630" spans="1:9">
      <c r="A2630" s="1" t="s">
        <v>2642</v>
      </c>
      <c r="B2630">
        <f>HYPERLINK("https://www.suredividend.com/sure-analysis-research-database/","ServiceSource International Inc")</f>
        <v>0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</row>
    <row r="2631" spans="1:9">
      <c r="A2631" s="1" t="s">
        <v>2643</v>
      </c>
      <c r="B2631">
        <f>HYPERLINK("https://www.suredividend.com/sure-analysis-research-database/","Seritage Growth Properties")</f>
        <v>0</v>
      </c>
      <c r="C2631">
        <v>0.009370816599732001</v>
      </c>
      <c r="D2631">
        <v>-0.183098591549295</v>
      </c>
      <c r="E2631">
        <v>0.017543859649122</v>
      </c>
      <c r="F2631">
        <v>-0.362637362637362</v>
      </c>
      <c r="G2631">
        <v>-0.321942446043165</v>
      </c>
      <c r="H2631">
        <v>-0.5564705882352941</v>
      </c>
      <c r="I2631">
        <v>-0.798950489558224</v>
      </c>
    </row>
    <row r="2632" spans="1:9">
      <c r="A2632" s="1" t="s">
        <v>2644</v>
      </c>
      <c r="B2632">
        <f>HYPERLINK("https://www.suredividend.com/sure-analysis-research-database/","Stoneridge Inc.")</f>
        <v>0</v>
      </c>
      <c r="C2632">
        <v>-0.141231246766683</v>
      </c>
      <c r="D2632">
        <v>-0.193783389995143</v>
      </c>
      <c r="E2632">
        <v>-0.125855713533438</v>
      </c>
      <c r="F2632">
        <v>-0.230055658627087</v>
      </c>
      <c r="G2632">
        <v>-0.213270142180094</v>
      </c>
      <c r="H2632">
        <v>-0.182668636139832</v>
      </c>
      <c r="I2632">
        <v>-0.349274794198353</v>
      </c>
    </row>
    <row r="2633" spans="1:9">
      <c r="A2633" s="1" t="s">
        <v>2645</v>
      </c>
      <c r="B2633">
        <f>HYPERLINK("https://www.suredividend.com/sure-analysis-research-database/","Sorrento Therapeutics Inc")</f>
        <v>0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</row>
    <row r="2634" spans="1:9">
      <c r="A2634" s="1" t="s">
        <v>2646</v>
      </c>
      <c r="B2634">
        <f>HYPERLINK("https://www.suredividend.com/sure-analysis-research-database/","Sarepta Therapeutics Inc")</f>
        <v>0</v>
      </c>
      <c r="C2634">
        <v>-0.344295471793574</v>
      </c>
      <c r="D2634">
        <v>-0.260766232531609</v>
      </c>
      <c r="E2634">
        <v>-0.371331554693184</v>
      </c>
      <c r="F2634">
        <v>-0.399907393116221</v>
      </c>
      <c r="G2634">
        <v>-0.314406630223946</v>
      </c>
      <c r="H2634">
        <v>-0.04624064761437501</v>
      </c>
      <c r="I2634">
        <v>-0.46728779886278</v>
      </c>
    </row>
    <row r="2635" spans="1:9">
      <c r="A2635" s="1" t="s">
        <v>2647</v>
      </c>
      <c r="B2635">
        <f>HYPERLINK("https://www.suredividend.com/sure-analysis-research-database/","Scholar Rock Holding Corp")</f>
        <v>0</v>
      </c>
      <c r="C2635">
        <v>0.923312883435582</v>
      </c>
      <c r="D2635">
        <v>0.71311475409836</v>
      </c>
      <c r="E2635">
        <v>0.866071428571428</v>
      </c>
      <c r="F2635">
        <v>0.385635359116022</v>
      </c>
      <c r="G2635">
        <v>0.349838536060279</v>
      </c>
      <c r="H2635">
        <v>-0.548758546239654</v>
      </c>
      <c r="I2635">
        <v>-0.4744341994970661</v>
      </c>
    </row>
    <row r="2636" spans="1:9">
      <c r="A2636" s="1" t="s">
        <v>2648</v>
      </c>
      <c r="B2636">
        <f>HYPERLINK("https://www.suredividend.com/sure-analysis-research-database/","Startek, Inc.")</f>
        <v>0</v>
      </c>
      <c r="C2636">
        <v>0.316923076923077</v>
      </c>
      <c r="D2636">
        <v>0.345911949685534</v>
      </c>
      <c r="E2636">
        <v>0.350157728706624</v>
      </c>
      <c r="F2636">
        <v>0.141333333333333</v>
      </c>
      <c r="G2636">
        <v>0.212464589235127</v>
      </c>
      <c r="H2636">
        <v>-0.218978102189781</v>
      </c>
      <c r="I2636">
        <v>-0.291390728476821</v>
      </c>
    </row>
    <row r="2637" spans="1:9">
      <c r="A2637" s="1" t="s">
        <v>2649</v>
      </c>
      <c r="B2637">
        <f>HYPERLINK("https://www.suredividend.com/sure-analysis-research-database/","Sensus Healthcare Inc")</f>
        <v>0</v>
      </c>
      <c r="C2637">
        <v>-0.225092250922509</v>
      </c>
      <c r="D2637">
        <v>-0.270833333333333</v>
      </c>
      <c r="E2637">
        <v>-0.538461538461538</v>
      </c>
      <c r="F2637">
        <v>-0.7169811320754711</v>
      </c>
      <c r="G2637">
        <v>-0.8426966292134831</v>
      </c>
      <c r="H2637">
        <v>-0.485294117647058</v>
      </c>
      <c r="I2637">
        <v>-0.675425038639876</v>
      </c>
    </row>
    <row r="2638" spans="1:9">
      <c r="A2638" s="1" t="s">
        <v>2650</v>
      </c>
      <c r="B2638">
        <f>HYPERLINK("https://www.suredividend.com/sure-analysis-research-database/","SouthState Corporation")</f>
        <v>0</v>
      </c>
      <c r="C2638">
        <v>0.06743271847596</v>
      </c>
      <c r="D2638">
        <v>-0.072151399658299</v>
      </c>
      <c r="E2638">
        <v>0.119847472332946</v>
      </c>
      <c r="F2638">
        <v>-0.04936566028691301</v>
      </c>
      <c r="G2638">
        <v>-0.16793558454293</v>
      </c>
      <c r="H2638">
        <v>-0.065890447208256</v>
      </c>
      <c r="I2638">
        <v>0.186799960327933</v>
      </c>
    </row>
    <row r="2639" spans="1:9">
      <c r="A2639" s="1" t="s">
        <v>2651</v>
      </c>
      <c r="B2639">
        <f>HYPERLINK("https://www.suredividend.com/sure-analysis-research-database/","Summit St. Bank")</f>
        <v>0</v>
      </c>
      <c r="C2639">
        <v>-0.206198608475648</v>
      </c>
      <c r="D2639">
        <v>-0.295185357826812</v>
      </c>
      <c r="E2639">
        <v>-0.161146722456536</v>
      </c>
      <c r="F2639">
        <v>-0.181306387114871</v>
      </c>
      <c r="G2639">
        <v>-0.125642704864352</v>
      </c>
      <c r="H2639">
        <v>-0.222746584420249</v>
      </c>
      <c r="I2639">
        <v>0.184353324210824</v>
      </c>
    </row>
    <row r="2640" spans="1:9">
      <c r="A2640" s="1" t="s">
        <v>2652</v>
      </c>
      <c r="B2640">
        <f>HYPERLINK("https://www.suredividend.com/sure-analysis-research-database/","Simpson Manufacturing Co., Inc.")</f>
        <v>0</v>
      </c>
      <c r="C2640">
        <v>-0.053646458482358</v>
      </c>
      <c r="D2640">
        <v>-0.106395536684212</v>
      </c>
      <c r="E2640">
        <v>0.13403484755908</v>
      </c>
      <c r="F2640">
        <v>0.5992933513789781</v>
      </c>
      <c r="G2640">
        <v>0.706503295798358</v>
      </c>
      <c r="H2640">
        <v>0.260486484983165</v>
      </c>
      <c r="I2640">
        <v>1.55249417740652</v>
      </c>
    </row>
    <row r="2641" spans="1:9">
      <c r="A2641" s="1" t="s">
        <v>2653</v>
      </c>
      <c r="B2641">
        <f>HYPERLINK("https://www.suredividend.com/sure-analysis-research-database/","STRATA Skin Sciences Inc")</f>
        <v>0</v>
      </c>
      <c r="C2641">
        <v>-0.201697792869269</v>
      </c>
      <c r="D2641">
        <v>-0.5298</v>
      </c>
      <c r="E2641">
        <v>-0.5478846153846151</v>
      </c>
      <c r="F2641">
        <v>-0.40488545753702</v>
      </c>
      <c r="G2641">
        <v>-0.5076439790575911</v>
      </c>
      <c r="H2641">
        <v>-0.7458378378378371</v>
      </c>
      <c r="I2641">
        <v>-0.8314695340501791</v>
      </c>
    </row>
    <row r="2642" spans="1:9">
      <c r="A2642" s="1" t="s">
        <v>2654</v>
      </c>
      <c r="B2642">
        <f>HYPERLINK("https://www.suredividend.com/sure-analysis-research-database/","SS&amp;C Technologies Holdings Inc")</f>
        <v>0</v>
      </c>
      <c r="C2642">
        <v>-0.018230665899059</v>
      </c>
      <c r="D2642">
        <v>-0.08967809551262501</v>
      </c>
      <c r="E2642">
        <v>-0.06637565423050801</v>
      </c>
      <c r="F2642">
        <v>0.001554406173772</v>
      </c>
      <c r="G2642">
        <v>0.060231775453023</v>
      </c>
      <c r="H2642">
        <v>-0.323442403339941</v>
      </c>
      <c r="I2642">
        <v>0.07448517752318101</v>
      </c>
    </row>
    <row r="2643" spans="1:9">
      <c r="A2643" s="1" t="s">
        <v>2655</v>
      </c>
      <c r="B2643">
        <f>HYPERLINK("https://www.suredividend.com/sure-analysis-research-database/","E.W. Scripps Co.")</f>
        <v>0</v>
      </c>
      <c r="C2643">
        <v>0.168582375478927</v>
      </c>
      <c r="D2643">
        <v>-0.3717816683831101</v>
      </c>
      <c r="E2643">
        <v>-0.245049504950495</v>
      </c>
      <c r="F2643">
        <v>-0.537528430629264</v>
      </c>
      <c r="G2643">
        <v>-0.571328179901616</v>
      </c>
      <c r="H2643">
        <v>-0.692695214105793</v>
      </c>
      <c r="I2643">
        <v>-0.632186680334046</v>
      </c>
    </row>
    <row r="2644" spans="1:9">
      <c r="A2644" s="1" t="s">
        <v>2656</v>
      </c>
      <c r="B2644">
        <f>HYPERLINK("https://www.suredividend.com/sure-analysis-research-database/","SoundThinking Inc")</f>
        <v>0</v>
      </c>
      <c r="C2644">
        <v>-0.125286041189931</v>
      </c>
      <c r="D2644">
        <v>-0.315270935960591</v>
      </c>
      <c r="E2644">
        <v>-0.5115015974440891</v>
      </c>
      <c r="F2644">
        <v>-0.5480342890925211</v>
      </c>
      <c r="G2644">
        <v>-0.564387464387464</v>
      </c>
      <c r="H2644">
        <v>-0.6021337496747331</v>
      </c>
      <c r="I2644">
        <v>-0.623954746679783</v>
      </c>
    </row>
    <row r="2645" spans="1:9">
      <c r="A2645" s="1" t="s">
        <v>2657</v>
      </c>
      <c r="B2645">
        <f>HYPERLINK("https://www.suredividend.com/sure-analysis-research-database/","Shutterstock Inc")</f>
        <v>0</v>
      </c>
      <c r="C2645">
        <v>0.042558746736292</v>
      </c>
      <c r="D2645">
        <v>-0.062797056718029</v>
      </c>
      <c r="E2645">
        <v>-0.34470835172734</v>
      </c>
      <c r="F2645">
        <v>-0.230576537690766</v>
      </c>
      <c r="G2645">
        <v>-0.139803014243983</v>
      </c>
      <c r="H2645">
        <v>-0.649155486591378</v>
      </c>
      <c r="I2645">
        <v>0.05702592665145401</v>
      </c>
    </row>
    <row r="2646" spans="1:9">
      <c r="A2646" s="1" t="s">
        <v>2658</v>
      </c>
      <c r="B2646">
        <f>HYPERLINK("https://www.suredividend.com/sure-analysis-research-database/","Sensata Technologies Holding Plc")</f>
        <v>0</v>
      </c>
      <c r="C2646">
        <v>-0.157237715803452</v>
      </c>
      <c r="D2646">
        <v>-0.237411766402376</v>
      </c>
      <c r="E2646">
        <v>-0.255361840638516</v>
      </c>
      <c r="F2646">
        <v>-0.207973680663375</v>
      </c>
      <c r="G2646">
        <v>-0.180490878990038</v>
      </c>
      <c r="H2646">
        <v>-0.4467701524389711</v>
      </c>
      <c r="I2646">
        <v>-0.327792689824946</v>
      </c>
    </row>
    <row r="2647" spans="1:9">
      <c r="A2647" s="1" t="s">
        <v>2659</v>
      </c>
      <c r="B2647">
        <f>HYPERLINK("https://www.suredividend.com/sure-analysis-research-database/","Staar Surgical Co.")</f>
        <v>0</v>
      </c>
      <c r="C2647">
        <v>-0.09088613986367</v>
      </c>
      <c r="D2647">
        <v>-0.311472275334608</v>
      </c>
      <c r="E2647">
        <v>-0.475302345912866</v>
      </c>
      <c r="F2647">
        <v>-0.258137618459002</v>
      </c>
      <c r="G2647">
        <v>-0.4900877938261111</v>
      </c>
      <c r="H2647">
        <v>-0.6971659238079221</v>
      </c>
      <c r="I2647">
        <v>-0.180846223839854</v>
      </c>
    </row>
    <row r="2648" spans="1:9">
      <c r="A2648" s="1" t="s">
        <v>2660</v>
      </c>
      <c r="B2648">
        <f>HYPERLINK("https://www.suredividend.com/sure-analysis-STAG/","STAG Industrial Inc")</f>
        <v>0</v>
      </c>
      <c r="C2648">
        <v>0.041703669496643</v>
      </c>
      <c r="D2648">
        <v>-0.009192910337448</v>
      </c>
      <c r="E2648">
        <v>0.039955080087475</v>
      </c>
      <c r="F2648">
        <v>0.128513978949798</v>
      </c>
      <c r="G2648">
        <v>0.166069659324746</v>
      </c>
      <c r="H2648">
        <v>-0.115809151463224</v>
      </c>
      <c r="I2648">
        <v>0.699211959670877</v>
      </c>
    </row>
    <row r="2649" spans="1:9">
      <c r="A2649" s="1" t="s">
        <v>2661</v>
      </c>
      <c r="B2649">
        <f>HYPERLINK("https://www.suredividend.com/sure-analysis-research-database/","iStar Inc")</f>
        <v>0</v>
      </c>
      <c r="C2649">
        <v>-0.009090909090909</v>
      </c>
      <c r="D2649">
        <v>0</v>
      </c>
      <c r="E2649">
        <v>0.108560469576335</v>
      </c>
      <c r="F2649">
        <v>0</v>
      </c>
      <c r="G2649">
        <v>-0.5846579279710841</v>
      </c>
      <c r="H2649">
        <v>-0.432642043975818</v>
      </c>
      <c r="I2649">
        <v>0.088119108398339</v>
      </c>
    </row>
    <row r="2650" spans="1:9">
      <c r="A2650" s="1" t="s">
        <v>2662</v>
      </c>
      <c r="B2650">
        <f>HYPERLINK("https://www.suredividend.com/sure-analysis-research-database/","Extended Stay America Inc")</f>
        <v>0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</v>
      </c>
    </row>
    <row r="2651" spans="1:9">
      <c r="A2651" s="1" t="s">
        <v>2663</v>
      </c>
      <c r="B2651">
        <f>HYPERLINK("https://www.suredividend.com/sure-analysis-research-database/","S &amp; T Bancorp, Inc.")</f>
        <v>0</v>
      </c>
      <c r="C2651">
        <v>0.012982195845697</v>
      </c>
      <c r="D2651">
        <v>-0.124140496715927</v>
      </c>
      <c r="E2651">
        <v>0.07151404817301101</v>
      </c>
      <c r="F2651">
        <v>-0.165599860678702</v>
      </c>
      <c r="G2651">
        <v>-0.220982970590752</v>
      </c>
      <c r="H2651">
        <v>-0.044279500127732</v>
      </c>
      <c r="I2651">
        <v>-0.168070477925385</v>
      </c>
    </row>
    <row r="2652" spans="1:9">
      <c r="A2652" s="1" t="s">
        <v>2664</v>
      </c>
      <c r="B2652">
        <f>HYPERLINK("https://www.suredividend.com/sure-analysis-research-database/","Stewart Information Services Corp.")</f>
        <v>0</v>
      </c>
      <c r="C2652">
        <v>0.07984790874524701</v>
      </c>
      <c r="D2652">
        <v>-0.028335232898037</v>
      </c>
      <c r="E2652">
        <v>0.120578044660361</v>
      </c>
      <c r="F2652">
        <v>0.09895159437464401</v>
      </c>
      <c r="G2652">
        <v>0.247868270807187</v>
      </c>
      <c r="H2652">
        <v>-0.317672639033209</v>
      </c>
      <c r="I2652">
        <v>0.271248083615895</v>
      </c>
    </row>
    <row r="2653" spans="1:9">
      <c r="A2653" s="1" t="s">
        <v>2665</v>
      </c>
      <c r="B2653">
        <f>HYPERLINK("https://www.suredividend.com/sure-analysis-research-database/","Steel Connect Inc")</f>
        <v>0</v>
      </c>
      <c r="C2653">
        <v>-0.065543071161048</v>
      </c>
      <c r="D2653">
        <v>-0.101710171017101</v>
      </c>
      <c r="E2653">
        <v>-0.9999989280343711</v>
      </c>
      <c r="F2653">
        <v>-0.9999994302840011</v>
      </c>
      <c r="G2653">
        <v>-0.9999994096421171</v>
      </c>
      <c r="H2653">
        <v>-0.9999995535923961</v>
      </c>
      <c r="I2653">
        <v>-0.9999995643348241</v>
      </c>
    </row>
    <row r="2654" spans="1:9">
      <c r="A2654" s="1" t="s">
        <v>2666</v>
      </c>
      <c r="B2654">
        <f>HYPERLINK("https://www.suredividend.com/sure-analysis-STE/","Steris Plc")</f>
        <v>0</v>
      </c>
      <c r="C2654">
        <v>-0.0122969837587</v>
      </c>
      <c r="D2654">
        <v>-0.063518398992638</v>
      </c>
      <c r="E2654">
        <v>0.125040434857066</v>
      </c>
      <c r="F2654">
        <v>0.160634927559149</v>
      </c>
      <c r="G2654">
        <v>0.29536753200991</v>
      </c>
      <c r="H2654">
        <v>-0.08457951943972901</v>
      </c>
      <c r="I2654">
        <v>0.9931660203820771</v>
      </c>
    </row>
    <row r="2655" spans="1:9">
      <c r="A2655" s="1" t="s">
        <v>2667</v>
      </c>
      <c r="B2655">
        <f>HYPERLINK("https://www.suredividend.com/sure-analysis-research-database/","State Auto Financial Corp.")</f>
        <v>0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</row>
    <row r="2656" spans="1:9">
      <c r="A2656" s="1" t="s">
        <v>2668</v>
      </c>
      <c r="B2656">
        <f>HYPERLINK("https://www.suredividend.com/sure-analysis-research-database/","Neuronetics Inc")</f>
        <v>0</v>
      </c>
      <c r="C2656">
        <v>-0.114503816793893</v>
      </c>
      <c r="D2656">
        <v>-0.405128205128205</v>
      </c>
      <c r="E2656">
        <v>-0.484444444444444</v>
      </c>
      <c r="F2656">
        <v>-0.8311499272197961</v>
      </c>
      <c r="G2656">
        <v>-0.662790697674418</v>
      </c>
      <c r="H2656">
        <v>-0.783177570093458</v>
      </c>
      <c r="I2656">
        <v>-0.953017415957877</v>
      </c>
    </row>
    <row r="2657" spans="1:9">
      <c r="A2657" s="1" t="s">
        <v>2669</v>
      </c>
      <c r="B2657">
        <f>HYPERLINK("https://www.suredividend.com/sure-analysis-research-database/","ONE Group Hospitality Inc")</f>
        <v>0</v>
      </c>
      <c r="C2657">
        <v>-0.178107606679035</v>
      </c>
      <c r="D2657">
        <v>-0.3662374821173101</v>
      </c>
      <c r="E2657">
        <v>-0.406166219839142</v>
      </c>
      <c r="F2657">
        <v>-0.296825396825396</v>
      </c>
      <c r="G2657">
        <v>-0.371631205673758</v>
      </c>
      <c r="H2657">
        <v>-0.679681851048445</v>
      </c>
      <c r="I2657">
        <v>0.4915824915824911</v>
      </c>
    </row>
    <row r="2658" spans="1:9">
      <c r="A2658" s="1" t="s">
        <v>2670</v>
      </c>
      <c r="B2658">
        <f>HYPERLINK("https://www.suredividend.com/sure-analysis-research-database/","Sterling Bancorp.")</f>
        <v>0</v>
      </c>
      <c r="C2658">
        <v>0.021927318383418</v>
      </c>
      <c r="D2658">
        <v>0.035577544235587</v>
      </c>
      <c r="E2658">
        <v>0.217276153611082</v>
      </c>
      <c r="F2658">
        <v>0.021927318383418</v>
      </c>
      <c r="G2658">
        <v>0.440161271768128</v>
      </c>
      <c r="H2658">
        <v>0.3583755296062821</v>
      </c>
      <c r="I2658">
        <v>0.187717134479938</v>
      </c>
    </row>
    <row r="2659" spans="1:9">
      <c r="A2659" s="1" t="s">
        <v>2671</v>
      </c>
      <c r="B2659">
        <f>HYPERLINK("https://www.suredividend.com/sure-analysis-STLD/","Steel Dynamics Inc.")</f>
        <v>0</v>
      </c>
      <c r="C2659">
        <v>0.049195748283322</v>
      </c>
      <c r="D2659">
        <v>0.06290017181361</v>
      </c>
      <c r="E2659">
        <v>0.094457554690988</v>
      </c>
      <c r="F2659">
        <v>0.159860949788232</v>
      </c>
      <c r="G2659">
        <v>0.231110880552222</v>
      </c>
      <c r="H2659">
        <v>0.8452040245762511</v>
      </c>
      <c r="I2659">
        <v>2.093383919062832</v>
      </c>
    </row>
    <row r="2660" spans="1:9">
      <c r="A2660" s="1" t="s">
        <v>2672</v>
      </c>
      <c r="B2660">
        <f>HYPERLINK("https://www.suredividend.com/sure-analysis-research-database/","Stamps.com Inc.")</f>
        <v>0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</row>
    <row r="2661" spans="1:9">
      <c r="A2661" s="1" t="s">
        <v>2673</v>
      </c>
      <c r="B2661">
        <f>HYPERLINK("https://www.suredividend.com/sure-analysis-research-database/","Standard AVB Financial Corp")</f>
        <v>0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</row>
    <row r="2662" spans="1:9">
      <c r="A2662" s="1" t="s">
        <v>2674</v>
      </c>
      <c r="B2662">
        <f>HYPERLINK("https://www.suredividend.com/sure-analysis-research-database/","Store Capital Corp")</f>
        <v>0</v>
      </c>
      <c r="C2662">
        <v>0.004678727386150001</v>
      </c>
      <c r="D2662">
        <v>0.018337021814732</v>
      </c>
      <c r="E2662">
        <v>0.13730655019367</v>
      </c>
      <c r="F2662">
        <v>0.004678727386150001</v>
      </c>
      <c r="G2662">
        <v>0.055823253679483</v>
      </c>
      <c r="H2662">
        <v>0.09125034726221801</v>
      </c>
      <c r="I2662">
        <v>0.704341016360827</v>
      </c>
    </row>
    <row r="2663" spans="1:9">
      <c r="A2663" s="1" t="s">
        <v>2675</v>
      </c>
      <c r="B2663">
        <f>HYPERLINK("https://www.suredividend.com/sure-analysis-research-database/","Strategic Education Inc")</f>
        <v>0</v>
      </c>
      <c r="C2663">
        <v>0.14096449390567</v>
      </c>
      <c r="D2663">
        <v>0.169979934273537</v>
      </c>
      <c r="E2663">
        <v>0.07520572111321</v>
      </c>
      <c r="F2663">
        <v>0.141896407242794</v>
      </c>
      <c r="G2663">
        <v>0.337981779086965</v>
      </c>
      <c r="H2663">
        <v>0.388718676427903</v>
      </c>
      <c r="I2663">
        <v>-0.225788819786435</v>
      </c>
    </row>
    <row r="2664" spans="1:9">
      <c r="A2664" s="1" t="s">
        <v>2676</v>
      </c>
      <c r="B2664">
        <f>HYPERLINK("https://www.suredividend.com/sure-analysis-research-database/","Sterling Infrastructure Inc")</f>
        <v>0</v>
      </c>
      <c r="C2664">
        <v>0.043977319872769</v>
      </c>
      <c r="D2664">
        <v>0.222510121457489</v>
      </c>
      <c r="E2664">
        <v>0.875062096373571</v>
      </c>
      <c r="F2664">
        <v>1.301524390243902</v>
      </c>
      <c r="G2664">
        <v>1.529825737265415</v>
      </c>
      <c r="H2664">
        <v>2.072446072446072</v>
      </c>
      <c r="I2664">
        <v>5.311872909698995</v>
      </c>
    </row>
    <row r="2665" spans="1:9">
      <c r="A2665" s="1" t="s">
        <v>2677</v>
      </c>
      <c r="B2665">
        <f>HYPERLINK("https://www.suredividend.com/sure-analysis-research-database/","Streamline Health Solutions, Inc")</f>
        <v>0</v>
      </c>
      <c r="C2665">
        <v>-0.542111111111111</v>
      </c>
      <c r="D2665">
        <v>-0.6947407407407401</v>
      </c>
      <c r="E2665">
        <v>-0.763160919540229</v>
      </c>
      <c r="F2665">
        <v>-0.739177215189873</v>
      </c>
      <c r="G2665">
        <v>-0.759005847953216</v>
      </c>
      <c r="H2665">
        <v>-0.7424375000000001</v>
      </c>
      <c r="I2665">
        <v>-0.5441371681415931</v>
      </c>
    </row>
    <row r="2666" spans="1:9">
      <c r="A2666" s="1" t="s">
        <v>2678</v>
      </c>
      <c r="B2666">
        <f>HYPERLINK("https://www.suredividend.com/sure-analysis-research-database/","Stratus Properties Inc.")</f>
        <v>0</v>
      </c>
      <c r="C2666">
        <v>-0.023062381852551</v>
      </c>
      <c r="D2666">
        <v>-0.046494464944649</v>
      </c>
      <c r="E2666">
        <v>0.188592456301748</v>
      </c>
      <c r="F2666">
        <v>0.339554173146708</v>
      </c>
      <c r="G2666">
        <v>-0.065461121157323</v>
      </c>
      <c r="H2666">
        <v>-0.241784037558685</v>
      </c>
      <c r="I2666">
        <v>-0.124661246612466</v>
      </c>
    </row>
    <row r="2667" spans="1:9">
      <c r="A2667" s="1" t="s">
        <v>2679</v>
      </c>
      <c r="B2667">
        <f>HYPERLINK("https://www.suredividend.com/sure-analysis-research-database/","Strattec Security Corp.")</f>
        <v>0</v>
      </c>
      <c r="C2667">
        <v>-0.010030527692978</v>
      </c>
      <c r="D2667">
        <v>-0.027420736932305</v>
      </c>
      <c r="E2667">
        <v>0.220430107526881</v>
      </c>
      <c r="F2667">
        <v>0.104622871046228</v>
      </c>
      <c r="G2667">
        <v>-0.211805555555555</v>
      </c>
      <c r="H2667">
        <v>-0.383989145183175</v>
      </c>
      <c r="I2667">
        <v>-0.279824619845749</v>
      </c>
    </row>
    <row r="2668" spans="1:9">
      <c r="A2668" s="1" t="s">
        <v>2680</v>
      </c>
      <c r="B2668">
        <f>HYPERLINK("https://www.suredividend.com/sure-analysis-STT/","State Street Corp.")</f>
        <v>0</v>
      </c>
      <c r="C2668">
        <v>0.007402930956337</v>
      </c>
      <c r="D2668">
        <v>-0.07346937641209701</v>
      </c>
      <c r="E2668">
        <v>-0.033243491284257</v>
      </c>
      <c r="F2668">
        <v>-0.116553232702369</v>
      </c>
      <c r="G2668">
        <v>-0.064908110533807</v>
      </c>
      <c r="H2668">
        <v>-0.283006897886547</v>
      </c>
      <c r="I2668">
        <v>0.116785105958922</v>
      </c>
    </row>
    <row r="2669" spans="1:9">
      <c r="A2669" s="1" t="s">
        <v>2681</v>
      </c>
      <c r="B2669">
        <f>HYPERLINK("https://www.suredividend.com/sure-analysis-STWD/","Starwood Property Trust Inc")</f>
        <v>0</v>
      </c>
      <c r="C2669">
        <v>-0.006355932203389001</v>
      </c>
      <c r="D2669">
        <v>-0.05212312294104501</v>
      </c>
      <c r="E2669">
        <v>0.151803530314658</v>
      </c>
      <c r="F2669">
        <v>0.106177731392215</v>
      </c>
      <c r="G2669">
        <v>0.034372484368624</v>
      </c>
      <c r="H2669">
        <v>-0.108551443614453</v>
      </c>
      <c r="I2669">
        <v>0.399039465441637</v>
      </c>
    </row>
    <row r="2670" spans="1:9">
      <c r="A2670" s="1" t="s">
        <v>2682</v>
      </c>
      <c r="B2670">
        <f>HYPERLINK("https://www.suredividend.com/sure-analysis-STX/","Seagate Technology Holdings Plc")</f>
        <v>0</v>
      </c>
      <c r="C2670">
        <v>0.084907085662486</v>
      </c>
      <c r="D2670">
        <v>0.128449305424602</v>
      </c>
      <c r="E2670">
        <v>0.3190135593344861</v>
      </c>
      <c r="F2670">
        <v>0.441577082517791</v>
      </c>
      <c r="G2670">
        <v>0.553790894928163</v>
      </c>
      <c r="H2670">
        <v>-0.132427704322276</v>
      </c>
      <c r="I2670">
        <v>-0.193359056878239</v>
      </c>
    </row>
    <row r="2671" spans="1:9">
      <c r="A2671" s="1" t="s">
        <v>2683</v>
      </c>
      <c r="B2671">
        <f>HYPERLINK("https://www.suredividend.com/sure-analysis-research-database/","Spirit of Texas Bancshares Inc")</f>
        <v>0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</row>
    <row r="2672" spans="1:9">
      <c r="A2672" s="1" t="s">
        <v>2684</v>
      </c>
      <c r="B2672">
        <f>HYPERLINK("https://www.suredividend.com/sure-analysis-STZ/","Constellation Brands Inc")</f>
        <v>0</v>
      </c>
      <c r="C2672">
        <v>-0.03914165474341001</v>
      </c>
      <c r="D2672">
        <v>-0.110692281220025</v>
      </c>
      <c r="E2672">
        <v>0.05281783597275001</v>
      </c>
      <c r="F2672">
        <v>0.041919302912208</v>
      </c>
      <c r="G2672">
        <v>0.012600494217115</v>
      </c>
      <c r="H2672">
        <v>0.112493157933361</v>
      </c>
      <c r="I2672">
        <v>0.277210486434736</v>
      </c>
    </row>
    <row r="2673" spans="1:9">
      <c r="A2673" s="1" t="s">
        <v>2685</v>
      </c>
      <c r="B2673">
        <f>HYPERLINK("https://www.suredividend.com/sure-analysis-research-database/","Sun Communities, Inc.")</f>
        <v>0</v>
      </c>
      <c r="C2673">
        <v>0.004918457157649</v>
      </c>
      <c r="D2673">
        <v>-0.09408988159227301</v>
      </c>
      <c r="E2673">
        <v>-0.121098393057537</v>
      </c>
      <c r="F2673">
        <v>-0.16756966940093</v>
      </c>
      <c r="G2673">
        <v>-0.078521139576433</v>
      </c>
      <c r="H2673">
        <v>-0.379328207790214</v>
      </c>
      <c r="I2673">
        <v>0.313194526664749</v>
      </c>
    </row>
    <row r="2674" spans="1:9">
      <c r="A2674" s="1" t="s">
        <v>2686</v>
      </c>
      <c r="B2674">
        <f>HYPERLINK("https://www.suredividend.com/sure-analysis-research-database/","Summit Materials Inc")</f>
        <v>0</v>
      </c>
      <c r="C2674">
        <v>0.07598978288633401</v>
      </c>
      <c r="D2674">
        <v>-0.076712328767123</v>
      </c>
      <c r="E2674">
        <v>0.221457049655672</v>
      </c>
      <c r="F2674">
        <v>0.187037689327227</v>
      </c>
      <c r="G2674">
        <v>0.36436694588281</v>
      </c>
      <c r="H2674">
        <v>-0.073705042397921</v>
      </c>
      <c r="I2674">
        <v>1.257759793116847</v>
      </c>
    </row>
    <row r="2675" spans="1:9">
      <c r="A2675" s="1" t="s">
        <v>2687</v>
      </c>
      <c r="B2675">
        <f>HYPERLINK("https://www.suredividend.com/sure-analysis-research-database/","Summer Infant Inc")</f>
        <v>0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</row>
    <row r="2676" spans="1:9">
      <c r="A2676" s="1" t="s">
        <v>2688</v>
      </c>
      <c r="B2676">
        <f>HYPERLINK("https://www.suredividend.com/sure-analysis-research-database/","Sunworks Inc")</f>
        <v>0</v>
      </c>
      <c r="C2676">
        <v>-0.294230769230769</v>
      </c>
      <c r="D2676">
        <v>-0.7553333333333331</v>
      </c>
      <c r="E2676">
        <v>-0.531289910600255</v>
      </c>
      <c r="F2676">
        <v>-0.7677215189873411</v>
      </c>
      <c r="G2676">
        <v>-0.820098039215686</v>
      </c>
      <c r="H2676">
        <v>-0.9414673046251991</v>
      </c>
      <c r="I2676">
        <v>-0.866321847453922</v>
      </c>
    </row>
    <row r="2677" spans="1:9">
      <c r="A2677" s="1" t="s">
        <v>2689</v>
      </c>
      <c r="B2677">
        <f>HYPERLINK("https://www.suredividend.com/sure-analysis-research-database/","Superior Industries International, Inc.")</f>
        <v>0</v>
      </c>
      <c r="C2677">
        <v>-0.088815789473684</v>
      </c>
      <c r="D2677">
        <v>-0.230555555555555</v>
      </c>
      <c r="E2677">
        <v>-0.427685950413223</v>
      </c>
      <c r="F2677">
        <v>-0.343601895734597</v>
      </c>
      <c r="G2677">
        <v>-0.3803131991051451</v>
      </c>
      <c r="H2677">
        <v>-0.583458646616541</v>
      </c>
      <c r="I2677">
        <v>-0.7003785830178471</v>
      </c>
    </row>
    <row r="2678" spans="1:9">
      <c r="A2678" s="1" t="s">
        <v>2690</v>
      </c>
      <c r="B2678">
        <f>HYPERLINK("https://www.suredividend.com/sure-analysis-research-database/","Supernus Pharmaceuticals Inc")</f>
        <v>0</v>
      </c>
      <c r="C2678">
        <v>-0.112463126843657</v>
      </c>
      <c r="D2678">
        <v>-0.236600063431652</v>
      </c>
      <c r="E2678">
        <v>-0.3543454935622311</v>
      </c>
      <c r="F2678">
        <v>-0.32520325203252</v>
      </c>
      <c r="G2678">
        <v>-0.2990681421083281</v>
      </c>
      <c r="H2678">
        <v>-0.199268130405854</v>
      </c>
      <c r="I2678">
        <v>-0.4824768866910341</v>
      </c>
    </row>
    <row r="2679" spans="1:9">
      <c r="A2679" s="1" t="s">
        <v>2691</v>
      </c>
      <c r="B2679">
        <f>HYPERLINK("https://www.suredividend.com/sure-analysis-research-database/","Severn Bancorp Inc")</f>
        <v>0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</row>
    <row r="2680" spans="1:9">
      <c r="A2680" s="1" t="s">
        <v>2692</v>
      </c>
      <c r="B2680">
        <f>HYPERLINK("https://www.suredividend.com/sure-analysis-research-database/","Savara Inc")</f>
        <v>0</v>
      </c>
      <c r="C2680">
        <v>0.011235955056179</v>
      </c>
      <c r="D2680">
        <v>0.019830028328611</v>
      </c>
      <c r="E2680">
        <v>0.8848167539267011</v>
      </c>
      <c r="F2680">
        <v>1.32258064516129</v>
      </c>
      <c r="G2680">
        <v>2.076923076923077</v>
      </c>
      <c r="H2680">
        <v>1.975206611570248</v>
      </c>
      <c r="I2680">
        <v>-0.616613418530351</v>
      </c>
    </row>
    <row r="2681" spans="1:9">
      <c r="A2681" s="1" t="s">
        <v>2693</v>
      </c>
      <c r="B2681">
        <f>HYPERLINK("https://www.suredividend.com/sure-analysis-research-database/","Servotronics, Inc.")</f>
        <v>0</v>
      </c>
      <c r="C2681">
        <v>-0.17376</v>
      </c>
      <c r="D2681">
        <v>-0.17449378330373</v>
      </c>
      <c r="E2681">
        <v>-0.213211332221667</v>
      </c>
      <c r="F2681">
        <v>-0.119772727272727</v>
      </c>
      <c r="G2681">
        <v>-0.177415929203539</v>
      </c>
      <c r="H2681">
        <v>-0.17814323607427</v>
      </c>
      <c r="I2681">
        <v>-0.052814999745248</v>
      </c>
    </row>
    <row r="2682" spans="1:9">
      <c r="A2682" s="1" t="s">
        <v>2694</v>
      </c>
      <c r="B2682">
        <f>HYPERLINK("https://www.suredividend.com/sure-analysis-research-database/","ShockWave Medical Inc")</f>
        <v>0</v>
      </c>
      <c r="C2682">
        <v>0.09495186185115301</v>
      </c>
      <c r="D2682">
        <v>-0.147801609641993</v>
      </c>
      <c r="E2682">
        <v>-0.233361866038947</v>
      </c>
      <c r="F2682">
        <v>0.045425806137833</v>
      </c>
      <c r="G2682">
        <v>-0.242039564159526</v>
      </c>
      <c r="H2682">
        <v>-0.04800921209973801</v>
      </c>
      <c r="I2682">
        <v>6.047540983606557</v>
      </c>
    </row>
    <row r="2683" spans="1:9">
      <c r="A2683" s="1" t="s">
        <v>2695</v>
      </c>
      <c r="B2683">
        <f>HYPERLINK("https://www.suredividend.com/sure-analysis-research-database/","Switch Inc")</f>
        <v>0</v>
      </c>
      <c r="C2683">
        <v>0.008907846210041001</v>
      </c>
      <c r="D2683">
        <v>0.011288041408185</v>
      </c>
      <c r="E2683">
        <v>0.020672720174751</v>
      </c>
      <c r="F2683">
        <v>0.203798731881511</v>
      </c>
      <c r="G2683">
        <v>0.314900413089881</v>
      </c>
      <c r="H2683">
        <v>1.167172867628448</v>
      </c>
      <c r="I2683">
        <v>1.186807643930251</v>
      </c>
    </row>
    <row r="2684" spans="1:9">
      <c r="A2684" s="1" t="s">
        <v>2696</v>
      </c>
      <c r="B2684">
        <f>HYPERLINK("https://www.suredividend.com/sure-analysis-SWK/","Stanley Black &amp; Decker Inc")</f>
        <v>0</v>
      </c>
      <c r="C2684">
        <v>0.071853320118929</v>
      </c>
      <c r="D2684">
        <v>-0.138083900339705</v>
      </c>
      <c r="E2684">
        <v>0.031648180784062</v>
      </c>
      <c r="F2684">
        <v>0.184926291339574</v>
      </c>
      <c r="G2684">
        <v>0.226870332057588</v>
      </c>
      <c r="H2684">
        <v>-0.4952520910109711</v>
      </c>
      <c r="I2684">
        <v>-0.216345518079666</v>
      </c>
    </row>
    <row r="2685" spans="1:9">
      <c r="A2685" s="1" t="s">
        <v>2697</v>
      </c>
      <c r="B2685">
        <f>HYPERLINK("https://www.suredividend.com/sure-analysis-SWKS/","Skyworks Solutions, Inc.")</f>
        <v>0</v>
      </c>
      <c r="C2685">
        <v>-0.08905852417302701</v>
      </c>
      <c r="D2685">
        <v>-0.18134378530169</v>
      </c>
      <c r="E2685">
        <v>-0.129023279893964</v>
      </c>
      <c r="F2685">
        <v>0.012963671387794</v>
      </c>
      <c r="G2685">
        <v>0.114308089378714</v>
      </c>
      <c r="H2685">
        <v>-0.44535714352112</v>
      </c>
      <c r="I2685">
        <v>0.168411886730627</v>
      </c>
    </row>
    <row r="2686" spans="1:9">
      <c r="A2686" s="1" t="s">
        <v>2698</v>
      </c>
      <c r="B2686">
        <f>HYPERLINK("https://www.suredividend.com/sure-analysis-research-database/","Southwestern Energy Company")</f>
        <v>0</v>
      </c>
      <c r="C2686">
        <v>0.202614379084967</v>
      </c>
      <c r="D2686">
        <v>0.168253968253968</v>
      </c>
      <c r="E2686">
        <v>0.549473684210526</v>
      </c>
      <c r="F2686">
        <v>0.258119658119658</v>
      </c>
      <c r="G2686">
        <v>0.106766917293233</v>
      </c>
      <c r="H2686">
        <v>0.4574257425742571</v>
      </c>
      <c r="I2686">
        <v>0.362962962962962</v>
      </c>
    </row>
    <row r="2687" spans="1:9">
      <c r="A2687" s="1" t="s">
        <v>2699</v>
      </c>
      <c r="B2687">
        <f>HYPERLINK("https://www.suredividend.com/sure-analysis-SWX/","Southwest Gas Holdings Inc")</f>
        <v>0</v>
      </c>
      <c r="C2687">
        <v>0.006257398951462</v>
      </c>
      <c r="D2687">
        <v>-0.08078579682739701</v>
      </c>
      <c r="E2687">
        <v>0.121439664661268</v>
      </c>
      <c r="F2687">
        <v>-0.009264624586222001</v>
      </c>
      <c r="G2687">
        <v>-0.134003813294133</v>
      </c>
      <c r="H2687">
        <v>-0.08810723245909101</v>
      </c>
      <c r="I2687">
        <v>-0.102547859086438</v>
      </c>
    </row>
    <row r="2688" spans="1:9">
      <c r="A2688" s="1" t="s">
        <v>2700</v>
      </c>
      <c r="B2688">
        <f>HYPERLINK("https://www.suredividend.com/sure-analysis-research-database/","SunCoke Energy Inc")</f>
        <v>0</v>
      </c>
      <c r="C2688">
        <v>-0.082828282828282</v>
      </c>
      <c r="D2688">
        <v>-0.06520888669261</v>
      </c>
      <c r="E2688">
        <v>0.22437971952535</v>
      </c>
      <c r="F2688">
        <v>0.084463978597362</v>
      </c>
      <c r="G2688">
        <v>0.268528479023177</v>
      </c>
      <c r="H2688">
        <v>0.42440309980234</v>
      </c>
      <c r="I2688">
        <v>-0.047349259807161</v>
      </c>
    </row>
    <row r="2689" spans="1:9">
      <c r="A2689" s="1" t="s">
        <v>2701</v>
      </c>
      <c r="B2689">
        <f>HYPERLINK("https://www.suredividend.com/sure-analysis-SXI/","Standex International Corp.")</f>
        <v>0</v>
      </c>
      <c r="C2689">
        <v>-0.037998520411594</v>
      </c>
      <c r="D2689">
        <v>-0.028398161129405</v>
      </c>
      <c r="E2689">
        <v>0.136928147953266</v>
      </c>
      <c r="F2689">
        <v>0.405418682911252</v>
      </c>
      <c r="G2689">
        <v>0.479518535872428</v>
      </c>
      <c r="H2689">
        <v>0.279301678725706</v>
      </c>
      <c r="I2689">
        <v>0.8680408816776841</v>
      </c>
    </row>
    <row r="2690" spans="1:9">
      <c r="A2690" s="1" t="s">
        <v>2702</v>
      </c>
      <c r="B2690">
        <f>HYPERLINK("https://www.suredividend.com/sure-analysis-SXT/","Sensient Technologies Corp.")</f>
        <v>0</v>
      </c>
      <c r="C2690">
        <v>0.013257910553296</v>
      </c>
      <c r="D2690">
        <v>-0.09771926980114201</v>
      </c>
      <c r="E2690">
        <v>-0.231956607960209</v>
      </c>
      <c r="F2690">
        <v>-0.200183070448634</v>
      </c>
      <c r="G2690">
        <v>-0.129367591574368</v>
      </c>
      <c r="H2690">
        <v>-0.386130534008604</v>
      </c>
      <c r="I2690">
        <v>-0.028754426690614</v>
      </c>
    </row>
    <row r="2691" spans="1:9">
      <c r="A2691" s="1" t="s">
        <v>2703</v>
      </c>
      <c r="B2691">
        <f>HYPERLINK("https://www.suredividend.com/sure-analysis-SYBT/","Stock Yards Bancorp Inc")</f>
        <v>0</v>
      </c>
      <c r="C2691">
        <v>0.042105263157894</v>
      </c>
      <c r="D2691">
        <v>-0.124275623406155</v>
      </c>
      <c r="E2691">
        <v>-0.089851133818118</v>
      </c>
      <c r="F2691">
        <v>-0.355778707843501</v>
      </c>
      <c r="G2691">
        <v>-0.437623916016287</v>
      </c>
      <c r="H2691">
        <v>-0.308517887563884</v>
      </c>
      <c r="I2691">
        <v>0.454505059771235</v>
      </c>
    </row>
    <row r="2692" spans="1:9">
      <c r="A2692" s="1" t="s">
        <v>2704</v>
      </c>
      <c r="B2692">
        <f>HYPERLINK("https://www.suredividend.com/sure-analysis-research-database/","Synlogic Inc")</f>
        <v>0</v>
      </c>
      <c r="C2692">
        <v>-0.361403508771929</v>
      </c>
      <c r="D2692">
        <v>-0.765403454498582</v>
      </c>
      <c r="E2692">
        <v>-0.7533875338753381</v>
      </c>
      <c r="F2692">
        <v>-0.8403508771929821</v>
      </c>
      <c r="G2692">
        <v>-0.8490878938640131</v>
      </c>
      <c r="H2692">
        <v>-0.954040404040404</v>
      </c>
      <c r="I2692">
        <v>-0.9852750809061481</v>
      </c>
    </row>
    <row r="2693" spans="1:9">
      <c r="A2693" s="1" t="s">
        <v>2705</v>
      </c>
      <c r="B2693">
        <f>HYPERLINK("https://www.suredividend.com/sure-analysis-SYF/","Synchrony Financial")</f>
        <v>0</v>
      </c>
      <c r="C2693">
        <v>-0.033951232476247</v>
      </c>
      <c r="D2693">
        <v>-0.140628924870045</v>
      </c>
      <c r="E2693">
        <v>0.073042932787217</v>
      </c>
      <c r="F2693">
        <v>-0.08806678311481</v>
      </c>
      <c r="G2693">
        <v>-0.14235492585558</v>
      </c>
      <c r="H2693">
        <v>-0.352002263981086</v>
      </c>
      <c r="I2693">
        <v>0.260883138506365</v>
      </c>
    </row>
    <row r="2694" spans="1:9">
      <c r="A2694" s="1" t="s">
        <v>2706</v>
      </c>
      <c r="B2694">
        <f>HYPERLINK("https://www.suredividend.com/sure-analysis-SYK/","Stryker Corp.")</f>
        <v>0</v>
      </c>
      <c r="C2694">
        <v>0.016031259129418</v>
      </c>
      <c r="D2694">
        <v>0.016189342922905</v>
      </c>
      <c r="E2694">
        <v>-0.04823674251559201</v>
      </c>
      <c r="F2694">
        <v>0.147153823255108</v>
      </c>
      <c r="G2694">
        <v>0.327266664535891</v>
      </c>
      <c r="H2694">
        <v>0.044351631539021</v>
      </c>
      <c r="I2694">
        <v>0.780421316678611</v>
      </c>
    </row>
    <row r="2695" spans="1:9">
      <c r="A2695" s="1" t="s">
        <v>2707</v>
      </c>
      <c r="B2695">
        <f>HYPERLINK("https://www.suredividend.com/sure-analysis-research-database/","Sykes Enterprises, Inc.")</f>
        <v>0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</row>
    <row r="2696" spans="1:9">
      <c r="A2696" s="1" t="s">
        <v>2708</v>
      </c>
      <c r="B2696">
        <f>HYPERLINK("https://www.suredividend.com/sure-analysis-research-database/","Synaptics Inc")</f>
        <v>0</v>
      </c>
      <c r="C2696">
        <v>-0.018301693759236</v>
      </c>
      <c r="D2696">
        <v>-0.020639600816511</v>
      </c>
      <c r="E2696">
        <v>-0.032055592916386</v>
      </c>
      <c r="F2696">
        <v>-0.09247583018074801</v>
      </c>
      <c r="G2696">
        <v>0.002321262766945</v>
      </c>
      <c r="H2696">
        <v>-0.599201745022508</v>
      </c>
      <c r="I2696">
        <v>1.26488329399423</v>
      </c>
    </row>
    <row r="2697" spans="1:9">
      <c r="A2697" s="1" t="s">
        <v>2709</v>
      </c>
      <c r="B2697">
        <f>HYPERLINK("https://www.suredividend.com/sure-analysis-research-database/","Synacor Inc")</f>
        <v>0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</row>
    <row r="2698" spans="1:9">
      <c r="A2698" s="1" t="s">
        <v>2710</v>
      </c>
      <c r="B2698">
        <f>HYPERLINK("https://www.suredividend.com/sure-analysis-research-database/","Syneos Health Inc")</f>
        <v>0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</row>
    <row r="2699" spans="1:9">
      <c r="A2699" s="1" t="s">
        <v>2711</v>
      </c>
      <c r="B2699">
        <f>HYPERLINK("https://www.suredividend.com/sure-analysis-research-database/","Synalloy Corp.")</f>
        <v>0</v>
      </c>
      <c r="C2699">
        <v>-0.022810890360559</v>
      </c>
      <c r="D2699">
        <v>-0.103913630229419</v>
      </c>
      <c r="E2699">
        <v>-0.256438969764837</v>
      </c>
      <c r="F2699">
        <v>-0.191722458916616</v>
      </c>
      <c r="G2699">
        <v>0.314851485148514</v>
      </c>
      <c r="H2699">
        <v>0.8444444444444441</v>
      </c>
      <c r="I2699">
        <v>0.271446078431372</v>
      </c>
    </row>
    <row r="2700" spans="1:9">
      <c r="A2700" s="1" t="s">
        <v>2712</v>
      </c>
      <c r="B2700">
        <f>HYPERLINK("https://www.suredividend.com/sure-analysis-research-database/","Sypris Solutions, Inc.")</f>
        <v>0</v>
      </c>
      <c r="C2700">
        <v>-0.02051282051282</v>
      </c>
      <c r="D2700">
        <v>0.03804347826086901</v>
      </c>
      <c r="E2700">
        <v>-0.040201005025125</v>
      </c>
      <c r="F2700">
        <v>-0.067473879503954</v>
      </c>
      <c r="G2700">
        <v>-0.07729468599033801</v>
      </c>
      <c r="H2700">
        <v>-0.528395061728395</v>
      </c>
      <c r="I2700">
        <v>0.552845528455284</v>
      </c>
    </row>
    <row r="2701" spans="1:9">
      <c r="A2701" s="1" t="s">
        <v>2713</v>
      </c>
      <c r="B2701">
        <f>HYPERLINK("https://www.suredividend.com/sure-analysis-research-database/","Syros Pharmaceuticals Inc.")</f>
        <v>0</v>
      </c>
      <c r="C2701">
        <v>-0.264797507788162</v>
      </c>
      <c r="D2701">
        <v>-0.37730870712401</v>
      </c>
      <c r="E2701">
        <v>-0.2</v>
      </c>
      <c r="F2701">
        <v>-0.342618384401114</v>
      </c>
      <c r="G2701">
        <v>-0.4447058823529411</v>
      </c>
      <c r="H2701">
        <v>-0.945116279069767</v>
      </c>
      <c r="I2701">
        <v>-0.969587628865979</v>
      </c>
    </row>
    <row r="2702" spans="1:9">
      <c r="A2702" s="1" t="s">
        <v>2714</v>
      </c>
      <c r="B2702">
        <f>HYPERLINK("https://www.suredividend.com/sure-analysis-SYY/","Sysco Corp.")</f>
        <v>0</v>
      </c>
      <c r="C2702">
        <v>0.015018877959634</v>
      </c>
      <c r="D2702">
        <v>-0.125228852923854</v>
      </c>
      <c r="E2702">
        <v>-0.121275963517894</v>
      </c>
      <c r="F2702">
        <v>-0.117582619939541</v>
      </c>
      <c r="G2702">
        <v>-0.171750967657285</v>
      </c>
      <c r="H2702">
        <v>-0.109808781773656</v>
      </c>
      <c r="I2702">
        <v>0.047428654393217</v>
      </c>
    </row>
    <row r="2703" spans="1:9">
      <c r="A2703" s="1" t="s">
        <v>2715</v>
      </c>
      <c r="B2703">
        <f>HYPERLINK("https://www.suredividend.com/sure-analysis-T/","AT&amp;T, Inc.")</f>
        <v>0</v>
      </c>
      <c r="C2703">
        <v>0.09270258066756901</v>
      </c>
      <c r="D2703">
        <v>0.117068494123495</v>
      </c>
      <c r="E2703">
        <v>-0.044216385035576</v>
      </c>
      <c r="F2703">
        <v>-0.088285071754804</v>
      </c>
      <c r="G2703">
        <v>-0.08927217040395001</v>
      </c>
      <c r="H2703">
        <v>-0.06413055765443601</v>
      </c>
      <c r="I2703">
        <v>-0.07292262174889301</v>
      </c>
    </row>
    <row r="2704" spans="1:9">
      <c r="A2704" s="1" t="s">
        <v>2716</v>
      </c>
      <c r="B2704">
        <f>HYPERLINK("https://www.suredividend.com/sure-analysis-research-database/","Del Taco Restaurants Inc")</f>
        <v>0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</v>
      </c>
    </row>
    <row r="2705" spans="1:9">
      <c r="A2705" s="1" t="s">
        <v>2717</v>
      </c>
      <c r="B2705">
        <f>HYPERLINK("https://www.suredividend.com/sure-analysis-research-database/","Transact Technologies Inc.")</f>
        <v>0</v>
      </c>
      <c r="C2705">
        <v>-0.07241910631741101</v>
      </c>
      <c r="D2705">
        <v>-0.223225806451612</v>
      </c>
      <c r="E2705">
        <v>0.037931034482758</v>
      </c>
      <c r="F2705">
        <v>-0.047468354430379</v>
      </c>
      <c r="G2705">
        <v>0.406542056074766</v>
      </c>
      <c r="H2705">
        <v>-0.5599415204678361</v>
      </c>
      <c r="I2705">
        <v>-0.5738807290745001</v>
      </c>
    </row>
    <row r="2706" spans="1:9">
      <c r="A2706" s="1" t="s">
        <v>2718</v>
      </c>
      <c r="B2706">
        <f>HYPERLINK("https://www.suredividend.com/sure-analysis-research-database/","Taitron Components Inc.")</f>
        <v>0</v>
      </c>
      <c r="C2706">
        <v>-0.03954802259887</v>
      </c>
      <c r="D2706">
        <v>-0.14234543298943</v>
      </c>
      <c r="E2706">
        <v>-0.025676295277395</v>
      </c>
      <c r="F2706">
        <v>0.043040770623063</v>
      </c>
      <c r="G2706">
        <v>-0.07864072407999501</v>
      </c>
      <c r="H2706">
        <v>-0.119741100323624</v>
      </c>
      <c r="I2706">
        <v>1.715221210669222</v>
      </c>
    </row>
    <row r="2707" spans="1:9">
      <c r="A2707" s="1" t="s">
        <v>2719</v>
      </c>
      <c r="B2707">
        <f>HYPERLINK("https://www.suredividend.com/sure-analysis-research-database/","Talos Energy Inc")</f>
        <v>0</v>
      </c>
      <c r="C2707">
        <v>0.005151320025756001</v>
      </c>
      <c r="D2707">
        <v>-0.000640204865556</v>
      </c>
      <c r="E2707">
        <v>0.221439749608763</v>
      </c>
      <c r="F2707">
        <v>-0.173199152542372</v>
      </c>
      <c r="G2707">
        <v>-0.258432304038004</v>
      </c>
      <c r="H2707">
        <v>0.176337603617181</v>
      </c>
      <c r="I2707">
        <v>-0.37484981978374</v>
      </c>
    </row>
    <row r="2708" spans="1:9">
      <c r="A2708" s="1" t="s">
        <v>2720</v>
      </c>
      <c r="B2708">
        <f>HYPERLINK("https://www.suredividend.com/sure-analysis-TAP/","Molson Coors Beverage Company")</f>
        <v>0</v>
      </c>
      <c r="C2708">
        <v>-0.076345631688228</v>
      </c>
      <c r="D2708">
        <v>-0.135477273950403</v>
      </c>
      <c r="E2708">
        <v>-0.09961948297015001</v>
      </c>
      <c r="F2708">
        <v>0.146217561329477</v>
      </c>
      <c r="G2708">
        <v>0.205170793312062</v>
      </c>
      <c r="H2708">
        <v>0.342860062046032</v>
      </c>
      <c r="I2708">
        <v>0.03199855809297</v>
      </c>
    </row>
    <row r="2709" spans="1:9">
      <c r="A2709" s="1" t="s">
        <v>2721</v>
      </c>
      <c r="B2709">
        <f>HYPERLINK("https://www.suredividend.com/sure-analysis-research-database/","Carrols Restaurant Group Inc.")</f>
        <v>0</v>
      </c>
      <c r="C2709">
        <v>-0.124624624624624</v>
      </c>
      <c r="D2709">
        <v>0.028218694885361</v>
      </c>
      <c r="E2709">
        <v>0.4575</v>
      </c>
      <c r="F2709">
        <v>3.286764705882352</v>
      </c>
      <c r="G2709">
        <v>2.429411764705882</v>
      </c>
      <c r="H2709">
        <v>0.5799457994579941</v>
      </c>
      <c r="I2709">
        <v>-0.345098347580908</v>
      </c>
    </row>
    <row r="2710" spans="1:9">
      <c r="A2710" s="1" t="s">
        <v>2722</v>
      </c>
      <c r="B2710">
        <f>HYPERLINK("https://www.suredividend.com/sure-analysis-research-database/","TransAtlantic Petroleum Ltd")</f>
        <v>0</v>
      </c>
      <c r="C2710">
        <v>0.172545281220209</v>
      </c>
      <c r="D2710">
        <v>-0.088888888888889</v>
      </c>
      <c r="E2710">
        <v>-0.321004692243996</v>
      </c>
      <c r="F2710">
        <v>-0.496211345484333</v>
      </c>
      <c r="G2710">
        <v>-0.470398277717976</v>
      </c>
      <c r="H2710">
        <v>-0.761165048543689</v>
      </c>
      <c r="I2710">
        <v>-0.7915254237288131</v>
      </c>
    </row>
    <row r="2711" spans="1:9">
      <c r="A2711" s="1" t="s">
        <v>2723</v>
      </c>
      <c r="B2711">
        <f>HYPERLINK("https://www.suredividend.com/sure-analysis-research-database/","Taylor Devices Inc.")</f>
        <v>0</v>
      </c>
      <c r="C2711">
        <v>-0.001364877161055</v>
      </c>
      <c r="D2711">
        <v>-0.058344058344058</v>
      </c>
      <c r="E2711">
        <v>-0.008174091428726001</v>
      </c>
      <c r="F2711">
        <v>0.5468639887244531</v>
      </c>
      <c r="G2711">
        <v>0.7128365197034721</v>
      </c>
      <c r="H2711">
        <v>0.8617472434266321</v>
      </c>
      <c r="I2711">
        <v>0.8261231281198</v>
      </c>
    </row>
    <row r="2712" spans="1:9">
      <c r="A2712" s="1" t="s">
        <v>2724</v>
      </c>
      <c r="B2712">
        <f>HYPERLINK("https://www.suredividend.com/sure-analysis-research-database/","Bancorp Inc. (The)")</f>
        <v>0</v>
      </c>
      <c r="C2712">
        <v>0.128550512445095</v>
      </c>
      <c r="D2712">
        <v>0</v>
      </c>
      <c r="E2712">
        <v>0.296769851951547</v>
      </c>
      <c r="F2712">
        <v>0.35799859055673</v>
      </c>
      <c r="G2712">
        <v>0.350858745180511</v>
      </c>
      <c r="H2712">
        <v>0.261951538965291</v>
      </c>
      <c r="I2712">
        <v>2.723671497584541</v>
      </c>
    </row>
    <row r="2713" spans="1:9">
      <c r="A2713" s="1" t="s">
        <v>2725</v>
      </c>
      <c r="B2713">
        <f>HYPERLINK("https://www.suredividend.com/sure-analysis-research-database/","TrueBlue Inc")</f>
        <v>0</v>
      </c>
      <c r="C2713">
        <v>-0.207774798927614</v>
      </c>
      <c r="D2713">
        <v>-0.210947930574098</v>
      </c>
      <c r="E2713">
        <v>-0.210947930574098</v>
      </c>
      <c r="F2713">
        <v>-0.39632277834525</v>
      </c>
      <c r="G2713">
        <v>-0.393846153846153</v>
      </c>
      <c r="H2713">
        <v>-0.5686131386861311</v>
      </c>
      <c r="I2713">
        <v>-0.5125773195876281</v>
      </c>
    </row>
    <row r="2714" spans="1:9">
      <c r="A2714" s="1" t="s">
        <v>2726</v>
      </c>
      <c r="B2714">
        <f>HYPERLINK("https://www.suredividend.com/sure-analysis-research-database/","Telesis Bio Inc")</f>
        <v>0</v>
      </c>
      <c r="C2714">
        <v>-0.275362318840579</v>
      </c>
      <c r="D2714">
        <v>-0.489795918367346</v>
      </c>
      <c r="E2714">
        <v>-0.711538461538461</v>
      </c>
      <c r="F2714">
        <v>-0.375</v>
      </c>
      <c r="G2714">
        <v>-0.5161290322580641</v>
      </c>
      <c r="H2714">
        <v>-0.9224405377456051</v>
      </c>
      <c r="I2714">
        <v>-0.9594594594594591</v>
      </c>
    </row>
    <row r="2715" spans="1:9">
      <c r="A2715" s="1" t="s">
        <v>2727</v>
      </c>
      <c r="B2715">
        <f>HYPERLINK("https://www.suredividend.com/sure-analysis-research-database/","Territorial Bancorp Inc")</f>
        <v>0</v>
      </c>
      <c r="C2715">
        <v>-0.152295632698768</v>
      </c>
      <c r="D2715">
        <v>-0.294027679337486</v>
      </c>
      <c r="E2715">
        <v>-0.223151521371029</v>
      </c>
      <c r="F2715">
        <v>-0.6541515519777781</v>
      </c>
      <c r="G2715">
        <v>-0.5885355234621711</v>
      </c>
      <c r="H2715">
        <v>-0.6642390156925011</v>
      </c>
      <c r="I2715">
        <v>-0.6353775311639011</v>
      </c>
    </row>
    <row r="2716" spans="1:9">
      <c r="A2716" s="1" t="s">
        <v>2728</v>
      </c>
      <c r="B2716">
        <f>HYPERLINK("https://www.suredividend.com/sure-analysis-research-database/","Theravance Biopharma Inc")</f>
        <v>0</v>
      </c>
      <c r="C2716">
        <v>0.126728110599078</v>
      </c>
      <c r="D2716">
        <v>0.008247422680412</v>
      </c>
      <c r="E2716">
        <v>-0.106849315068493</v>
      </c>
      <c r="F2716">
        <v>-0.128342245989304</v>
      </c>
      <c r="G2716">
        <v>0.013471502590673</v>
      </c>
      <c r="H2716">
        <v>0.231738035264483</v>
      </c>
      <c r="I2716">
        <v>-0.6123662306777641</v>
      </c>
    </row>
    <row r="2717" spans="1:9">
      <c r="A2717" s="1" t="s">
        <v>2729</v>
      </c>
      <c r="B2717">
        <f>HYPERLINK("https://www.suredividend.com/sure-analysis-research-database/","Texas Capital Bancshares, Inc.")</f>
        <v>0</v>
      </c>
      <c r="C2717">
        <v>-0.013289609941318</v>
      </c>
      <c r="D2717">
        <v>-0.07446980734984601</v>
      </c>
      <c r="E2717">
        <v>0.208923662507929</v>
      </c>
      <c r="F2717">
        <v>-0.05206433427292301</v>
      </c>
      <c r="G2717">
        <v>-0.02173169062286</v>
      </c>
      <c r="H2717">
        <v>-0.07686097206523401</v>
      </c>
      <c r="I2717">
        <v>-0.125707294693378</v>
      </c>
    </row>
    <row r="2718" spans="1:9">
      <c r="A2718" s="1" t="s">
        <v>2730</v>
      </c>
      <c r="B2718">
        <f>HYPERLINK("https://www.suredividend.com/sure-analysis-research-database/","Trico Bancshares")</f>
        <v>0</v>
      </c>
      <c r="C2718">
        <v>0.086173633440514</v>
      </c>
      <c r="D2718">
        <v>-0.07624404877475101</v>
      </c>
      <c r="E2718">
        <v>0.08626793966035601</v>
      </c>
      <c r="F2718">
        <v>-0.310184277592628</v>
      </c>
      <c r="G2718">
        <v>-0.375795731093244</v>
      </c>
      <c r="H2718">
        <v>-0.189430441710018</v>
      </c>
      <c r="I2718">
        <v>0.060879669613554</v>
      </c>
    </row>
    <row r="2719" spans="1:9">
      <c r="A2719" s="1" t="s">
        <v>2731</v>
      </c>
      <c r="B2719">
        <f>HYPERLINK("https://www.suredividend.com/sure-analysis-research-database/","Tricida Inc")</f>
        <v>0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</row>
    <row r="2720" spans="1:9">
      <c r="A2720" s="1" t="s">
        <v>2732</v>
      </c>
      <c r="B2720">
        <f>HYPERLINK("https://www.suredividend.com/sure-analysis-research-database/","TCF Financial Corp")</f>
        <v>0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</row>
    <row r="2721" spans="1:9">
      <c r="A2721" s="1" t="s">
        <v>2733</v>
      </c>
      <c r="B2721">
        <f>HYPERLINK("https://www.suredividend.com/sure-analysis-research-database/","Community Financial Corp")</f>
        <v>0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</row>
    <row r="2722" spans="1:9">
      <c r="A2722" s="1" t="s">
        <v>2734</v>
      </c>
      <c r="B2722">
        <f>HYPERLINK("https://www.suredividend.com/sure-analysis-research-database/","Transcontinental Realty Investors, Inc.")</f>
        <v>0</v>
      </c>
      <c r="C2722">
        <v>0.003654485049833</v>
      </c>
      <c r="D2722">
        <v>-0.124093940272542</v>
      </c>
      <c r="E2722">
        <v>-0.161764705882352</v>
      </c>
      <c r="F2722">
        <v>-0.316206428248076</v>
      </c>
      <c r="G2722">
        <v>-0.256094557990642</v>
      </c>
      <c r="H2722">
        <v>-0.22458932238193</v>
      </c>
      <c r="I2722">
        <v>-0.150688782682035</v>
      </c>
    </row>
    <row r="2723" spans="1:9">
      <c r="A2723" s="1" t="s">
        <v>2735</v>
      </c>
      <c r="B2723">
        <f>HYPERLINK("https://www.suredividend.com/sure-analysis-research-database/","Tactile Systems Technology Inc")</f>
        <v>0</v>
      </c>
      <c r="C2723">
        <v>-0.109273903666426</v>
      </c>
      <c r="D2723">
        <v>-0.4363057324840761</v>
      </c>
      <c r="E2723">
        <v>-0.318856514568444</v>
      </c>
      <c r="F2723">
        <v>0.07926829268292601</v>
      </c>
      <c r="G2723">
        <v>0.8140556368960471</v>
      </c>
      <c r="H2723">
        <v>-0.6577348066298341</v>
      </c>
      <c r="I2723">
        <v>-0.8132348507687671</v>
      </c>
    </row>
    <row r="2724" spans="1:9">
      <c r="A2724" s="1" t="s">
        <v>2736</v>
      </c>
      <c r="B2724">
        <f>HYPERLINK("https://www.suredividend.com/sure-analysis-research-database/","Taubman Centers, Inc.")</f>
        <v>0</v>
      </c>
      <c r="C2724">
        <v>0.005143792377834001</v>
      </c>
      <c r="D2724">
        <v>0.288669064748201</v>
      </c>
      <c r="E2724">
        <v>0.116623376623376</v>
      </c>
      <c r="F2724">
        <v>0.402788609317335</v>
      </c>
      <c r="G2724">
        <v>0.432269542533308</v>
      </c>
      <c r="H2724">
        <v>0.007995498135946001</v>
      </c>
      <c r="I2724">
        <v>-0.319763412480656</v>
      </c>
    </row>
    <row r="2725" spans="1:9">
      <c r="A2725" s="1" t="s">
        <v>2737</v>
      </c>
      <c r="B2725">
        <f>HYPERLINK("https://www.suredividend.com/sure-analysis-research-database/","TRACON Pharmaceuticals Inc")</f>
        <v>0</v>
      </c>
      <c r="C2725">
        <v>-0.123501199040767</v>
      </c>
      <c r="D2725">
        <v>-0.603794037940379</v>
      </c>
      <c r="E2725">
        <v>-0.7893371757925071</v>
      </c>
      <c r="F2725">
        <v>-0.9018791946308721</v>
      </c>
      <c r="G2725">
        <v>-0.9074683544303791</v>
      </c>
      <c r="H2725">
        <v>-0.960804289544236</v>
      </c>
      <c r="I2725">
        <v>-0.9904444444444441</v>
      </c>
    </row>
    <row r="2726" spans="1:9">
      <c r="A2726" s="1" t="s">
        <v>2738</v>
      </c>
      <c r="B2726">
        <f>HYPERLINK("https://www.suredividend.com/sure-analysis-research-database/","Container Store Group Inc")</f>
        <v>0</v>
      </c>
      <c r="C2726">
        <v>-0.180995475113122</v>
      </c>
      <c r="D2726">
        <v>-0.324626865671641</v>
      </c>
      <c r="E2726">
        <v>-0.384353741496598</v>
      </c>
      <c r="F2726">
        <v>-0.5800464037122971</v>
      </c>
      <c r="G2726">
        <v>-0.5968819599109131</v>
      </c>
      <c r="H2726">
        <v>-0.8412280701754381</v>
      </c>
      <c r="I2726">
        <v>-0.673285198555956</v>
      </c>
    </row>
    <row r="2727" spans="1:9">
      <c r="A2727" s="1" t="s">
        <v>2739</v>
      </c>
      <c r="B2727">
        <f>HYPERLINK("https://www.suredividend.com/sure-analysis-research-database/","Teradata Corp")</f>
        <v>0</v>
      </c>
      <c r="C2727">
        <v>-0.04708222811671001</v>
      </c>
      <c r="D2727">
        <v>-0.222121977625406</v>
      </c>
      <c r="E2727">
        <v>0.05223334146936701</v>
      </c>
      <c r="F2727">
        <v>0.280748663101604</v>
      </c>
      <c r="G2727">
        <v>0.407443682664054</v>
      </c>
      <c r="H2727">
        <v>-0.231139646869984</v>
      </c>
      <c r="I2727">
        <v>0.205199888174447</v>
      </c>
    </row>
    <row r="2728" spans="1:9">
      <c r="A2728" s="1" t="s">
        <v>2740</v>
      </c>
      <c r="B2728">
        <f>HYPERLINK("https://www.suredividend.com/sure-analysis-research-database/","Transdigm Group Incorporated")</f>
        <v>0</v>
      </c>
      <c r="C2728">
        <v>0.055011038598704</v>
      </c>
      <c r="D2728">
        <v>-0.019867922827262</v>
      </c>
      <c r="E2728">
        <v>0.126739214924213</v>
      </c>
      <c r="F2728">
        <v>0.381291193520209</v>
      </c>
      <c r="G2728">
        <v>0.559466389342131</v>
      </c>
      <c r="H2728">
        <v>0.420359250144121</v>
      </c>
      <c r="I2728">
        <v>1.910398165679166</v>
      </c>
    </row>
    <row r="2729" spans="1:9">
      <c r="A2729" s="1" t="s">
        <v>2741</v>
      </c>
      <c r="B2729">
        <f>HYPERLINK("https://www.suredividend.com/sure-analysis-research-database/","Teladoc Health Inc")</f>
        <v>0</v>
      </c>
      <c r="C2729">
        <v>-0.08138903960933201</v>
      </c>
      <c r="D2729">
        <v>-0.355538637228778</v>
      </c>
      <c r="E2729">
        <v>-0.349596619285439</v>
      </c>
      <c r="F2729">
        <v>-0.28414376321353</v>
      </c>
      <c r="G2729">
        <v>-0.396219686162624</v>
      </c>
      <c r="H2729">
        <v>-0.8851580518247181</v>
      </c>
      <c r="I2729">
        <v>-0.766514963453316</v>
      </c>
    </row>
    <row r="2730" spans="1:9">
      <c r="A2730" s="1" t="s">
        <v>2742</v>
      </c>
      <c r="B2730">
        <f>HYPERLINK("https://www.suredividend.com/sure-analysis-TDS/","Telephone And Data Systems, Inc.")</f>
        <v>0</v>
      </c>
      <c r="C2730">
        <v>0.09994222992489801</v>
      </c>
      <c r="D2730">
        <v>1.448213344305718</v>
      </c>
      <c r="E2730">
        <v>1.091641125355655</v>
      </c>
      <c r="F2730">
        <v>0.9136255364483351</v>
      </c>
      <c r="G2730">
        <v>0.211966900063653</v>
      </c>
      <c r="H2730">
        <v>0.09153032092367301</v>
      </c>
      <c r="I2730">
        <v>-0.3233566344100161</v>
      </c>
    </row>
    <row r="2731" spans="1:9">
      <c r="A2731" s="1" t="s">
        <v>2743</v>
      </c>
      <c r="B2731">
        <f>HYPERLINK("https://www.suredividend.com/sure-analysis-research-database/","Tidewater Inc.")</f>
        <v>0</v>
      </c>
      <c r="C2731">
        <v>0.051905679964407</v>
      </c>
      <c r="D2731">
        <v>0.130718954248366</v>
      </c>
      <c r="E2731">
        <v>0.755693069306931</v>
      </c>
      <c r="F2731">
        <v>0.92483039348711</v>
      </c>
      <c r="G2731">
        <v>1.203479341410376</v>
      </c>
      <c r="H2731">
        <v>4.975568660488627</v>
      </c>
      <c r="I2731">
        <v>1.602935779816514</v>
      </c>
    </row>
    <row r="2732" spans="1:9">
      <c r="A2732" s="1" t="s">
        <v>2744</v>
      </c>
      <c r="B2732">
        <f>HYPERLINK("https://www.suredividend.com/sure-analysis-research-database/","Teledyne Technologies Inc")</f>
        <v>0</v>
      </c>
      <c r="C2732">
        <v>-0.07238739186636101</v>
      </c>
      <c r="D2732">
        <v>-0.024596805813315</v>
      </c>
      <c r="E2732">
        <v>-0.096464891041162</v>
      </c>
      <c r="F2732">
        <v>-0.06689005026130801</v>
      </c>
      <c r="G2732">
        <v>-0.04484488584007301</v>
      </c>
      <c r="H2732">
        <v>-0.16883464005702</v>
      </c>
      <c r="I2732">
        <v>0.643442261957192</v>
      </c>
    </row>
    <row r="2733" spans="1:9">
      <c r="A2733" s="1" t="s">
        <v>2745</v>
      </c>
      <c r="B2733">
        <f>HYPERLINK("https://www.suredividend.com/sure-analysis-research-database/","Tech Data Corp.")</f>
        <v>0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</row>
    <row r="2734" spans="1:9">
      <c r="A2734" s="1" t="s">
        <v>2746</v>
      </c>
      <c r="B2734">
        <f>HYPERLINK("https://www.suredividend.com/sure-analysis-research-database/","Bio-Techne Corp")</f>
        <v>0</v>
      </c>
      <c r="C2734">
        <v>-0.174832464631422</v>
      </c>
      <c r="D2734">
        <v>-0.32377431806893</v>
      </c>
      <c r="E2734">
        <v>-0.307753139847358</v>
      </c>
      <c r="F2734">
        <v>-0.32943004579384</v>
      </c>
      <c r="G2734">
        <v>-0.252404287240817</v>
      </c>
      <c r="H2734">
        <v>-0.5560519469698001</v>
      </c>
      <c r="I2734">
        <v>0.333394295834977</v>
      </c>
    </row>
    <row r="2735" spans="1:9">
      <c r="A2735" s="1" t="s">
        <v>2747</v>
      </c>
      <c r="B2735">
        <f>HYPERLINK("https://www.suredividend.com/sure-analysis-TEL/","TE Connectivity Ltd")</f>
        <v>0</v>
      </c>
      <c r="C2735">
        <v>0.006654763837039001</v>
      </c>
      <c r="D2735">
        <v>-0.118194246082383</v>
      </c>
      <c r="E2735">
        <v>0.021065863028673</v>
      </c>
      <c r="F2735">
        <v>0.09531752640497601</v>
      </c>
      <c r="G2735">
        <v>0.111447623792362</v>
      </c>
      <c r="H2735">
        <v>-0.15670161827083</v>
      </c>
      <c r="I2735">
        <v>0.7545894594495191</v>
      </c>
    </row>
    <row r="2736" spans="1:9">
      <c r="A2736" s="1" t="s">
        <v>2748</v>
      </c>
      <c r="B2736">
        <f>HYPERLINK("https://www.suredividend.com/sure-analysis-research-database/","Tellurian Inc")</f>
        <v>0</v>
      </c>
      <c r="C2736">
        <v>-0.293962264150943</v>
      </c>
      <c r="D2736">
        <v>-0.538024691358024</v>
      </c>
      <c r="E2736">
        <v>-0.396451612903225</v>
      </c>
      <c r="F2736">
        <v>-0.5545238095238091</v>
      </c>
      <c r="G2736">
        <v>-0.72485294117647</v>
      </c>
      <c r="H2736">
        <v>-0.819227053140096</v>
      </c>
      <c r="I2736">
        <v>-0.909831325301204</v>
      </c>
    </row>
    <row r="2737" spans="1:9">
      <c r="A2737" s="1" t="s">
        <v>2749</v>
      </c>
      <c r="B2737">
        <f>HYPERLINK("https://www.suredividend.com/sure-analysis-research-database/","Tenneco, Inc.")</f>
        <v>0</v>
      </c>
      <c r="C2737">
        <v>0.08288190682556801</v>
      </c>
      <c r="D2737">
        <v>0.036825726141078</v>
      </c>
      <c r="E2737">
        <v>0.253291536050156</v>
      </c>
      <c r="F2737">
        <v>0.769026548672566</v>
      </c>
      <c r="G2737">
        <v>0.581487341772151</v>
      </c>
      <c r="H2737">
        <v>1.206401766004414</v>
      </c>
      <c r="I2737">
        <v>-0.6283246720648521</v>
      </c>
    </row>
    <row r="2738" spans="1:9">
      <c r="A2738" s="1" t="s">
        <v>2750</v>
      </c>
      <c r="B2738">
        <f>HYPERLINK("https://www.suredividend.com/sure-analysis-research-database/","Tenable Holdings Inc")</f>
        <v>0</v>
      </c>
      <c r="C2738">
        <v>-0.22640683161813</v>
      </c>
      <c r="D2738">
        <v>-0.25464135021097</v>
      </c>
      <c r="E2738">
        <v>0.021984379519814</v>
      </c>
      <c r="F2738">
        <v>-0.07391874180865</v>
      </c>
      <c r="G2738">
        <v>-0.07754569190600501</v>
      </c>
      <c r="H2738">
        <v>-0.332514641979973</v>
      </c>
      <c r="I2738">
        <v>0.23358938547486</v>
      </c>
    </row>
    <row r="2739" spans="1:9">
      <c r="A2739" s="1" t="s">
        <v>2751</v>
      </c>
      <c r="B2739">
        <f>HYPERLINK("https://www.suredividend.com/sure-analysis-research-database/","Tenax Therapeutics Inc")</f>
        <v>0</v>
      </c>
      <c r="C2739">
        <v>-0.371237458193979</v>
      </c>
      <c r="D2739">
        <v>-0.373542152615794</v>
      </c>
      <c r="E2739">
        <v>-0.389610389610389</v>
      </c>
      <c r="F2739">
        <v>-0.9156193895870731</v>
      </c>
      <c r="G2739">
        <v>-0.930524759793052</v>
      </c>
      <c r="H2739">
        <v>-0.9938562091503261</v>
      </c>
      <c r="I2739">
        <v>-0.99819334999039</v>
      </c>
    </row>
    <row r="2740" spans="1:9">
      <c r="A2740" s="1" t="s">
        <v>2752</v>
      </c>
      <c r="B2740">
        <f>HYPERLINK("https://www.suredividend.com/sure-analysis-research-database/","Teradyne, Inc.")</f>
        <v>0</v>
      </c>
      <c r="C2740">
        <v>-0.146716996125956</v>
      </c>
      <c r="D2740">
        <v>-0.201518509154185</v>
      </c>
      <c r="E2740">
        <v>-0.06542971193693201</v>
      </c>
      <c r="F2740">
        <v>-0.011358444138299</v>
      </c>
      <c r="G2740">
        <v>0.08835573394960301</v>
      </c>
      <c r="H2740">
        <v>-0.37711872088175</v>
      </c>
      <c r="I2740">
        <v>1.451903864817035</v>
      </c>
    </row>
    <row r="2741" spans="1:9">
      <c r="A2741" s="1" t="s">
        <v>2753</v>
      </c>
      <c r="B2741">
        <f>HYPERLINK("https://www.suredividend.com/sure-analysis-research-database/","Tessco Technologies, Inc.")</f>
        <v>0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</row>
    <row r="2742" spans="1:9">
      <c r="A2742" s="1" t="s">
        <v>2754</v>
      </c>
      <c r="B2742">
        <f>HYPERLINK("https://www.suredividend.com/sure-analysis-research-database/","Pareteum Corp")</f>
        <v>0</v>
      </c>
      <c r="C2742">
        <v>-0.5</v>
      </c>
      <c r="D2742">
        <v>-0.9333333333333331</v>
      </c>
      <c r="E2742">
        <v>-0.99</v>
      </c>
      <c r="F2742">
        <v>-0.9882352941176471</v>
      </c>
      <c r="G2742">
        <v>-0.9977777777777771</v>
      </c>
      <c r="H2742">
        <v>-0.9996336996336991</v>
      </c>
      <c r="I2742">
        <v>-0.9996336996336991</v>
      </c>
    </row>
    <row r="2743" spans="1:9">
      <c r="A2743" s="1" t="s">
        <v>2755</v>
      </c>
      <c r="B2743">
        <f>HYPERLINK("https://www.suredividend.com/sure-analysis-research-database/","Terex Corp.")</f>
        <v>0</v>
      </c>
      <c r="C2743">
        <v>-0.122562175702272</v>
      </c>
      <c r="D2743">
        <v>-0.228468626645836</v>
      </c>
      <c r="E2743">
        <v>0.019220537376961</v>
      </c>
      <c r="F2743">
        <v>0.154113175576291</v>
      </c>
      <c r="G2743">
        <v>0.274607143414096</v>
      </c>
      <c r="H2743">
        <v>0.074305392776479</v>
      </c>
      <c r="I2743">
        <v>0.658549783549783</v>
      </c>
    </row>
    <row r="2744" spans="1:9">
      <c r="A2744" s="1" t="s">
        <v>2756</v>
      </c>
      <c r="B2744">
        <f>HYPERLINK("https://www.suredividend.com/sure-analysis-TFSL/","TFS Financial Corporation")</f>
        <v>0</v>
      </c>
      <c r="C2744">
        <v>0.08</v>
      </c>
      <c r="D2744">
        <v>-0.142294810262076</v>
      </c>
      <c r="E2744">
        <v>0.146200557411543</v>
      </c>
      <c r="F2744">
        <v>-0.05632422329101201</v>
      </c>
      <c r="G2744">
        <v>0.008649043732488001</v>
      </c>
      <c r="H2744">
        <v>-0.236336135073814</v>
      </c>
      <c r="I2744">
        <v>0.179599202203438</v>
      </c>
    </row>
    <row r="2745" spans="1:9">
      <c r="A2745" s="1" t="s">
        <v>2757</v>
      </c>
      <c r="B2745">
        <f>HYPERLINK("https://www.suredividend.com/sure-analysis-research-database/","Teleflex Incorporated")</f>
        <v>0</v>
      </c>
      <c r="C2745">
        <v>0.067840735068912</v>
      </c>
      <c r="D2745">
        <v>-0.157300655016556</v>
      </c>
      <c r="E2745">
        <v>-0.219243944185963</v>
      </c>
      <c r="F2745">
        <v>-0.158375071261922</v>
      </c>
      <c r="G2745">
        <v>0.009696835134495001</v>
      </c>
      <c r="H2745">
        <v>-0.428225473608829</v>
      </c>
      <c r="I2745">
        <v>-0.164627053240798</v>
      </c>
    </row>
    <row r="2746" spans="1:9">
      <c r="A2746" s="1" t="s">
        <v>2758</v>
      </c>
      <c r="B2746">
        <f>HYPERLINK("https://www.suredividend.com/sure-analysis-research-database/","Tredegar Corp.")</f>
        <v>0</v>
      </c>
      <c r="C2746">
        <v>-0.160447761194029</v>
      </c>
      <c r="D2746">
        <v>-0.318181818181818</v>
      </c>
      <c r="E2746">
        <v>-0.5045144241356531</v>
      </c>
      <c r="F2746">
        <v>-0.54391583726917</v>
      </c>
      <c r="G2746">
        <v>-0.54486608948944</v>
      </c>
      <c r="H2746">
        <v>-0.6069628710925551</v>
      </c>
      <c r="I2746">
        <v>-0.619909960892958</v>
      </c>
    </row>
    <row r="2747" spans="1:9">
      <c r="A2747" s="1" t="s">
        <v>2759</v>
      </c>
      <c r="B2747">
        <f>HYPERLINK("https://www.suredividend.com/sure-analysis-research-database/","Tecogen Inc")</f>
        <v>0</v>
      </c>
      <c r="C2747">
        <v>0.034482758620689</v>
      </c>
      <c r="D2747">
        <v>-0.150943396226415</v>
      </c>
      <c r="E2747">
        <v>-0.117647058823529</v>
      </c>
      <c r="F2747">
        <v>-0.28</v>
      </c>
      <c r="G2747">
        <v>-0.261083743842364</v>
      </c>
      <c r="H2747">
        <v>-0.485714285714285</v>
      </c>
      <c r="I2747">
        <v>0.25</v>
      </c>
    </row>
    <row r="2748" spans="1:9">
      <c r="A2748" s="1" t="s">
        <v>2760</v>
      </c>
      <c r="B2748">
        <f>HYPERLINK("https://www.suredividend.com/sure-analysis-research-database/","Triumph Group Inc.")</f>
        <v>0</v>
      </c>
      <c r="C2748">
        <v>0.038157894736842</v>
      </c>
      <c r="D2748">
        <v>-0.15614973262032</v>
      </c>
      <c r="E2748">
        <v>-0.268089053803339</v>
      </c>
      <c r="F2748">
        <v>-0.25</v>
      </c>
      <c r="G2748">
        <v>-0.133918770581778</v>
      </c>
      <c r="H2748">
        <v>-0.6316526610644251</v>
      </c>
      <c r="I2748">
        <v>-0.6007044605714631</v>
      </c>
    </row>
    <row r="2749" spans="1:9">
      <c r="A2749" s="1" t="s">
        <v>2761</v>
      </c>
      <c r="B2749">
        <f>HYPERLINK("https://www.suredividend.com/sure-analysis-research-database/","Tecnoglass Inc")</f>
        <v>0</v>
      </c>
      <c r="C2749">
        <v>0.019726858877086</v>
      </c>
      <c r="D2749">
        <v>-0.282052816126461</v>
      </c>
      <c r="E2749">
        <v>-0.235496620030443</v>
      </c>
      <c r="F2749">
        <v>0.09940089195441401</v>
      </c>
      <c r="G2749">
        <v>0.7042169224682741</v>
      </c>
      <c r="H2749">
        <v>0.196576935267324</v>
      </c>
      <c r="I2749">
        <v>3.862306991013415</v>
      </c>
    </row>
    <row r="2750" spans="1:9">
      <c r="A2750" s="1" t="s">
        <v>2762</v>
      </c>
      <c r="B2750">
        <f>HYPERLINK("https://www.suredividend.com/sure-analysis-research-database/","TEGNA Inc")</f>
        <v>0</v>
      </c>
      <c r="C2750">
        <v>0.045674740484429</v>
      </c>
      <c r="D2750">
        <v>-0.09835185163084301</v>
      </c>
      <c r="E2750">
        <v>-0.08115175286569901</v>
      </c>
      <c r="F2750">
        <v>-0.273501807831371</v>
      </c>
      <c r="G2750">
        <v>-0.246541871528158</v>
      </c>
      <c r="H2750">
        <v>-0.21901247202452</v>
      </c>
      <c r="I2750">
        <v>0.374811202300147</v>
      </c>
    </row>
    <row r="2751" spans="1:9">
      <c r="A2751" s="1" t="s">
        <v>2763</v>
      </c>
      <c r="B2751">
        <f>HYPERLINK("https://www.suredividend.com/sure-analysis-TGT/","Target Corp")</f>
        <v>0</v>
      </c>
      <c r="C2751">
        <v>0.0410535195426</v>
      </c>
      <c r="D2751">
        <v>-0.1611343982478</v>
      </c>
      <c r="E2751">
        <v>-0.275746945056664</v>
      </c>
      <c r="F2751">
        <v>-0.238540921826871</v>
      </c>
      <c r="G2751">
        <v>-0.28714276912334</v>
      </c>
      <c r="H2751">
        <v>-0.550259247786625</v>
      </c>
      <c r="I2751">
        <v>0.487022193541822</v>
      </c>
    </row>
    <row r="2752" spans="1:9">
      <c r="A2752" s="1" t="s">
        <v>2764</v>
      </c>
      <c r="B2752">
        <f>HYPERLINK("https://www.suredividend.com/sure-analysis-research-database/","TG Therapeutics Inc")</f>
        <v>0</v>
      </c>
      <c r="C2752">
        <v>0.275735294117646</v>
      </c>
      <c r="D2752">
        <v>-0.013270142180094</v>
      </c>
      <c r="E2752">
        <v>-0.6659178433889601</v>
      </c>
      <c r="F2752">
        <v>-0.120033812341504</v>
      </c>
      <c r="G2752">
        <v>0.729235880398671</v>
      </c>
      <c r="H2752">
        <v>-0.682331400671345</v>
      </c>
      <c r="I2752">
        <v>1.053254437869822</v>
      </c>
    </row>
    <row r="2753" spans="1:9">
      <c r="A2753" s="1" t="s">
        <v>2765</v>
      </c>
      <c r="B2753">
        <f>HYPERLINK("https://www.suredividend.com/sure-analysis-research-database/","Target Hospitality Corp")</f>
        <v>0</v>
      </c>
      <c r="C2753">
        <v>-0.100253807106599</v>
      </c>
      <c r="D2753">
        <v>0.10436137071651</v>
      </c>
      <c r="E2753">
        <v>0.122723673792557</v>
      </c>
      <c r="F2753">
        <v>-0.06340819022457</v>
      </c>
      <c r="G2753">
        <v>0.196624472573839</v>
      </c>
      <c r="H2753">
        <v>2.501234567901234</v>
      </c>
      <c r="I2753">
        <v>0.435222672064777</v>
      </c>
    </row>
    <row r="2754" spans="1:9">
      <c r="A2754" s="1" t="s">
        <v>2766</v>
      </c>
      <c r="B2754">
        <f>HYPERLINK("https://www.suredividend.com/sure-analysis-research-database/","Tenet Healthcare Corp.")</f>
        <v>0</v>
      </c>
      <c r="C2754">
        <v>-0.184524709082665</v>
      </c>
      <c r="D2754">
        <v>-0.271794871794871</v>
      </c>
      <c r="E2754">
        <v>-0.227929603662898</v>
      </c>
      <c r="F2754">
        <v>0.105964336954293</v>
      </c>
      <c r="G2754">
        <v>0.298363811357074</v>
      </c>
      <c r="H2754">
        <v>-0.225157955198161</v>
      </c>
      <c r="I2754">
        <v>0.986013986013985</v>
      </c>
    </row>
    <row r="2755" spans="1:9">
      <c r="A2755" s="1" t="s">
        <v>2767</v>
      </c>
      <c r="B2755">
        <f>HYPERLINK("https://www.suredividend.com/sure-analysis-THFF/","First Financial Corp. - Indiana")</f>
        <v>0</v>
      </c>
      <c r="C2755">
        <v>0.034797994691831</v>
      </c>
      <c r="D2755">
        <v>-0.07803468208092401</v>
      </c>
      <c r="E2755">
        <v>0.101025092327339</v>
      </c>
      <c r="F2755">
        <v>-0.205245515491936</v>
      </c>
      <c r="G2755">
        <v>-0.234963623163443</v>
      </c>
      <c r="H2755">
        <v>-0.139649435954268</v>
      </c>
      <c r="I2755">
        <v>-0.127474724367549</v>
      </c>
    </row>
    <row r="2756" spans="1:9">
      <c r="A2756" s="1" t="s">
        <v>2768</v>
      </c>
      <c r="B2756">
        <f>HYPERLINK("https://www.suredividend.com/sure-analysis-THG/","Hanover Insurance Group Inc")</f>
        <v>0</v>
      </c>
      <c r="C2756">
        <v>0.06120964074579301</v>
      </c>
      <c r="D2756">
        <v>0.034211958496794</v>
      </c>
      <c r="E2756">
        <v>0.013331897461372</v>
      </c>
      <c r="F2756">
        <v>-0.118186311482471</v>
      </c>
      <c r="G2756">
        <v>-0.153172193159187</v>
      </c>
      <c r="H2756">
        <v>-0.038518586882717</v>
      </c>
      <c r="I2756">
        <v>0.251005157126162</v>
      </c>
    </row>
    <row r="2757" spans="1:9">
      <c r="A2757" s="1" t="s">
        <v>2769</v>
      </c>
      <c r="B2757">
        <f>HYPERLINK("https://www.suredividend.com/sure-analysis-THO/","Thor Industries, Inc.")</f>
        <v>0</v>
      </c>
      <c r="C2757">
        <v>-0.021545801687585</v>
      </c>
      <c r="D2757">
        <v>-0.194690472700909</v>
      </c>
      <c r="E2757">
        <v>0.171117316040246</v>
      </c>
      <c r="F2757">
        <v>0.249675334724852</v>
      </c>
      <c r="G2757">
        <v>0.235507468127739</v>
      </c>
      <c r="H2757">
        <v>-0.07805551722118001</v>
      </c>
      <c r="I2757">
        <v>0.38483128054391</v>
      </c>
    </row>
    <row r="2758" spans="1:9">
      <c r="A2758" s="1" t="s">
        <v>2770</v>
      </c>
      <c r="B2758">
        <f>HYPERLINK("https://www.suredividend.com/sure-analysis-research-database/","Thermon Group Holdings Inc")</f>
        <v>0</v>
      </c>
      <c r="C2758">
        <v>0.06512141280353201</v>
      </c>
      <c r="D2758">
        <v>0.03763440860215</v>
      </c>
      <c r="E2758">
        <v>0.352803738317757</v>
      </c>
      <c r="F2758">
        <v>0.4417330677290831</v>
      </c>
      <c r="G2758">
        <v>0.670513560300057</v>
      </c>
      <c r="H2758">
        <v>0.6328257191201351</v>
      </c>
      <c r="I2758">
        <v>0.306997742663657</v>
      </c>
    </row>
    <row r="2759" spans="1:9">
      <c r="A2759" s="1" t="s">
        <v>2771</v>
      </c>
      <c r="B2759">
        <f>HYPERLINK("https://www.suredividend.com/sure-analysis-research-database/","Gentherm Inc")</f>
        <v>0</v>
      </c>
      <c r="C2759">
        <v>-0.212777675784835</v>
      </c>
      <c r="D2759">
        <v>-0.333644133644133</v>
      </c>
      <c r="E2759">
        <v>-0.276775172879068</v>
      </c>
      <c r="F2759">
        <v>-0.343237861847143</v>
      </c>
      <c r="G2759">
        <v>-0.318932655654383</v>
      </c>
      <c r="H2759">
        <v>-0.469962917181705</v>
      </c>
      <c r="I2759">
        <v>-0.029864253393665</v>
      </c>
    </row>
    <row r="2760" spans="1:9">
      <c r="A2760" s="1" t="s">
        <v>2772</v>
      </c>
      <c r="B2760">
        <f>HYPERLINK("https://www.suredividend.com/sure-analysis-research-database/","Treehouse Foods Inc")</f>
        <v>0</v>
      </c>
      <c r="C2760">
        <v>-0.025184842883549</v>
      </c>
      <c r="D2760">
        <v>-0.191142638036809</v>
      </c>
      <c r="E2760">
        <v>-0.205760542168674</v>
      </c>
      <c r="F2760">
        <v>-0.145605508302956</v>
      </c>
      <c r="G2760">
        <v>-0.149566619633138</v>
      </c>
      <c r="H2760">
        <v>0.16289966923925</v>
      </c>
      <c r="I2760">
        <v>-0.055729632945389</v>
      </c>
    </row>
    <row r="2761" spans="1:9">
      <c r="A2761" s="1" t="s">
        <v>2773</v>
      </c>
      <c r="B2761">
        <f>HYPERLINK("https://www.suredividend.com/sure-analysis-research-database/","Tiffany &amp; Co.")</f>
        <v>0</v>
      </c>
      <c r="C2761">
        <v>0.001523693432881</v>
      </c>
      <c r="D2761">
        <v>0.128559262667747</v>
      </c>
      <c r="E2761">
        <v>0.079729648705942</v>
      </c>
      <c r="F2761">
        <v>7.607455306200001E-05</v>
      </c>
      <c r="G2761">
        <v>0.002980865847303</v>
      </c>
      <c r="H2761">
        <v>0.6643287232803451</v>
      </c>
      <c r="I2761">
        <v>1.009173176177863</v>
      </c>
    </row>
    <row r="2762" spans="1:9">
      <c r="A2762" s="1" t="s">
        <v>2774</v>
      </c>
      <c r="B2762">
        <f>HYPERLINK("https://www.suredividend.com/sure-analysis-research-database/","Interface Inc.")</f>
        <v>0</v>
      </c>
      <c r="C2762">
        <v>-0.022821576763485</v>
      </c>
      <c r="D2762">
        <v>-0.037882115025176</v>
      </c>
      <c r="E2762">
        <v>0.237340899239468</v>
      </c>
      <c r="F2762">
        <v>-0.03974556315558701</v>
      </c>
      <c r="G2762">
        <v>-0.123247891885854</v>
      </c>
      <c r="H2762">
        <v>-0.3544452135059381</v>
      </c>
      <c r="I2762">
        <v>-0.423338271484016</v>
      </c>
    </row>
    <row r="2763" spans="1:9">
      <c r="A2763" s="1" t="s">
        <v>2775</v>
      </c>
      <c r="B2763">
        <f>HYPERLINK("https://www.suredividend.com/sure-analysis-research-database/","Tiptree Inc")</f>
        <v>0</v>
      </c>
      <c r="C2763">
        <v>0.029003021148036</v>
      </c>
      <c r="D2763">
        <v>0.153520506654926</v>
      </c>
      <c r="E2763">
        <v>0.22770592730366</v>
      </c>
      <c r="F2763">
        <v>0.247719596450996</v>
      </c>
      <c r="G2763">
        <v>0.426800046917676</v>
      </c>
      <c r="H2763">
        <v>0.103987449678786</v>
      </c>
      <c r="I2763">
        <v>2.164133625654937</v>
      </c>
    </row>
    <row r="2764" spans="1:9">
      <c r="A2764" s="1" t="s">
        <v>2776</v>
      </c>
      <c r="B2764">
        <f>HYPERLINK("https://www.suredividend.com/sure-analysis-research-database/","Team, Inc.")</f>
        <v>0</v>
      </c>
      <c r="C2764">
        <v>0.173020527859237</v>
      </c>
      <c r="D2764">
        <v>-0.110617009449694</v>
      </c>
      <c r="E2764">
        <v>0.4625228519195611</v>
      </c>
      <c r="F2764">
        <v>0.5238095238095231</v>
      </c>
      <c r="G2764">
        <v>0.071954977890928</v>
      </c>
      <c r="H2764">
        <v>-0.682539682539682</v>
      </c>
      <c r="I2764">
        <v>-0.9597787833081951</v>
      </c>
    </row>
    <row r="2765" spans="1:9">
      <c r="A2765" s="1" t="s">
        <v>2777</v>
      </c>
      <c r="B2765">
        <f>HYPERLINK("https://www.suredividend.com/sure-analysis-research-database/","Titan Machinery Inc")</f>
        <v>0</v>
      </c>
      <c r="C2765">
        <v>-0.005384615384615</v>
      </c>
      <c r="D2765">
        <v>-0.169023136246786</v>
      </c>
      <c r="E2765">
        <v>-0.174329501915708</v>
      </c>
      <c r="F2765">
        <v>-0.3491064686634781</v>
      </c>
      <c r="G2765">
        <v>-0.241419771193898</v>
      </c>
      <c r="H2765">
        <v>-0.123092573753814</v>
      </c>
      <c r="I2765">
        <v>0.7414141414141411</v>
      </c>
    </row>
    <row r="2766" spans="1:9">
      <c r="A2766" s="1" t="s">
        <v>2778</v>
      </c>
      <c r="B2766">
        <f>HYPERLINK("https://www.suredividend.com/sure-analysis-TJX/","TJX Companies, Inc.")</f>
        <v>0</v>
      </c>
      <c r="C2766">
        <v>0.013982859720342</v>
      </c>
      <c r="D2766">
        <v>0.054394168937585</v>
      </c>
      <c r="E2766">
        <v>0.158616566464544</v>
      </c>
      <c r="F2766">
        <v>0.143043098012894</v>
      </c>
      <c r="G2766">
        <v>0.299805144869296</v>
      </c>
      <c r="H2766">
        <v>0.380975344552734</v>
      </c>
      <c r="I2766">
        <v>0.7585443508327271</v>
      </c>
    </row>
    <row r="2767" spans="1:9">
      <c r="A2767" s="1" t="s">
        <v>2779</v>
      </c>
      <c r="B2767">
        <f>HYPERLINK("https://www.suredividend.com/sure-analysis-TKR/","Timken Co.")</f>
        <v>0</v>
      </c>
      <c r="C2767">
        <v>-0.025147725711144</v>
      </c>
      <c r="D2767">
        <v>-0.220100175460969</v>
      </c>
      <c r="E2767">
        <v>-0.073313277328049</v>
      </c>
      <c r="F2767">
        <v>0.016341114680068</v>
      </c>
      <c r="G2767">
        <v>0.041928287016433</v>
      </c>
      <c r="H2767">
        <v>0.02315438467951</v>
      </c>
      <c r="I2767">
        <v>0.9304872207950531</v>
      </c>
    </row>
    <row r="2768" spans="1:9">
      <c r="A2768" s="1" t="s">
        <v>2780</v>
      </c>
      <c r="B2768">
        <f>HYPERLINK("https://www.suredividend.com/sure-analysis-research-database/","Tandy Leather Factory Inc")</f>
        <v>0</v>
      </c>
      <c r="C2768">
        <v>-0.011764705882352</v>
      </c>
      <c r="D2768">
        <v>0</v>
      </c>
      <c r="E2768">
        <v>-0.043280182232346</v>
      </c>
      <c r="F2768">
        <v>-0.011764705882352</v>
      </c>
      <c r="G2768">
        <v>0.024390243902439</v>
      </c>
      <c r="H2768">
        <v>0.4</v>
      </c>
      <c r="I2768">
        <v>-0.41340782122905</v>
      </c>
    </row>
    <row r="2769" spans="1:9">
      <c r="A2769" s="1" t="s">
        <v>2781</v>
      </c>
      <c r="B2769">
        <f>HYPERLINK("https://www.suredividend.com/sure-analysis-research-database/","Teligent Inc")</f>
        <v>0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</row>
    <row r="2770" spans="1:9">
      <c r="A2770" s="1" t="s">
        <v>2782</v>
      </c>
      <c r="B2770">
        <f>HYPERLINK("https://www.suredividend.com/sure-analysis-research-database/","Tillys Inc")</f>
        <v>0</v>
      </c>
      <c r="C2770">
        <v>0.011124845488257</v>
      </c>
      <c r="D2770">
        <v>-0.065142857142857</v>
      </c>
      <c r="E2770">
        <v>0.076315789473684</v>
      </c>
      <c r="F2770">
        <v>-0.096132596685083</v>
      </c>
      <c r="G2770">
        <v>-0.089086859688196</v>
      </c>
      <c r="H2770">
        <v>-0.422939902506472</v>
      </c>
      <c r="I2770">
        <v>-0.319925840323908</v>
      </c>
    </row>
    <row r="2771" spans="1:9">
      <c r="A2771" s="1" t="s">
        <v>2783</v>
      </c>
      <c r="B2771">
        <f>HYPERLINK("https://www.suredividend.com/sure-analysis-research-database/","Transmedics Group Inc")</f>
        <v>0</v>
      </c>
      <c r="C2771">
        <v>-0.249905267146646</v>
      </c>
      <c r="D2771">
        <v>-0.550420168067226</v>
      </c>
      <c r="E2771">
        <v>-0.463695475480899</v>
      </c>
      <c r="F2771">
        <v>-0.3585547634478281</v>
      </c>
      <c r="G2771">
        <v>-0.146031061259706</v>
      </c>
      <c r="H2771">
        <v>0.433381607530774</v>
      </c>
      <c r="I2771">
        <v>0.770572450805009</v>
      </c>
    </row>
    <row r="2772" spans="1:9">
      <c r="A2772" s="1" t="s">
        <v>2784</v>
      </c>
      <c r="B2772">
        <f>HYPERLINK("https://www.suredividend.com/sure-analysis-research-database/","Taylor Morrison Home Corp.")</f>
        <v>0</v>
      </c>
      <c r="C2772">
        <v>-0.015798160811129</v>
      </c>
      <c r="D2772">
        <v>-0.144321443214432</v>
      </c>
      <c r="E2772">
        <v>-0.003818615751789</v>
      </c>
      <c r="F2772">
        <v>0.375288303130148</v>
      </c>
      <c r="G2772">
        <v>0.6291959406713501</v>
      </c>
      <c r="H2772">
        <v>0.349062702003878</v>
      </c>
      <c r="I2772">
        <v>1.556031843233313</v>
      </c>
    </row>
    <row r="2773" spans="1:9">
      <c r="A2773" s="1" t="s">
        <v>2785</v>
      </c>
      <c r="B2773">
        <f>HYPERLINK("https://www.suredividend.com/sure-analysis-TMO/","Thermo Fisher Scientific Inc.")</f>
        <v>0</v>
      </c>
      <c r="C2773">
        <v>-0.09725892010730301</v>
      </c>
      <c r="D2773">
        <v>-0.191207642624262</v>
      </c>
      <c r="E2773">
        <v>-0.175876228788116</v>
      </c>
      <c r="F2773">
        <v>-0.18563106541735</v>
      </c>
      <c r="G2773">
        <v>-0.08611251207265801</v>
      </c>
      <c r="H2773">
        <v>-0.293246100118179</v>
      </c>
      <c r="I2773">
        <v>0.9339517266083531</v>
      </c>
    </row>
    <row r="2774" spans="1:9">
      <c r="A2774" s="1" t="s">
        <v>2786</v>
      </c>
      <c r="B2774">
        <f>HYPERLINK("https://www.suredividend.com/sure-analysis-TMP/","Tompkins Financial Corp")</f>
        <v>0</v>
      </c>
      <c r="C2774">
        <v>0.061129163281884</v>
      </c>
      <c r="D2774">
        <v>-0.117696724079702</v>
      </c>
      <c r="E2774">
        <v>-0.008679979130104001</v>
      </c>
      <c r="F2774">
        <v>-0.292436860992619</v>
      </c>
      <c r="G2774">
        <v>-0.327960446774467</v>
      </c>
      <c r="H2774">
        <v>-0.310375775909743</v>
      </c>
      <c r="I2774">
        <v>-0.184576081002417</v>
      </c>
    </row>
    <row r="2775" spans="1:9">
      <c r="A2775" s="1" t="s">
        <v>2787</v>
      </c>
      <c r="B2775">
        <f>HYPERLINK("https://www.suredividend.com/sure-analysis-research-database/","TimkenSteel Corp")</f>
        <v>0</v>
      </c>
      <c r="C2775">
        <v>-0.024085224641037</v>
      </c>
      <c r="D2775">
        <v>-0.082317073170731</v>
      </c>
      <c r="E2775">
        <v>0.277744087325652</v>
      </c>
      <c r="F2775">
        <v>0.159603742432581</v>
      </c>
      <c r="G2775">
        <v>0.273881499395405</v>
      </c>
      <c r="H2775">
        <v>0.513649425287356</v>
      </c>
      <c r="I2775">
        <v>0.6788844621513941</v>
      </c>
    </row>
    <row r="2776" spans="1:9">
      <c r="A2776" s="1" t="s">
        <v>2788</v>
      </c>
      <c r="B2776">
        <f>HYPERLINK("https://www.suredividend.com/sure-analysis-research-database/","T-Mobile US Inc")</f>
        <v>0</v>
      </c>
      <c r="C2776">
        <v>0.05198908516444</v>
      </c>
      <c r="D2776">
        <v>0.07895124466048001</v>
      </c>
      <c r="E2776">
        <v>0.04374465659732001</v>
      </c>
      <c r="F2776">
        <v>0.04642857142857101</v>
      </c>
      <c r="G2776">
        <v>-0.023463538194907</v>
      </c>
      <c r="H2776">
        <v>0.265112262521588</v>
      </c>
      <c r="I2776">
        <v>1.166406648576308</v>
      </c>
    </row>
    <row r="2777" spans="1:9">
      <c r="A2777" s="1" t="s">
        <v>2789</v>
      </c>
      <c r="B2777">
        <f>HYPERLINK("https://www.suredividend.com/sure-analysis-research-database/","Telenav Inc")</f>
        <v>0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</row>
    <row r="2778" spans="1:9">
      <c r="A2778" s="1" t="s">
        <v>2790</v>
      </c>
      <c r="B2778">
        <f>HYPERLINK("https://www.suredividend.com/sure-analysis-TNC/","Tennant Co.")</f>
        <v>0</v>
      </c>
      <c r="C2778">
        <v>0.08212754555198201</v>
      </c>
      <c r="D2778">
        <v>0.01073681049154</v>
      </c>
      <c r="E2778">
        <v>0.023501116385394</v>
      </c>
      <c r="F2778">
        <v>0.325639144513869</v>
      </c>
      <c r="G2778">
        <v>0.377833882055918</v>
      </c>
      <c r="H2778">
        <v>0.01224418182046</v>
      </c>
      <c r="I2778">
        <v>0.382004342611144</v>
      </c>
    </row>
    <row r="2779" spans="1:9">
      <c r="A2779" s="1" t="s">
        <v>2791</v>
      </c>
      <c r="B2779">
        <f>HYPERLINK("https://www.suredividend.com/sure-analysis-research-database/","Tandem Diabetes Care Inc")</f>
        <v>0</v>
      </c>
      <c r="C2779">
        <v>-0.308776716689404</v>
      </c>
      <c r="D2779">
        <v>-0.532307692307692</v>
      </c>
      <c r="E2779">
        <v>-0.6064215432418431</v>
      </c>
      <c r="F2779">
        <v>-0.661846496106785</v>
      </c>
      <c r="G2779">
        <v>-0.703934553954032</v>
      </c>
      <c r="H2779">
        <v>-0.8908751525594081</v>
      </c>
      <c r="I2779">
        <v>-0.619904976244061</v>
      </c>
    </row>
    <row r="2780" spans="1:9">
      <c r="A2780" s="1" t="s">
        <v>2792</v>
      </c>
      <c r="B2780">
        <f>HYPERLINK("https://www.suredividend.com/sure-analysis-research-database/","TriNet Group Inc")</f>
        <v>0</v>
      </c>
      <c r="C2780">
        <v>-0.112309152074527</v>
      </c>
      <c r="D2780">
        <v>-0.007426697530864001</v>
      </c>
      <c r="E2780">
        <v>0.104895855701095</v>
      </c>
      <c r="F2780">
        <v>0.517846607669616</v>
      </c>
      <c r="G2780">
        <v>0.639999999999999</v>
      </c>
      <c r="H2780">
        <v>0.009515401216401001</v>
      </c>
      <c r="I2780">
        <v>1.174767540152155</v>
      </c>
    </row>
    <row r="2781" spans="1:9">
      <c r="A2781" s="1" t="s">
        <v>2793</v>
      </c>
      <c r="B2781">
        <f>HYPERLINK("https://www.suredividend.com/sure-analysis-research-database/","Tonix Pharmaceuticals Holding Corp")</f>
        <v>0</v>
      </c>
      <c r="C2781">
        <v>-0.06559521584750501</v>
      </c>
      <c r="D2781">
        <v>-0.5049504950495051</v>
      </c>
      <c r="E2781">
        <v>-0.832602363654625</v>
      </c>
      <c r="F2781">
        <v>-0.7947707589377331</v>
      </c>
      <c r="G2781">
        <v>-0.8243333450444431</v>
      </c>
      <c r="H2781">
        <v>-0.9955444662270541</v>
      </c>
      <c r="I2781">
        <v>-0.9999624060150371</v>
      </c>
    </row>
    <row r="2782" spans="1:9">
      <c r="A2782" s="1" t="s">
        <v>2794</v>
      </c>
      <c r="B2782">
        <f>HYPERLINK("https://www.suredividend.com/sure-analysis-research-database/","Toll Brothers Inc.")</f>
        <v>0</v>
      </c>
      <c r="C2782">
        <v>0.070815636409105</v>
      </c>
      <c r="D2782">
        <v>-0.020934390166376</v>
      </c>
      <c r="E2782">
        <v>0.245164661162782</v>
      </c>
      <c r="F2782">
        <v>0.5816220911589091</v>
      </c>
      <c r="G2782">
        <v>0.869192503082141</v>
      </c>
      <c r="H2782">
        <v>0.335712351354223</v>
      </c>
      <c r="I2782">
        <v>1.533270919883235</v>
      </c>
    </row>
    <row r="2783" spans="1:9">
      <c r="A2783" s="1" t="s">
        <v>2795</v>
      </c>
      <c r="B2783">
        <f>HYPERLINK("https://www.suredividend.com/sure-analysis-research-database/","Townebank Portsmouth VA")</f>
        <v>0</v>
      </c>
      <c r="C2783">
        <v>0.122994652406416</v>
      </c>
      <c r="D2783">
        <v>0.02547825131542</v>
      </c>
      <c r="E2783">
        <v>0.197405621154165</v>
      </c>
      <c r="F2783">
        <v>-0.139376594458541</v>
      </c>
      <c r="G2783">
        <v>-0.173138824085284</v>
      </c>
      <c r="H2783">
        <v>-0.14305243362907</v>
      </c>
      <c r="I2783">
        <v>0.078877966914408</v>
      </c>
    </row>
    <row r="2784" spans="1:9">
      <c r="A2784" s="1" t="s">
        <v>2796</v>
      </c>
      <c r="B2784">
        <f>HYPERLINK("https://www.suredividend.com/sure-analysis-research-database/","Turning Point Brands Inc")</f>
        <v>0</v>
      </c>
      <c r="C2784">
        <v>-0.102396514161219</v>
      </c>
      <c r="D2784">
        <v>-0.17644471985128</v>
      </c>
      <c r="E2784">
        <v>-0.105234810709383</v>
      </c>
      <c r="F2784">
        <v>-0.039326969263126</v>
      </c>
      <c r="G2784">
        <v>-0.067970301733303</v>
      </c>
      <c r="H2784">
        <v>-0.474629180013465</v>
      </c>
      <c r="I2784">
        <v>-0.480018577977019</v>
      </c>
    </row>
    <row r="2785" spans="1:9">
      <c r="A2785" s="1" t="s">
        <v>2797</v>
      </c>
      <c r="B2785">
        <f>HYPERLINK("https://www.suredividend.com/sure-analysis-research-database/","Tutor Perini Corp")</f>
        <v>0</v>
      </c>
      <c r="C2785">
        <v>-0.08472400513478801</v>
      </c>
      <c r="D2785">
        <v>-0.148148148148148</v>
      </c>
      <c r="E2785">
        <v>0.266429840142095</v>
      </c>
      <c r="F2785">
        <v>-0.05562913907284701</v>
      </c>
      <c r="G2785">
        <v>0.02002861230329</v>
      </c>
      <c r="H2785">
        <v>-0.489620615604867</v>
      </c>
      <c r="I2785">
        <v>-0.5791027154663521</v>
      </c>
    </row>
    <row r="2786" spans="1:9">
      <c r="A2786" s="1" t="s">
        <v>2798</v>
      </c>
      <c r="B2786">
        <f>HYPERLINK("https://www.suredividend.com/sure-analysis-research-database/","Tribune Publishing Co")</f>
        <v>0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0</v>
      </c>
    </row>
    <row r="2787" spans="1:9">
      <c r="A2787" s="1" t="s">
        <v>2799</v>
      </c>
      <c r="B2787">
        <f>HYPERLINK("https://www.suredividend.com/sure-analysis-research-database/","Tri Pointe Homes Inc.")</f>
        <v>0</v>
      </c>
      <c r="C2787">
        <v>-0.004798818752307</v>
      </c>
      <c r="D2787">
        <v>-0.158026233603997</v>
      </c>
      <c r="E2787">
        <v>-0.049365303244005</v>
      </c>
      <c r="F2787">
        <v>0.450242065626681</v>
      </c>
      <c r="G2787">
        <v>0.62605548854041</v>
      </c>
      <c r="H2787">
        <v>0.137552742616033</v>
      </c>
      <c r="I2787">
        <v>1.143084260731319</v>
      </c>
    </row>
    <row r="2788" spans="1:9">
      <c r="A2788" s="1" t="s">
        <v>2800</v>
      </c>
      <c r="B2788">
        <f>HYPERLINK("https://www.suredividend.com/sure-analysis-research-database/","Trinity Place Holdings Inc")</f>
        <v>0</v>
      </c>
      <c r="C2788">
        <v>0.13277133825079</v>
      </c>
      <c r="D2788">
        <v>-0.225225225225225</v>
      </c>
      <c r="E2788">
        <v>0.469583048530416</v>
      </c>
      <c r="F2788">
        <v>-0.418840383835653</v>
      </c>
      <c r="G2788">
        <v>-0.434210526315789</v>
      </c>
      <c r="H2788">
        <v>-0.779487179487179</v>
      </c>
      <c r="I2788">
        <v>-0.916988416988417</v>
      </c>
    </row>
    <row r="2789" spans="1:9">
      <c r="A2789" s="1" t="s">
        <v>2801</v>
      </c>
      <c r="B2789">
        <f>HYPERLINK("https://www.suredividend.com/sure-analysis-research-database/","TPI Composites Inc")</f>
        <v>0</v>
      </c>
      <c r="C2789">
        <v>0.019108280254777</v>
      </c>
      <c r="D2789">
        <v>-0.5979899497487431</v>
      </c>
      <c r="E2789">
        <v>-0.7788018433179721</v>
      </c>
      <c r="F2789">
        <v>-0.7633136094674551</v>
      </c>
      <c r="G2789">
        <v>-0.7523219814241481</v>
      </c>
      <c r="H2789">
        <v>-0.9280575539568341</v>
      </c>
      <c r="I2789">
        <v>-0.907869481765834</v>
      </c>
    </row>
    <row r="2790" spans="1:9">
      <c r="A2790" s="1" t="s">
        <v>2802</v>
      </c>
      <c r="B2790">
        <f>HYPERLINK("https://www.suredividend.com/sure-analysis-TPR/","Tapestry Inc")</f>
        <v>0</v>
      </c>
      <c r="C2790">
        <v>-0.043736878936319</v>
      </c>
      <c r="D2790">
        <v>-0.342693872839043</v>
      </c>
      <c r="E2790">
        <v>-0.300670670388917</v>
      </c>
      <c r="F2790">
        <v>-0.264333781965006</v>
      </c>
      <c r="G2790">
        <v>-0.076667353619849</v>
      </c>
      <c r="H2790">
        <v>-0.266792936745129</v>
      </c>
      <c r="I2790">
        <v>-0.265115153470737</v>
      </c>
    </row>
    <row r="2791" spans="1:9">
      <c r="A2791" s="1" t="s">
        <v>2803</v>
      </c>
      <c r="B2791">
        <f>HYPERLINK("https://www.suredividend.com/sure-analysis-research-database/","Turning Point Therapeutics Inc")</f>
        <v>0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</row>
    <row r="2792" spans="1:9">
      <c r="A2792" s="1" t="s">
        <v>2804</v>
      </c>
      <c r="B2792">
        <f>HYPERLINK("https://www.suredividend.com/sure-analysis-research-database/","Tempur Sealy International Inc")</f>
        <v>0</v>
      </c>
      <c r="C2792">
        <v>-0.12318322611389</v>
      </c>
      <c r="D2792">
        <v>-0.151952583087906</v>
      </c>
      <c r="E2792">
        <v>0.011139015128617</v>
      </c>
      <c r="F2792">
        <v>0.08059855763583801</v>
      </c>
      <c r="G2792">
        <v>0.4860581097179311</v>
      </c>
      <c r="H2792">
        <v>-0.150409788756781</v>
      </c>
      <c r="I2792">
        <v>2.006118431263631</v>
      </c>
    </row>
    <row r="2793" spans="1:9">
      <c r="A2793" s="1" t="s">
        <v>2805</v>
      </c>
      <c r="B2793">
        <f>HYPERLINK("https://www.suredividend.com/sure-analysis-TR/","Tootsie Roll Industries, Inc.")</f>
        <v>0</v>
      </c>
      <c r="C2793">
        <v>0.009808820048912001</v>
      </c>
      <c r="D2793">
        <v>-0.118727892893309</v>
      </c>
      <c r="E2793">
        <v>-0.196396339836454</v>
      </c>
      <c r="F2793">
        <v>-0.251243053524422</v>
      </c>
      <c r="G2793">
        <v>-0.18622085415022</v>
      </c>
      <c r="H2793">
        <v>0.02577459004077</v>
      </c>
      <c r="I2793">
        <v>0.128992543210058</v>
      </c>
    </row>
    <row r="2794" spans="1:9">
      <c r="A2794" s="1" t="s">
        <v>2806</v>
      </c>
      <c r="B2794">
        <f>HYPERLINK("https://www.suredividend.com/sure-analysis-research-database/","Tejon Ranch Co.")</f>
        <v>0</v>
      </c>
      <c r="C2794">
        <v>-0.003733665214685</v>
      </c>
      <c r="D2794">
        <v>-0.09802816901408401</v>
      </c>
      <c r="E2794">
        <v>-0.06099706744868</v>
      </c>
      <c r="F2794">
        <v>-0.150212314225053</v>
      </c>
      <c r="G2794">
        <v>-0.040742959856201</v>
      </c>
      <c r="H2794">
        <v>-0.163094615786722</v>
      </c>
      <c r="I2794">
        <v>-0.164840897235263</v>
      </c>
    </row>
    <row r="2795" spans="1:9">
      <c r="A2795" s="1" t="s">
        <v>2807</v>
      </c>
      <c r="B2795">
        <f>HYPERLINK("https://www.suredividend.com/sure-analysis-research-database/","Torchlight Energy Resources Inc")</f>
        <v>0</v>
      </c>
      <c r="C2795">
        <v>1.07112970711297</v>
      </c>
      <c r="D2795">
        <v>1.675675675675675</v>
      </c>
      <c r="E2795">
        <v>6.969731122202544</v>
      </c>
      <c r="F2795">
        <v>0</v>
      </c>
      <c r="G2795">
        <v>13.14285714285714</v>
      </c>
      <c r="H2795">
        <v>2.561151079136691</v>
      </c>
      <c r="I2795">
        <v>7.30536912751678</v>
      </c>
    </row>
    <row r="2796" spans="1:9">
      <c r="A2796" s="1" t="s">
        <v>2808</v>
      </c>
      <c r="B2796">
        <f>HYPERLINK("https://www.suredividend.com/sure-analysis-research-database/","Trecora Resources")</f>
        <v>0</v>
      </c>
      <c r="C2796">
        <v>0.009259259259259</v>
      </c>
      <c r="D2796">
        <v>0.152761457109283</v>
      </c>
      <c r="E2796">
        <v>0.209617755856966</v>
      </c>
      <c r="F2796">
        <v>0.214108910891089</v>
      </c>
      <c r="G2796">
        <v>0.166468489892984</v>
      </c>
      <c r="H2796">
        <v>0.8579545454545451</v>
      </c>
      <c r="I2796">
        <v>-0.161538461538461</v>
      </c>
    </row>
    <row r="2797" spans="1:9">
      <c r="A2797" s="1" t="s">
        <v>2809</v>
      </c>
      <c r="B2797">
        <f>HYPERLINK("https://www.suredividend.com/sure-analysis-research-database/","LendingTree Inc.")</f>
        <v>0</v>
      </c>
      <c r="C2797">
        <v>0.041611624834874</v>
      </c>
      <c r="D2797">
        <v>-0.302212389380531</v>
      </c>
      <c r="E2797">
        <v>-0.099371787549971</v>
      </c>
      <c r="F2797">
        <v>-0.260665729020159</v>
      </c>
      <c r="G2797">
        <v>-0.299733570159857</v>
      </c>
      <c r="H2797">
        <v>-0.8934387458612061</v>
      </c>
      <c r="I2797">
        <v>-0.9398688324563411</v>
      </c>
    </row>
    <row r="2798" spans="1:9">
      <c r="A2798" s="1" t="s">
        <v>2810</v>
      </c>
      <c r="B2798">
        <f>HYPERLINK("https://www.suredividend.com/sure-analysis-research-database/","TREX Co., Inc.")</f>
        <v>0</v>
      </c>
      <c r="C2798">
        <v>0.013929859062602</v>
      </c>
      <c r="D2798">
        <v>-0.179769322550709</v>
      </c>
      <c r="E2798">
        <v>0.133980938416422</v>
      </c>
      <c r="F2798">
        <v>0.46161115048429</v>
      </c>
      <c r="G2798">
        <v>0.5318148056449611</v>
      </c>
      <c r="H2798">
        <v>-0.438922644418246</v>
      </c>
      <c r="I2798">
        <v>0.905451185709886</v>
      </c>
    </row>
    <row r="2799" spans="1:9">
      <c r="A2799" s="1" t="s">
        <v>2811</v>
      </c>
      <c r="B2799">
        <f>HYPERLINK("https://www.suredividend.com/sure-analysis-TRGP/","Targa Resources Corp")</f>
        <v>0</v>
      </c>
      <c r="C2799">
        <v>0.08819241894624301</v>
      </c>
      <c r="D2799">
        <v>0.118490601580634</v>
      </c>
      <c r="E2799">
        <v>0.264253495083069</v>
      </c>
      <c r="F2799">
        <v>0.257175652164222</v>
      </c>
      <c r="G2799">
        <v>0.379140669292</v>
      </c>
      <c r="H2799">
        <v>0.6974942915288921</v>
      </c>
      <c r="I2799">
        <v>1.125319681048977</v>
      </c>
    </row>
    <row r="2800" spans="1:9">
      <c r="A2800" s="1" t="s">
        <v>2812</v>
      </c>
      <c r="B2800">
        <f>HYPERLINK("https://www.suredividend.com/sure-analysis-research-database/","Tabula Rasa HealthCare Inc")</f>
        <v>0</v>
      </c>
      <c r="C2800">
        <v>0.012536162005786</v>
      </c>
      <c r="D2800">
        <v>0.349614395886889</v>
      </c>
      <c r="E2800">
        <v>0.895306859205776</v>
      </c>
      <c r="F2800">
        <v>1.121212121212121</v>
      </c>
      <c r="G2800">
        <v>1.861035422343324</v>
      </c>
      <c r="H2800">
        <v>-0.633123689727463</v>
      </c>
      <c r="I2800">
        <v>-0.8651425635756481</v>
      </c>
    </row>
    <row r="2801" spans="1:9">
      <c r="A2801" s="1" t="s">
        <v>2813</v>
      </c>
      <c r="B2801">
        <f>HYPERLINK("https://www.suredividend.com/sure-analysis-research-database/","TripAdvisor Inc.")</f>
        <v>0</v>
      </c>
      <c r="C2801">
        <v>-0.111515151515151</v>
      </c>
      <c r="D2801">
        <v>-0.167990919409761</v>
      </c>
      <c r="E2801">
        <v>-0.197152245345016</v>
      </c>
      <c r="F2801">
        <v>-0.184649610678531</v>
      </c>
      <c r="G2801">
        <v>-0.355321020228671</v>
      </c>
      <c r="H2801">
        <v>-0.544579061820441</v>
      </c>
      <c r="I2801">
        <v>-0.692609631005749</v>
      </c>
    </row>
    <row r="2802" spans="1:9">
      <c r="A2802" s="1" t="s">
        <v>2814</v>
      </c>
      <c r="B2802">
        <f>HYPERLINK("https://www.suredividend.com/sure-analysis-research-database/","Trimble Inc")</f>
        <v>0</v>
      </c>
      <c r="C2802">
        <v>-0.208175624526873</v>
      </c>
      <c r="D2802">
        <v>-0.22172619047619</v>
      </c>
      <c r="E2802">
        <v>-0.09003914745541501</v>
      </c>
      <c r="F2802">
        <v>-0.172468354430379</v>
      </c>
      <c r="G2802">
        <v>-0.220130475302888</v>
      </c>
      <c r="H2802">
        <v>-0.5268574013343881</v>
      </c>
      <c r="I2802">
        <v>0.09586170770036601</v>
      </c>
    </row>
    <row r="2803" spans="1:9">
      <c r="A2803" s="1" t="s">
        <v>2815</v>
      </c>
      <c r="B2803">
        <f>HYPERLINK("https://www.suredividend.com/sure-analysis-research-database/","Trustmark Corp.")</f>
        <v>0</v>
      </c>
      <c r="C2803">
        <v>-0.00513778608127</v>
      </c>
      <c r="D2803">
        <v>-0.162765468202775</v>
      </c>
      <c r="E2803">
        <v>-0.008804422686744001</v>
      </c>
      <c r="F2803">
        <v>-0.3593387654187301</v>
      </c>
      <c r="G2803">
        <v>-0.3792530636629891</v>
      </c>
      <c r="H2803">
        <v>-0.290328814316033</v>
      </c>
      <c r="I2803">
        <v>-0.190674134249302</v>
      </c>
    </row>
    <row r="2804" spans="1:9">
      <c r="A2804" s="1" t="s">
        <v>2816</v>
      </c>
      <c r="B2804">
        <f>HYPERLINK("https://www.suredividend.com/sure-analysis-TRN/","Trinity Industries, Inc.")</f>
        <v>0</v>
      </c>
      <c r="C2804">
        <v>-0.023961215865456</v>
      </c>
      <c r="D2804">
        <v>-0.143468144544927</v>
      </c>
      <c r="E2804">
        <v>0.072915831521559</v>
      </c>
      <c r="F2804">
        <v>-0.197791192981466</v>
      </c>
      <c r="G2804">
        <v>-0.141152931405489</v>
      </c>
      <c r="H2804">
        <v>-0.149631257686025</v>
      </c>
      <c r="I2804">
        <v>0.221489626734246</v>
      </c>
    </row>
    <row r="2805" spans="1:9">
      <c r="A2805" s="1" t="s">
        <v>2817</v>
      </c>
      <c r="B2805">
        <f>HYPERLINK("https://www.suredividend.com/sure-analysis-research-database/","Terreno Realty Corp")</f>
        <v>0</v>
      </c>
      <c r="C2805">
        <v>-0.014344629729245</v>
      </c>
      <c r="D2805">
        <v>-0.046197891814514</v>
      </c>
      <c r="E2805">
        <v>-0.071755323011247</v>
      </c>
      <c r="F2805">
        <v>-0.012769167220416</v>
      </c>
      <c r="G2805">
        <v>0.010143702451394</v>
      </c>
      <c r="H2805">
        <v>-0.231860262008733</v>
      </c>
      <c r="I2805">
        <v>0.644897287430614</v>
      </c>
    </row>
    <row r="2806" spans="1:9">
      <c r="A2806" s="1" t="s">
        <v>2818</v>
      </c>
      <c r="B2806">
        <f>HYPERLINK("https://www.suredividend.com/sure-analysis-research-database/","Transcat Inc")</f>
        <v>0</v>
      </c>
      <c r="C2806">
        <v>-0.06481773295514201</v>
      </c>
      <c r="D2806">
        <v>-0.01819786037278</v>
      </c>
      <c r="E2806">
        <v>0.113445903689806</v>
      </c>
      <c r="F2806">
        <v>0.256102723296175</v>
      </c>
      <c r="G2806">
        <v>0.237076153418565</v>
      </c>
      <c r="H2806">
        <v>0.126835443037974</v>
      </c>
      <c r="I2806">
        <v>2.8721183123097</v>
      </c>
    </row>
    <row r="2807" spans="1:9">
      <c r="A2807" s="1" t="s">
        <v>2819</v>
      </c>
      <c r="B2807">
        <f>HYPERLINK("https://www.suredividend.com/sure-analysis-TROW/","T. Rowe Price Group Inc.")</f>
        <v>0</v>
      </c>
      <c r="C2807">
        <v>-0.09847977818147001</v>
      </c>
      <c r="D2807">
        <v>-0.186406104931091</v>
      </c>
      <c r="E2807">
        <v>-0.07048868103832301</v>
      </c>
      <c r="F2807">
        <v>-0.08568247999294</v>
      </c>
      <c r="G2807">
        <v>-0.03750357274100601</v>
      </c>
      <c r="H2807">
        <v>-0.5183385361353371</v>
      </c>
      <c r="I2807">
        <v>0.187712485152019</v>
      </c>
    </row>
    <row r="2808" spans="1:9">
      <c r="A2808" s="1" t="s">
        <v>2820</v>
      </c>
      <c r="B2808">
        <f>HYPERLINK("https://www.suredividend.com/sure-analysis-research-database/","Tronox Holdings plc")</f>
        <v>0</v>
      </c>
      <c r="C2808">
        <v>-0.145539906103286</v>
      </c>
      <c r="D2808">
        <v>-0.150115185853931</v>
      </c>
      <c r="E2808">
        <v>-0.168880195450151</v>
      </c>
      <c r="F2808">
        <v>-0.180868939030244</v>
      </c>
      <c r="G2808">
        <v>-0.004775618825416</v>
      </c>
      <c r="H2808">
        <v>-0.513043478260869</v>
      </c>
      <c r="I2808">
        <v>0.039099447145807</v>
      </c>
    </row>
    <row r="2809" spans="1:9">
      <c r="A2809" s="1" t="s">
        <v>2821</v>
      </c>
      <c r="B2809">
        <f>HYPERLINK("https://www.suredividend.com/sure-analysis-research-database/","Trimas Corporation")</f>
        <v>0</v>
      </c>
      <c r="C2809">
        <v>-0.019069133239717</v>
      </c>
      <c r="D2809">
        <v>-0.08305400089031201</v>
      </c>
      <c r="E2809">
        <v>-0.054375377661285</v>
      </c>
      <c r="F2809">
        <v>-0.121723317334849</v>
      </c>
      <c r="G2809">
        <v>0.028424632690247</v>
      </c>
      <c r="H2809">
        <v>-0.279795115158071</v>
      </c>
      <c r="I2809">
        <v>-0.167043973856931</v>
      </c>
    </row>
    <row r="2810" spans="1:9">
      <c r="A2810" s="1" t="s">
        <v>2822</v>
      </c>
      <c r="B2810">
        <f>HYPERLINK("https://www.suredividend.com/sure-analysis-TRST/","Trustco Bank Corp.")</f>
        <v>0</v>
      </c>
      <c r="C2810">
        <v>-0.017260374586852</v>
      </c>
      <c r="D2810">
        <v>-0.09503486618284601</v>
      </c>
      <c r="E2810">
        <v>-0.01825545902794</v>
      </c>
      <c r="F2810">
        <v>-0.243379571248423</v>
      </c>
      <c r="G2810">
        <v>-0.218631378549153</v>
      </c>
      <c r="H2810">
        <v>-0.116017719286075</v>
      </c>
      <c r="I2810">
        <v>-0.119119646331146</v>
      </c>
    </row>
    <row r="2811" spans="1:9">
      <c r="A2811" s="1" t="s">
        <v>2823</v>
      </c>
      <c r="B2811">
        <f>HYPERLINK("https://www.suredividend.com/sure-analysis-research-database/","Trio-Tech International")</f>
        <v>0</v>
      </c>
      <c r="C2811">
        <v>-0.120547945205479</v>
      </c>
      <c r="D2811">
        <v>0.122377622377622</v>
      </c>
      <c r="E2811">
        <v>0.487833140208574</v>
      </c>
      <c r="F2811">
        <v>0.4266349636674741</v>
      </c>
      <c r="G2811">
        <v>0.315573770491803</v>
      </c>
      <c r="H2811">
        <v>0.377682403433476</v>
      </c>
      <c r="I2811">
        <v>0.487522880511596</v>
      </c>
    </row>
    <row r="2812" spans="1:9">
      <c r="A2812" s="1" t="s">
        <v>2824</v>
      </c>
      <c r="B2812">
        <f>HYPERLINK("https://www.suredividend.com/sure-analysis-research-database/","Triton International Ltd")</f>
        <v>0</v>
      </c>
      <c r="C2812">
        <v>-0.036993725629767</v>
      </c>
      <c r="D2812">
        <v>-0.035835877571154</v>
      </c>
      <c r="E2812">
        <v>0.301352719753569</v>
      </c>
      <c r="F2812">
        <v>0.188642228401601</v>
      </c>
      <c r="G2812">
        <v>0.505690582951153</v>
      </c>
      <c r="H2812">
        <v>0.624782477267342</v>
      </c>
      <c r="I2812">
        <v>1.737486880366145</v>
      </c>
    </row>
    <row r="2813" spans="1:9">
      <c r="A2813" s="1" t="s">
        <v>2825</v>
      </c>
      <c r="B2813">
        <f>HYPERLINK("https://www.suredividend.com/sure-analysis-research-database/","TPG RE Finance Trust Inc")</f>
        <v>0</v>
      </c>
      <c r="C2813">
        <v>-0.153125</v>
      </c>
      <c r="D2813">
        <v>-0.181528518143791</v>
      </c>
      <c r="E2813">
        <v>-0.133326937222168</v>
      </c>
      <c r="F2813">
        <v>-0.116472410139375</v>
      </c>
      <c r="G2813">
        <v>-0.142649245468062</v>
      </c>
      <c r="H2813">
        <v>-0.479111606585105</v>
      </c>
      <c r="I2813">
        <v>-0.48069866150559</v>
      </c>
    </row>
    <row r="2814" spans="1:9">
      <c r="A2814" s="1" t="s">
        <v>2826</v>
      </c>
      <c r="B2814">
        <f>HYPERLINK("https://www.suredividend.com/sure-analysis-research-database/","TransUnion")</f>
        <v>0</v>
      </c>
      <c r="C2814">
        <v>-0.320402095426872</v>
      </c>
      <c r="D2814">
        <v>-0.395402032456834</v>
      </c>
      <c r="E2814">
        <v>-0.276334634925899</v>
      </c>
      <c r="F2814">
        <v>-0.150341721938707</v>
      </c>
      <c r="G2814">
        <v>-0.108277414896225</v>
      </c>
      <c r="H2814">
        <v>-0.5706277154442521</v>
      </c>
      <c r="I2814">
        <v>-0.275384197337037</v>
      </c>
    </row>
    <row r="2815" spans="1:9">
      <c r="A2815" s="1" t="s">
        <v>2827</v>
      </c>
      <c r="B2815">
        <f>HYPERLINK("https://www.suredividend.com/sure-analysis-research-database/","Trupanion Inc")</f>
        <v>0</v>
      </c>
      <c r="C2815">
        <v>-0.178815080789946</v>
      </c>
      <c r="D2815">
        <v>-0.204521739130434</v>
      </c>
      <c r="E2815">
        <v>-0.340351889241419</v>
      </c>
      <c r="F2815">
        <v>-0.51883021249737</v>
      </c>
      <c r="G2815">
        <v>-0.486067415730337</v>
      </c>
      <c r="H2815">
        <v>-0.776179291446467</v>
      </c>
      <c r="I2815">
        <v>-0.09353943717796201</v>
      </c>
    </row>
    <row r="2816" spans="1:9">
      <c r="A2816" s="1" t="s">
        <v>2828</v>
      </c>
      <c r="B2816">
        <f>HYPERLINK("https://www.suredividend.com/sure-analysis-TRV/","Travelers Companies Inc.")</f>
        <v>0</v>
      </c>
      <c r="C2816">
        <v>0.041165957971282</v>
      </c>
      <c r="D2816">
        <v>-0.006379286110423</v>
      </c>
      <c r="E2816">
        <v>-0.05289281123500601</v>
      </c>
      <c r="F2816">
        <v>-0.08325578493001601</v>
      </c>
      <c r="G2816">
        <v>-0.05252207463737001</v>
      </c>
      <c r="H2816">
        <v>0.111766962589485</v>
      </c>
      <c r="I2816">
        <v>0.520273766256671</v>
      </c>
    </row>
    <row r="2817" spans="1:9">
      <c r="A2817" s="1" t="s">
        <v>2829</v>
      </c>
      <c r="B2817">
        <f>HYPERLINK("https://www.suredividend.com/sure-analysis-research-database/","Trevena Inc")</f>
        <v>0</v>
      </c>
      <c r="C2817">
        <v>-0.066579206297146</v>
      </c>
      <c r="D2817">
        <v>-0.394468085106382</v>
      </c>
      <c r="E2817">
        <v>-0.06504599211563701</v>
      </c>
      <c r="F2817">
        <v>-0.601958041958041</v>
      </c>
      <c r="G2817">
        <v>-0.8691494252873561</v>
      </c>
      <c r="H2817">
        <v>-0.9787214953271021</v>
      </c>
      <c r="I2817">
        <v>-0.9679278771657981</v>
      </c>
    </row>
    <row r="2818" spans="1:9">
      <c r="A2818" s="1" t="s">
        <v>2830</v>
      </c>
      <c r="B2818">
        <f>HYPERLINK("https://www.suredividend.com/sure-analysis-research-database/","TransEnterix Inc")</f>
        <v>0</v>
      </c>
      <c r="C2818">
        <v>0.278996865203761</v>
      </c>
      <c r="D2818">
        <v>7.053691275167784</v>
      </c>
      <c r="E2818">
        <v>10.46711635750422</v>
      </c>
      <c r="F2818">
        <v>5.528</v>
      </c>
      <c r="G2818">
        <v>2.578947368421053</v>
      </c>
      <c r="H2818">
        <v>-0.878823878823878</v>
      </c>
      <c r="I2818">
        <v>-0.9110917411200691</v>
      </c>
    </row>
    <row r="2819" spans="1:9">
      <c r="A2819" s="1" t="s">
        <v>2831</v>
      </c>
      <c r="B2819">
        <f>HYPERLINK("https://www.suredividend.com/sure-analysis-research-database/","Timberland Bancorp, Inc.")</f>
        <v>0</v>
      </c>
      <c r="C2819">
        <v>0.058757902566009</v>
      </c>
      <c r="D2819">
        <v>-0.074712045968643</v>
      </c>
      <c r="E2819">
        <v>0.243997395776438</v>
      </c>
      <c r="F2819">
        <v>-0.138760323078319</v>
      </c>
      <c r="G2819">
        <v>-0.04836714911254401</v>
      </c>
      <c r="H2819">
        <v>0.09812966955824001</v>
      </c>
      <c r="I2819">
        <v>0.119724375538329</v>
      </c>
    </row>
    <row r="2820" spans="1:9">
      <c r="A2820" s="1" t="s">
        <v>2832</v>
      </c>
      <c r="B2820">
        <f>HYPERLINK("https://www.suredividend.com/sure-analysis-research-database/","Tristate Capital Holdings Inc")</f>
        <v>0</v>
      </c>
      <c r="C2820">
        <v>0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</row>
    <row r="2821" spans="1:9">
      <c r="A2821" s="1" t="s">
        <v>2833</v>
      </c>
      <c r="B2821">
        <f>HYPERLINK("https://www.suredividend.com/sure-analysis-TSCO/","Tractor Supply Co.")</f>
        <v>0</v>
      </c>
      <c r="C2821">
        <v>-0.040982800982801</v>
      </c>
      <c r="D2821">
        <v>-0.127999456675209</v>
      </c>
      <c r="E2821">
        <v>-0.177580081222184</v>
      </c>
      <c r="F2821">
        <v>-0.111579286632218</v>
      </c>
      <c r="G2821">
        <v>-0.05053022117158001</v>
      </c>
      <c r="H2821">
        <v>-0.053888505637352</v>
      </c>
      <c r="I2821">
        <v>1.2594500723589</v>
      </c>
    </row>
    <row r="2822" spans="1:9">
      <c r="A2822" s="1" t="s">
        <v>2834</v>
      </c>
      <c r="B2822">
        <f>HYPERLINK("https://www.suredividend.com/sure-analysis-research-database/","Trinseo PLC")</f>
        <v>0</v>
      </c>
      <c r="C2822">
        <v>-0.2409200968523</v>
      </c>
      <c r="D2822">
        <v>-0.6243236927722751</v>
      </c>
      <c r="E2822">
        <v>-0.642237640936687</v>
      </c>
      <c r="F2822">
        <v>-0.717668037049878</v>
      </c>
      <c r="G2822">
        <v>-0.6768257797157921</v>
      </c>
      <c r="H2822">
        <v>-0.8831560174651001</v>
      </c>
      <c r="I2822">
        <v>-0.8797567519364531</v>
      </c>
    </row>
    <row r="2823" spans="1:9">
      <c r="A2823" s="1" t="s">
        <v>2835</v>
      </c>
      <c r="B2823">
        <f>HYPERLINK("https://www.suredividend.com/sure-analysis-research-database/","Tesla Inc")</f>
        <v>0</v>
      </c>
      <c r="C2823">
        <v>-0.131518282988871</v>
      </c>
      <c r="D2823">
        <v>-0.140096808468773</v>
      </c>
      <c r="E2823">
        <v>0.36304659721789</v>
      </c>
      <c r="F2823">
        <v>0.773908101964604</v>
      </c>
      <c r="G2823">
        <v>0.016420132105312</v>
      </c>
      <c r="H2823">
        <v>-0.440674109157499</v>
      </c>
      <c r="I2823">
        <v>8.461764960595826</v>
      </c>
    </row>
    <row r="2824" spans="1:9">
      <c r="A2824" s="1" t="s">
        <v>2836</v>
      </c>
      <c r="B2824">
        <f>HYPERLINK("https://www.suredividend.com/sure-analysis-TSN/","Tyson Foods, Inc.")</f>
        <v>0</v>
      </c>
      <c r="C2824">
        <v>-0.034118602761982</v>
      </c>
      <c r="D2824">
        <v>-0.134025724315741</v>
      </c>
      <c r="E2824">
        <v>-0.205326783461573</v>
      </c>
      <c r="F2824">
        <v>-0.215819473596562</v>
      </c>
      <c r="G2824">
        <v>-0.270901041219539</v>
      </c>
      <c r="H2824">
        <v>-0.383703918715263</v>
      </c>
      <c r="I2824">
        <v>-0.124207486957946</v>
      </c>
    </row>
    <row r="2825" spans="1:9">
      <c r="A2825" s="1" t="s">
        <v>2837</v>
      </c>
      <c r="B2825">
        <f>HYPERLINK("https://www.suredividend.com/sure-analysis-research-database/","Townsquare Media Inc")</f>
        <v>0</v>
      </c>
      <c r="C2825">
        <v>-0.022446689113355</v>
      </c>
      <c r="D2825">
        <v>-0.218820068521408</v>
      </c>
      <c r="E2825">
        <v>-0.018525196069593</v>
      </c>
      <c r="F2825">
        <v>0.274938887831725</v>
      </c>
      <c r="G2825">
        <v>0.186551508051113</v>
      </c>
      <c r="H2825">
        <v>-0.330195788923237</v>
      </c>
      <c r="I2825">
        <v>0.423900604871669</v>
      </c>
    </row>
    <row r="2826" spans="1:9">
      <c r="A2826" s="1" t="s">
        <v>2838</v>
      </c>
      <c r="B2826">
        <f>HYPERLINK("https://www.suredividend.com/sure-analysis-TTC/","Toro Co.")</f>
        <v>0</v>
      </c>
      <c r="C2826">
        <v>0.014422494243121</v>
      </c>
      <c r="D2826">
        <v>-0.190552774121672</v>
      </c>
      <c r="E2826">
        <v>-0.190990905655234</v>
      </c>
      <c r="F2826">
        <v>-0.252543094864515</v>
      </c>
      <c r="G2826">
        <v>-0.171215738385385</v>
      </c>
      <c r="H2826">
        <v>-0.113710798645046</v>
      </c>
      <c r="I2826">
        <v>0.500849943695713</v>
      </c>
    </row>
    <row r="2827" spans="1:9">
      <c r="A2827" s="1" t="s">
        <v>2839</v>
      </c>
      <c r="B2827">
        <f>HYPERLINK("https://www.suredividend.com/sure-analysis-research-database/","Trade Desk Inc")</f>
        <v>0</v>
      </c>
      <c r="C2827">
        <v>-0.033584471970374</v>
      </c>
      <c r="D2827">
        <v>-0.126500461680516</v>
      </c>
      <c r="E2827">
        <v>0.209332054969638</v>
      </c>
      <c r="F2827">
        <v>0.6881552531786751</v>
      </c>
      <c r="G2827">
        <v>0.5288888888888891</v>
      </c>
      <c r="H2827">
        <v>0.008528784648187</v>
      </c>
      <c r="I2827">
        <v>4.914810472840954</v>
      </c>
    </row>
    <row r="2828" spans="1:9">
      <c r="A2828" s="1" t="s">
        <v>2840</v>
      </c>
      <c r="B2828">
        <f>HYPERLINK("https://www.suredividend.com/sure-analysis-research-database/","TTEC Holdings Inc")</f>
        <v>0</v>
      </c>
      <c r="C2828">
        <v>-0.174179714963816</v>
      </c>
      <c r="D2828">
        <v>-0.322014439880603</v>
      </c>
      <c r="E2828">
        <v>-0.316807311382902</v>
      </c>
      <c r="F2828">
        <v>-0.4889975843959181</v>
      </c>
      <c r="G2828">
        <v>-0.4705199663284561</v>
      </c>
      <c r="H2828">
        <v>-0.76260213077429</v>
      </c>
      <c r="I2828">
        <v>-0.034334276591009</v>
      </c>
    </row>
    <row r="2829" spans="1:9">
      <c r="A2829" s="1" t="s">
        <v>2841</v>
      </c>
      <c r="B2829">
        <f>HYPERLINK("https://www.suredividend.com/sure-analysis-research-database/","Tetra Tech, Inc.")</f>
        <v>0</v>
      </c>
      <c r="C2829">
        <v>0.005744849445324001</v>
      </c>
      <c r="D2829">
        <v>-0.09289610977440001</v>
      </c>
      <c r="E2829">
        <v>0.100431835144025</v>
      </c>
      <c r="F2829">
        <v>0.05798017546175</v>
      </c>
      <c r="G2829">
        <v>0.11596070728067</v>
      </c>
      <c r="H2829">
        <v>-0.131482518455497</v>
      </c>
      <c r="I2829">
        <v>1.391355886698309</v>
      </c>
    </row>
    <row r="2830" spans="1:9">
      <c r="A2830" s="1" t="s">
        <v>2842</v>
      </c>
      <c r="B2830">
        <f>HYPERLINK("https://www.suredividend.com/sure-analysis-research-database/","Techtarget Inc.")</f>
        <v>0</v>
      </c>
      <c r="C2830">
        <v>-0.166666666666666</v>
      </c>
      <c r="D2830">
        <v>-0.154387139986604</v>
      </c>
      <c r="E2830">
        <v>-0.240373044524669</v>
      </c>
      <c r="F2830">
        <v>-0.426917839310031</v>
      </c>
      <c r="G2830">
        <v>-0.554909219108055</v>
      </c>
      <c r="H2830">
        <v>-0.7347410442273341</v>
      </c>
      <c r="I2830">
        <v>0.192725555030703</v>
      </c>
    </row>
    <row r="2831" spans="1:9">
      <c r="A2831" s="1" t="s">
        <v>2843</v>
      </c>
      <c r="B2831">
        <f>HYPERLINK("https://www.suredividend.com/sure-analysis-research-database/","Tetra Technologies, Inc.")</f>
        <v>0</v>
      </c>
      <c r="C2831">
        <v>-0.230514096185738</v>
      </c>
      <c r="D2831">
        <v>-0.08661417322834601</v>
      </c>
      <c r="E2831">
        <v>0.657142857142857</v>
      </c>
      <c r="F2831">
        <v>0.3410404624277451</v>
      </c>
      <c r="G2831">
        <v>0.151364764267989</v>
      </c>
      <c r="H2831">
        <v>0.281767955801104</v>
      </c>
      <c r="I2831">
        <v>0.4409937888198751</v>
      </c>
    </row>
    <row r="2832" spans="1:9">
      <c r="A2832" s="1" t="s">
        <v>2844</v>
      </c>
      <c r="B2832">
        <f>HYPERLINK("https://www.suredividend.com/sure-analysis-research-database/","TTM Technologies Inc")</f>
        <v>0</v>
      </c>
      <c r="C2832">
        <v>0.08430007733952001</v>
      </c>
      <c r="D2832">
        <v>-0.043656207366985</v>
      </c>
      <c r="E2832">
        <v>0.206540447504302</v>
      </c>
      <c r="F2832">
        <v>-0.07029177718832801</v>
      </c>
      <c r="G2832">
        <v>-0.06533333333333301</v>
      </c>
      <c r="H2832">
        <v>0.007907979870596001</v>
      </c>
      <c r="I2832">
        <v>0.08513931888544801</v>
      </c>
    </row>
    <row r="2833" spans="1:9">
      <c r="A2833" s="1" t="s">
        <v>2845</v>
      </c>
      <c r="B2833">
        <f>HYPERLINK("https://www.suredividend.com/sure-analysis-research-database/","Titan Pharmaceuticals, Inc. (de)")</f>
        <v>0</v>
      </c>
      <c r="C2833">
        <v>-0.06113537117903901</v>
      </c>
      <c r="D2833">
        <v>-0.268458659407961</v>
      </c>
      <c r="E2833">
        <v>-0.4451612903225801</v>
      </c>
      <c r="F2833">
        <v>-0.450900268164985</v>
      </c>
      <c r="G2833">
        <v>-0.563451776649746</v>
      </c>
      <c r="H2833">
        <v>-0.7528735632183901</v>
      </c>
      <c r="I2833">
        <v>-0.9937134502923971</v>
      </c>
    </row>
    <row r="2834" spans="1:9">
      <c r="A2834" s="1" t="s">
        <v>2846</v>
      </c>
      <c r="B2834">
        <f>HYPERLINK("https://www.suredividend.com/sure-analysis-research-database/","T2 Biosystems Inc")</f>
        <v>0</v>
      </c>
      <c r="C2834">
        <v>-0.746551724137931</v>
      </c>
      <c r="D2834">
        <v>-0.7580246913580241</v>
      </c>
      <c r="E2834">
        <v>-0.805298013245033</v>
      </c>
      <c r="F2834">
        <v>-0.9585915492957741</v>
      </c>
      <c r="G2834">
        <v>-0.9662068965517241</v>
      </c>
      <c r="H2834">
        <v>-0.9985356742622341</v>
      </c>
      <c r="I2834">
        <v>-0.9997986301369861</v>
      </c>
    </row>
    <row r="2835" spans="1:9">
      <c r="A2835" s="1" t="s">
        <v>2847</v>
      </c>
      <c r="B2835">
        <f>HYPERLINK("https://www.suredividend.com/sure-analysis-research-database/","Tile Shop Holdings, Inc.")</f>
        <v>0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0</v>
      </c>
    </row>
    <row r="2836" spans="1:9">
      <c r="A2836" s="1" t="s">
        <v>2848</v>
      </c>
      <c r="B2836">
        <f>HYPERLINK("https://www.suredividend.com/sure-analysis-research-database/","Take-Two Interactive Software, Inc.")</f>
        <v>0</v>
      </c>
      <c r="C2836">
        <v>-0.010791366906474</v>
      </c>
      <c r="D2836">
        <v>-0.06602363809265001</v>
      </c>
      <c r="E2836">
        <v>0.130570629830619</v>
      </c>
      <c r="F2836">
        <v>0.320464803610871</v>
      </c>
      <c r="G2836">
        <v>0.210920299427564</v>
      </c>
      <c r="H2836">
        <v>-0.252473632706317</v>
      </c>
      <c r="I2836">
        <v>0.071122536418166</v>
      </c>
    </row>
    <row r="2837" spans="1:9">
      <c r="A2837" s="1" t="s">
        <v>2849</v>
      </c>
      <c r="B2837">
        <f>HYPERLINK("https://www.suredividend.com/sure-analysis-research-database/","Tupperware Brands Corporation")</f>
        <v>0</v>
      </c>
      <c r="C2837">
        <v>0.357142857142857</v>
      </c>
      <c r="D2837">
        <v>-0.4822888283378741</v>
      </c>
      <c r="E2837">
        <v>0.623931623931623</v>
      </c>
      <c r="F2837">
        <v>-0.541062801932367</v>
      </c>
      <c r="G2837">
        <v>-0.5787139689578711</v>
      </c>
      <c r="H2837">
        <v>-0.919011082693947</v>
      </c>
      <c r="I2837">
        <v>-0.9474554615899421</v>
      </c>
    </row>
    <row r="2838" spans="1:9">
      <c r="A2838" s="1" t="s">
        <v>2850</v>
      </c>
      <c r="B2838">
        <f>HYPERLINK("https://www.suredividend.com/sure-analysis-research-database/","Mammoth Energy Services Inc")</f>
        <v>0</v>
      </c>
      <c r="C2838">
        <v>-0.011235955056179</v>
      </c>
      <c r="D2838">
        <v>-0.109311740890688</v>
      </c>
      <c r="E2838">
        <v>0.257142857142857</v>
      </c>
      <c r="F2838">
        <v>-0.491329479768786</v>
      </c>
      <c r="G2838">
        <v>-0.269102990033222</v>
      </c>
      <c r="H2838">
        <v>0.136950904392765</v>
      </c>
      <c r="I2838">
        <v>-0.8336930351399051</v>
      </c>
    </row>
    <row r="2839" spans="1:9">
      <c r="A2839" s="1" t="s">
        <v>2851</v>
      </c>
      <c r="B2839">
        <f>HYPERLINK("https://www.suredividend.com/sure-analysis-research-database/","Tivity Health Inc")</f>
        <v>0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</row>
    <row r="2840" spans="1:9">
      <c r="A2840" s="1" t="s">
        <v>2852</v>
      </c>
      <c r="B2840">
        <f>HYPERLINK("https://www.suredividend.com/sure-analysis-research-database/","Tradeweb Markets Inc")</f>
        <v>0</v>
      </c>
      <c r="C2840">
        <v>0.144125</v>
      </c>
      <c r="D2840">
        <v>0.13389303274576</v>
      </c>
      <c r="E2840">
        <v>0.302382365119545</v>
      </c>
      <c r="F2840">
        <v>0.418113365404727</v>
      </c>
      <c r="G2840">
        <v>0.6685503864663841</v>
      </c>
      <c r="H2840">
        <v>0.0124059268829</v>
      </c>
      <c r="I2840">
        <v>1.622192809811521</v>
      </c>
    </row>
    <row r="2841" spans="1:9">
      <c r="A2841" s="1" t="s">
        <v>2853</v>
      </c>
      <c r="B2841">
        <f>HYPERLINK("https://www.suredividend.com/sure-analysis-research-database/","Titan International, Inc.")</f>
        <v>0</v>
      </c>
      <c r="C2841">
        <v>-0.09645061728395</v>
      </c>
      <c r="D2841">
        <v>-0.07795275590551101</v>
      </c>
      <c r="E2841">
        <v>0.18762677484787</v>
      </c>
      <c r="F2841">
        <v>-0.235639686684073</v>
      </c>
      <c r="G2841">
        <v>-0.199042407660738</v>
      </c>
      <c r="H2841">
        <v>0.5676037483266401</v>
      </c>
      <c r="I2841">
        <v>0.6253730307446731</v>
      </c>
    </row>
    <row r="2842" spans="1:9">
      <c r="A2842" s="1" t="s">
        <v>2854</v>
      </c>
      <c r="B2842">
        <f>HYPERLINK("https://www.suredividend.com/sure-analysis-research-database/","Twin Disc Incorporated")</f>
        <v>0</v>
      </c>
      <c r="C2842">
        <v>-0.036258158085569</v>
      </c>
      <c r="D2842">
        <v>0.047281323877068</v>
      </c>
      <c r="E2842">
        <v>0.220385674931129</v>
      </c>
      <c r="F2842">
        <v>0.367283950617283</v>
      </c>
      <c r="G2842">
        <v>0.004535147392290001</v>
      </c>
      <c r="H2842">
        <v>-0.006726457399103001</v>
      </c>
      <c r="I2842">
        <v>-0.311755567063697</v>
      </c>
    </row>
    <row r="2843" spans="1:9">
      <c r="A2843" s="1" t="s">
        <v>2855</v>
      </c>
      <c r="B2843">
        <f>HYPERLINK("https://www.suredividend.com/sure-analysis-research-database/","Twilio Inc")</f>
        <v>0</v>
      </c>
      <c r="C2843">
        <v>-0.09768326417704001</v>
      </c>
      <c r="D2843">
        <v>-0.14414562151525</v>
      </c>
      <c r="E2843">
        <v>0.041300877893056</v>
      </c>
      <c r="F2843">
        <v>0.065972222222222</v>
      </c>
      <c r="G2843">
        <v>-0.225552752633921</v>
      </c>
      <c r="H2843">
        <v>-0.826073916086246</v>
      </c>
      <c r="I2843">
        <v>-0.297766415500538</v>
      </c>
    </row>
    <row r="2844" spans="1:9">
      <c r="A2844" s="1" t="s">
        <v>2856</v>
      </c>
      <c r="B2844">
        <f>HYPERLINK("https://www.suredividend.com/sure-analysis-research-database/","Hostess Brands Inc")</f>
        <v>0</v>
      </c>
      <c r="C2844">
        <v>0.002403124061279</v>
      </c>
      <c r="D2844">
        <v>0.436504520017219</v>
      </c>
      <c r="E2844">
        <v>0.269062559421943</v>
      </c>
      <c r="F2844">
        <v>0.487076648841354</v>
      </c>
      <c r="G2844">
        <v>0.298443579766536</v>
      </c>
      <c r="H2844">
        <v>0.748951781970649</v>
      </c>
      <c r="I2844">
        <v>2.067095588235293</v>
      </c>
    </row>
    <row r="2845" spans="1:9">
      <c r="A2845" s="1" t="s">
        <v>2857</v>
      </c>
      <c r="B2845">
        <f>HYPERLINK("https://www.suredividend.com/sure-analysis-TWO/","Two Harbors Investment Corp")</f>
        <v>0</v>
      </c>
      <c r="C2845">
        <v>0.036407766990291</v>
      </c>
      <c r="D2845">
        <v>-0.025662868704078</v>
      </c>
      <c r="E2845">
        <v>0.09728206402096901</v>
      </c>
      <c r="F2845">
        <v>-0.05913978494623601</v>
      </c>
      <c r="G2845">
        <v>0.055285075253935</v>
      </c>
      <c r="H2845">
        <v>-0.330311632502626</v>
      </c>
      <c r="I2845">
        <v>-0.5983457236831791</v>
      </c>
    </row>
    <row r="2846" spans="1:9">
      <c r="A2846" s="1" t="s">
        <v>2858</v>
      </c>
      <c r="B2846">
        <f>HYPERLINK("https://www.suredividend.com/sure-analysis-research-database/","2U Inc")</f>
        <v>0</v>
      </c>
      <c r="C2846">
        <v>-0.042372881355932</v>
      </c>
      <c r="D2846">
        <v>-0.4501216545012161</v>
      </c>
      <c r="E2846">
        <v>-0.446078431372549</v>
      </c>
      <c r="F2846">
        <v>-0.6395534290271131</v>
      </c>
      <c r="G2846">
        <v>-0.6220735785953171</v>
      </c>
      <c r="H2846">
        <v>-0.9201131141746201</v>
      </c>
      <c r="I2846">
        <v>-0.9645768025078371</v>
      </c>
    </row>
    <row r="2847" spans="1:9">
      <c r="A2847" s="1" t="s">
        <v>2859</v>
      </c>
      <c r="B2847">
        <f>HYPERLINK("https://www.suredividend.com/sure-analysis-research-database/","Twist Bioscience Corp")</f>
        <v>0</v>
      </c>
      <c r="C2847">
        <v>-0.09702660406885701</v>
      </c>
      <c r="D2847">
        <v>-0.190743338008415</v>
      </c>
      <c r="E2847">
        <v>0.506527415143603</v>
      </c>
      <c r="F2847">
        <v>-0.272994540109197</v>
      </c>
      <c r="G2847">
        <v>-0.468529321461467</v>
      </c>
      <c r="H2847">
        <v>-0.8657827401721331</v>
      </c>
      <c r="I2847">
        <v>0.236428571428571</v>
      </c>
    </row>
    <row r="2848" spans="1:9">
      <c r="A2848" s="1" t="s">
        <v>2860</v>
      </c>
      <c r="B2848">
        <f>HYPERLINK("https://www.suredividend.com/sure-analysis-research-database/","Twitter Inc")</f>
        <v>0</v>
      </c>
      <c r="C2848">
        <v>0.27583749109052</v>
      </c>
      <c r="D2848">
        <v>0.347553324968632</v>
      </c>
      <c r="E2848">
        <v>0.104029605263157</v>
      </c>
      <c r="F2848">
        <v>0.242480333179083</v>
      </c>
      <c r="G2848">
        <v>-0.020251778872468</v>
      </c>
      <c r="H2848">
        <v>0.047396138092451</v>
      </c>
      <c r="I2848">
        <v>1.476937269372694</v>
      </c>
    </row>
    <row r="2849" spans="1:9">
      <c r="A2849" s="1" t="s">
        <v>2861</v>
      </c>
      <c r="B2849">
        <f>HYPERLINK("https://www.suredividend.com/sure-analysis-research-database/","TherapeuticsMD Inc")</f>
        <v>0</v>
      </c>
      <c r="C2849">
        <v>-0.264214046822742</v>
      </c>
      <c r="D2849">
        <v>-0.472422062350119</v>
      </c>
      <c r="E2849">
        <v>-0.403794037940379</v>
      </c>
      <c r="F2849">
        <v>-0.60644007155635</v>
      </c>
      <c r="G2849">
        <v>-0.5970695970695971</v>
      </c>
      <c r="H2849">
        <v>-0.941325510068009</v>
      </c>
      <c r="I2849">
        <v>-0.9912000000000001</v>
      </c>
    </row>
    <row r="2850" spans="1:9">
      <c r="A2850" s="1" t="s">
        <v>2862</v>
      </c>
      <c r="B2850">
        <f>HYPERLINK("https://www.suredividend.com/sure-analysis-TXN/","Texas Instruments Inc.")</f>
        <v>0</v>
      </c>
      <c r="C2850">
        <v>-0.06205250748619701</v>
      </c>
      <c r="D2850">
        <v>-0.129989008957611</v>
      </c>
      <c r="E2850">
        <v>-0.057637575254334</v>
      </c>
      <c r="F2850">
        <v>-0.058274950983118</v>
      </c>
      <c r="G2850">
        <v>-0.018286095862886</v>
      </c>
      <c r="H2850">
        <v>-0.155005036355835</v>
      </c>
      <c r="I2850">
        <v>0.823064594974227</v>
      </c>
    </row>
    <row r="2851" spans="1:9">
      <c r="A2851" s="1" t="s">
        <v>2863</v>
      </c>
      <c r="B2851">
        <f>HYPERLINK("https://www.suredividend.com/sure-analysis-research-database/","Texas Roadhouse Inc")</f>
        <v>0</v>
      </c>
      <c r="C2851">
        <v>0.06167720534881301</v>
      </c>
      <c r="D2851">
        <v>-0.07536055250863201</v>
      </c>
      <c r="E2851">
        <v>-0.08191419366752001</v>
      </c>
      <c r="F2851">
        <v>0.149725926981963</v>
      </c>
      <c r="G2851">
        <v>0.06797969149338801</v>
      </c>
      <c r="H2851">
        <v>0.223479043053513</v>
      </c>
      <c r="I2851">
        <v>0.8026643950021031</v>
      </c>
    </row>
    <row r="2852" spans="1:9">
      <c r="A2852" s="1" t="s">
        <v>2864</v>
      </c>
      <c r="B2852">
        <f>HYPERLINK("https://www.suredividend.com/sure-analysis-research-database/","Textron Inc.")</f>
        <v>0</v>
      </c>
      <c r="C2852">
        <v>0.002328891189028</v>
      </c>
      <c r="D2852">
        <v>0.008859261072774001</v>
      </c>
      <c r="E2852">
        <v>0.15023080337987</v>
      </c>
      <c r="F2852">
        <v>0.095130929426466</v>
      </c>
      <c r="G2852">
        <v>0.154117175593557</v>
      </c>
      <c r="H2852">
        <v>0.030753632984116</v>
      </c>
      <c r="I2852">
        <v>0.4431764412204121</v>
      </c>
    </row>
    <row r="2853" spans="1:9">
      <c r="A2853" s="1" t="s">
        <v>2865</v>
      </c>
      <c r="B2853">
        <f>HYPERLINK("https://www.suredividend.com/sure-analysis-research-database/","Tyler Technologies, Inc.")</f>
        <v>0</v>
      </c>
      <c r="C2853">
        <v>0.06117271681138101</v>
      </c>
      <c r="D2853">
        <v>0.04539716074511101</v>
      </c>
      <c r="E2853">
        <v>0.070128705559658</v>
      </c>
      <c r="F2853">
        <v>0.258490741602307</v>
      </c>
      <c r="G2853">
        <v>0.36818856217966</v>
      </c>
      <c r="H2853">
        <v>-0.251231799811769</v>
      </c>
      <c r="I2853">
        <v>1.081836839404823</v>
      </c>
    </row>
    <row r="2854" spans="1:9">
      <c r="A2854" s="1" t="s">
        <v>2866</v>
      </c>
      <c r="B2854">
        <f>HYPERLINK("https://www.suredividend.com/sure-analysis-research-database/","Tyme Technologies Inc")</f>
        <v>0</v>
      </c>
      <c r="C2854">
        <v>0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</row>
    <row r="2855" spans="1:9">
      <c r="A2855" s="1" t="s">
        <v>2867</v>
      </c>
      <c r="B2855">
        <f>HYPERLINK("https://www.suredividend.com/sure-analysis-research-database/","Travelzoo")</f>
        <v>0</v>
      </c>
      <c r="C2855">
        <v>0.321428571428571</v>
      </c>
      <c r="D2855">
        <v>-0.051282051282051</v>
      </c>
      <c r="E2855">
        <v>-0.09866017052375101</v>
      </c>
      <c r="F2855">
        <v>0.662921348314606</v>
      </c>
      <c r="G2855">
        <v>0.462450592885375</v>
      </c>
      <c r="H2855">
        <v>-0.26949654491609</v>
      </c>
      <c r="I2855">
        <v>-0.158134243458475</v>
      </c>
    </row>
    <row r="2856" spans="1:9">
      <c r="A2856" s="1" t="s">
        <v>2868</v>
      </c>
      <c r="B2856">
        <f>HYPERLINK("https://www.suredividend.com/sure-analysis-research-database/","Under Armour Inc")</f>
        <v>0</v>
      </c>
      <c r="C2856">
        <v>0.057784911717496</v>
      </c>
      <c r="D2856">
        <v>-0.06657223796033901</v>
      </c>
      <c r="E2856">
        <v>-0.13517060367454</v>
      </c>
      <c r="F2856">
        <v>-0.261210762331838</v>
      </c>
      <c r="G2856">
        <v>0.0544</v>
      </c>
      <c r="H2856">
        <v>-0.6960332103321031</v>
      </c>
      <c r="I2856">
        <v>-0.69234360410831</v>
      </c>
    </row>
    <row r="2857" spans="1:9">
      <c r="A2857" s="1" t="s">
        <v>2869</v>
      </c>
      <c r="B2857">
        <f>HYPERLINK("https://www.suredividend.com/sure-analysis-research-database/","Under Armour Inc")</f>
        <v>0</v>
      </c>
      <c r="C2857">
        <v>0.046268656716417</v>
      </c>
      <c r="D2857">
        <v>-0.08842652795838701</v>
      </c>
      <c r="E2857">
        <v>-0.168446026097271</v>
      </c>
      <c r="F2857">
        <v>-0.3100393700787401</v>
      </c>
      <c r="G2857">
        <v>-0.012676056338028</v>
      </c>
      <c r="H2857">
        <v>-0.726171875</v>
      </c>
      <c r="I2857">
        <v>-0.7042194092827001</v>
      </c>
    </row>
    <row r="2858" spans="1:9">
      <c r="A2858" s="1" t="s">
        <v>2870</v>
      </c>
      <c r="B2858">
        <f>HYPERLINK("https://www.suredividend.com/sure-analysis-research-database/","United Airlines Holdings Inc")</f>
        <v>0</v>
      </c>
      <c r="C2858">
        <v>-0.139356078808265</v>
      </c>
      <c r="D2858">
        <v>-0.319916460983482</v>
      </c>
      <c r="E2858">
        <v>-0.195598472939591</v>
      </c>
      <c r="F2858">
        <v>-0.04986737400530501</v>
      </c>
      <c r="G2858">
        <v>-0.128679153490634</v>
      </c>
      <c r="H2858">
        <v>-0.253438932888703</v>
      </c>
      <c r="I2858">
        <v>-0.596075778078484</v>
      </c>
    </row>
    <row r="2859" spans="1:9">
      <c r="A2859" s="1" t="s">
        <v>2871</v>
      </c>
      <c r="B2859">
        <f>HYPERLINK("https://www.suredividend.com/sure-analysis-research-database/","United States Antimony Corp.")</f>
        <v>0</v>
      </c>
      <c r="C2859">
        <v>-0.07027027027027001</v>
      </c>
      <c r="D2859">
        <v>-0.184834123222748</v>
      </c>
      <c r="E2859">
        <v>-0.027974003955919</v>
      </c>
      <c r="F2859">
        <v>-0.293489422879441</v>
      </c>
      <c r="G2859">
        <v>-0.034250421111735</v>
      </c>
      <c r="H2859">
        <v>-0.613222397121655</v>
      </c>
      <c r="I2859">
        <v>-0.493372606774668</v>
      </c>
    </row>
    <row r="2860" spans="1:9">
      <c r="A2860" s="1" t="s">
        <v>2872</v>
      </c>
      <c r="B2860">
        <f>HYPERLINK("https://www.suredividend.com/sure-analysis-research-database/","Urstadt Biddle Properties, Inc.")</f>
        <v>0</v>
      </c>
      <c r="C2860">
        <v>-0.041704442429737</v>
      </c>
      <c r="D2860">
        <v>0.259743045789335</v>
      </c>
      <c r="E2860">
        <v>0.192847429509713</v>
      </c>
      <c r="F2860">
        <v>0.158235580953215</v>
      </c>
      <c r="G2860">
        <v>0.21746141442064</v>
      </c>
      <c r="H2860">
        <v>0.235253215222713</v>
      </c>
      <c r="I2860">
        <v>0.199242106218586</v>
      </c>
    </row>
    <row r="2861" spans="1:9">
      <c r="A2861" s="1" t="s">
        <v>2873</v>
      </c>
      <c r="B2861">
        <f>HYPERLINK("https://www.suredividend.com/sure-analysis-research-database/","United Bancorp, Inc. (Martins Ferry, OH)")</f>
        <v>0</v>
      </c>
      <c r="C2861">
        <v>-0.07672413793103401</v>
      </c>
      <c r="D2861">
        <v>-0.06388483423506801</v>
      </c>
      <c r="E2861">
        <v>-0.098727615457115</v>
      </c>
      <c r="F2861">
        <v>-0.223220696707935</v>
      </c>
      <c r="G2861">
        <v>-0.243809617950872</v>
      </c>
      <c r="H2861">
        <v>-0.203409496608354</v>
      </c>
      <c r="I2861">
        <v>0.05719305865397901</v>
      </c>
    </row>
    <row r="2862" spans="1:9">
      <c r="A2862" s="1" t="s">
        <v>2874</v>
      </c>
      <c r="B2862">
        <f>HYPERLINK("https://www.suredividend.com/sure-analysis-research-database/","Uber Technologies Inc")</f>
        <v>0</v>
      </c>
      <c r="C2862">
        <v>0.017513134851138</v>
      </c>
      <c r="D2862">
        <v>-0.010221465076661</v>
      </c>
      <c r="E2862">
        <v>0.272727272727272</v>
      </c>
      <c r="F2862">
        <v>0.879498584714921</v>
      </c>
      <c r="G2862">
        <v>0.6133287053106561</v>
      </c>
      <c r="H2862">
        <v>0.083702494754021</v>
      </c>
      <c r="I2862">
        <v>0.118114024536925</v>
      </c>
    </row>
    <row r="2863" spans="1:9">
      <c r="A2863" s="1" t="s">
        <v>2875</v>
      </c>
      <c r="B2863">
        <f>HYPERLINK("https://www.suredividend.com/sure-analysis-research-database/","United Security Bancshares (CA)")</f>
        <v>0</v>
      </c>
      <c r="C2863">
        <v>0.09474100546664201</v>
      </c>
      <c r="D2863">
        <v>0.143152149863559</v>
      </c>
      <c r="E2863">
        <v>0.467163924805482</v>
      </c>
      <c r="F2863">
        <v>0.194236844132829</v>
      </c>
      <c r="G2863">
        <v>0.272577996715927</v>
      </c>
      <c r="H2863">
        <v>0.153205166359145</v>
      </c>
      <c r="I2863">
        <v>0.007108234896625001</v>
      </c>
    </row>
    <row r="2864" spans="1:9">
      <c r="A2864" s="1" t="s">
        <v>2876</v>
      </c>
      <c r="B2864">
        <f>HYPERLINK("https://www.suredividend.com/sure-analysis-research-database/","United Bancshares Inc. (OH)")</f>
        <v>0</v>
      </c>
      <c r="C2864">
        <v>-0.014204545454545</v>
      </c>
      <c r="D2864">
        <v>-0.06216216216216201</v>
      </c>
      <c r="E2864">
        <v>-0.121518987341772</v>
      </c>
      <c r="F2864">
        <v>-0.05231649897857701</v>
      </c>
      <c r="G2864">
        <v>-0.055530454379671</v>
      </c>
      <c r="H2864">
        <v>-0.088506779723347</v>
      </c>
      <c r="I2864">
        <v>-0.088506779723347</v>
      </c>
    </row>
    <row r="2865" spans="1:9">
      <c r="A2865" s="1" t="s">
        <v>2877</v>
      </c>
      <c r="B2865">
        <f>HYPERLINK("https://www.suredividend.com/sure-analysis-UBSI/","United Bankshares, Inc.")</f>
        <v>0</v>
      </c>
      <c r="C2865">
        <v>0.09331373989713401</v>
      </c>
      <c r="D2865">
        <v>-0.07623254355768401</v>
      </c>
      <c r="E2865">
        <v>0.025948640514629</v>
      </c>
      <c r="F2865">
        <v>-0.22301098906837</v>
      </c>
      <c r="G2865">
        <v>-0.250917475068338</v>
      </c>
      <c r="H2865">
        <v>-0.120317820658342</v>
      </c>
      <c r="I2865">
        <v>0.087902205780211</v>
      </c>
    </row>
    <row r="2866" spans="1:9">
      <c r="A2866" s="1" t="s">
        <v>2878</v>
      </c>
      <c r="B2866">
        <f>HYPERLINK("https://www.suredividend.com/sure-analysis-research-database/","United Community Banks Inc")</f>
        <v>0</v>
      </c>
      <c r="C2866">
        <v>-0.057165861513687</v>
      </c>
      <c r="D2866">
        <v>-0.176239685409382</v>
      </c>
      <c r="E2866">
        <v>0.05918214133885601</v>
      </c>
      <c r="F2866">
        <v>-0.282312779245294</v>
      </c>
      <c r="G2866">
        <v>-0.360053337996764</v>
      </c>
      <c r="H2866">
        <v>-0.29411268276363</v>
      </c>
      <c r="I2866">
        <v>0.079342255650186</v>
      </c>
    </row>
    <row r="2867" spans="1:9">
      <c r="A2867" s="1" t="s">
        <v>2879</v>
      </c>
      <c r="B2867">
        <f>HYPERLINK("https://www.suredividend.com/sure-analysis-research-database/","Ultra Clean Hldgs Inc")</f>
        <v>0</v>
      </c>
      <c r="C2867">
        <v>-0.15457627118644</v>
      </c>
      <c r="D2867">
        <v>-0.305679287305122</v>
      </c>
      <c r="E2867">
        <v>-0.094408133623819</v>
      </c>
      <c r="F2867">
        <v>-0.247662141779788</v>
      </c>
      <c r="G2867">
        <v>-0.181221273801707</v>
      </c>
      <c r="H2867">
        <v>-0.531819035104186</v>
      </c>
      <c r="I2867">
        <v>1.164930555555555</v>
      </c>
    </row>
    <row r="2868" spans="1:9">
      <c r="A2868" s="1" t="s">
        <v>2880</v>
      </c>
      <c r="B2868">
        <f>HYPERLINK("https://www.suredividend.com/sure-analysis-UDR/","UDR Inc")</f>
        <v>0</v>
      </c>
      <c r="C2868">
        <v>-0.07103447481484</v>
      </c>
      <c r="D2868">
        <v>-0.193381023700996</v>
      </c>
      <c r="E2868">
        <v>-0.17961081103075</v>
      </c>
      <c r="F2868">
        <v>-0.131219282299872</v>
      </c>
      <c r="G2868">
        <v>-0.133678322354375</v>
      </c>
      <c r="H2868">
        <v>-0.371531099080284</v>
      </c>
      <c r="I2868">
        <v>-0.005278867263622001</v>
      </c>
    </row>
    <row r="2869" spans="1:9">
      <c r="A2869" s="1" t="s">
        <v>2881</v>
      </c>
      <c r="B2869">
        <f>HYPERLINK("https://www.suredividend.com/sure-analysis-UE/","Urban Edge Properties")</f>
        <v>0</v>
      </c>
      <c r="C2869">
        <v>0.122147651006711</v>
      </c>
      <c r="D2869">
        <v>-0.037315538256919</v>
      </c>
      <c r="E2869">
        <v>0.196953210010881</v>
      </c>
      <c r="F2869">
        <v>0.225357273726639</v>
      </c>
      <c r="G2869">
        <v>0.263421969336325</v>
      </c>
      <c r="H2869">
        <v>-0.017868681054029</v>
      </c>
      <c r="I2869">
        <v>0.016592590791081</v>
      </c>
    </row>
    <row r="2870" spans="1:9">
      <c r="A2870" s="1" t="s">
        <v>2882</v>
      </c>
      <c r="B2870">
        <f>HYPERLINK("https://www.suredividend.com/sure-analysis-research-database/","Uranium Energy Corp")</f>
        <v>0</v>
      </c>
      <c r="C2870">
        <v>0.218556701030927</v>
      </c>
      <c r="D2870">
        <v>0.678977272727272</v>
      </c>
      <c r="E2870">
        <v>1.493670886075949</v>
      </c>
      <c r="F2870">
        <v>0.523195876288659</v>
      </c>
      <c r="G2870">
        <v>0.5718085106382981</v>
      </c>
      <c r="H2870">
        <v>0.4775</v>
      </c>
      <c r="I2870">
        <v>3.443609022556391</v>
      </c>
    </row>
    <row r="2871" spans="1:9">
      <c r="A2871" s="1" t="s">
        <v>2883</v>
      </c>
      <c r="B2871">
        <f>HYPERLINK("https://www.suredividend.com/sure-analysis-research-database/","Universal Electronics Inc.")</f>
        <v>0</v>
      </c>
      <c r="C2871">
        <v>-0.117977528089887</v>
      </c>
      <c r="D2871">
        <v>-0.324440619621342</v>
      </c>
      <c r="E2871">
        <v>-0.223541048466864</v>
      </c>
      <c r="F2871">
        <v>-0.6227775108121091</v>
      </c>
      <c r="G2871">
        <v>-0.6185617103984451</v>
      </c>
      <c r="H2871">
        <v>-0.814727401463299</v>
      </c>
      <c r="I2871">
        <v>-0.7601588756492511</v>
      </c>
    </row>
    <row r="2872" spans="1:9">
      <c r="A2872" s="1" t="s">
        <v>2884</v>
      </c>
      <c r="B2872">
        <f>HYPERLINK("https://www.suredividend.com/sure-analysis-research-database/","Unique Fabricating Inc")</f>
        <v>0</v>
      </c>
      <c r="C2872">
        <v>0.01</v>
      </c>
      <c r="D2872">
        <v>-0.225783972125435</v>
      </c>
      <c r="E2872">
        <v>0.188235294117647</v>
      </c>
      <c r="F2872">
        <v>-0.5970988213961921</v>
      </c>
      <c r="G2872">
        <v>-0.5013464991023341</v>
      </c>
      <c r="H2872">
        <v>-0.9314197530864191</v>
      </c>
      <c r="I2872">
        <v>-0.967561570241901</v>
      </c>
    </row>
    <row r="2873" spans="1:9">
      <c r="A2873" s="1" t="s">
        <v>2885</v>
      </c>
      <c r="B2873">
        <f>HYPERLINK("https://www.suredividend.com/sure-analysis-research-database/","United Fire Group Inc")</f>
        <v>0</v>
      </c>
      <c r="C2873">
        <v>0.014987080103359</v>
      </c>
      <c r="D2873">
        <v>-0.041006259826756</v>
      </c>
      <c r="E2873">
        <v>-0.247650824174771</v>
      </c>
      <c r="F2873">
        <v>-0.255437316844782</v>
      </c>
      <c r="G2873">
        <v>-0.233303664839712</v>
      </c>
      <c r="H2873">
        <v>-0.052996513831362</v>
      </c>
      <c r="I2873">
        <v>-0.5791954577106431</v>
      </c>
    </row>
    <row r="2874" spans="1:9">
      <c r="A2874" s="1" t="s">
        <v>2886</v>
      </c>
      <c r="B2874">
        <f>HYPERLINK("https://www.suredividend.com/sure-analysis-research-database/","UNIFI, Inc.")</f>
        <v>0</v>
      </c>
      <c r="C2874">
        <v>-0.137535816618911</v>
      </c>
      <c r="D2874">
        <v>-0.222222222222222</v>
      </c>
      <c r="E2874">
        <v>-0.286729857819905</v>
      </c>
      <c r="F2874">
        <v>-0.300813008130081</v>
      </c>
      <c r="G2874">
        <v>-0.3588924387646431</v>
      </c>
      <c r="H2874">
        <v>-0.7513424204874021</v>
      </c>
      <c r="I2874">
        <v>-0.7718832891246681</v>
      </c>
    </row>
    <row r="2875" spans="1:9">
      <c r="A2875" s="1" t="s">
        <v>2887</v>
      </c>
      <c r="B2875">
        <f>HYPERLINK("https://www.suredividend.com/sure-analysis-research-database/","UFP Industries Inc")</f>
        <v>0</v>
      </c>
      <c r="C2875">
        <v>-0.033745340396311</v>
      </c>
      <c r="D2875">
        <v>-0.032711060482564</v>
      </c>
      <c r="E2875">
        <v>0.271766903847966</v>
      </c>
      <c r="F2875">
        <v>0.257604678034051</v>
      </c>
      <c r="G2875">
        <v>0.449324408830137</v>
      </c>
      <c r="H2875">
        <v>0.213816559661856</v>
      </c>
      <c r="I2875">
        <v>2.594615011258261</v>
      </c>
    </row>
    <row r="2876" spans="1:9">
      <c r="A2876" s="1" t="s">
        <v>2888</v>
      </c>
      <c r="B2876">
        <f>HYPERLINK("https://www.suredividend.com/sure-analysis-research-database/","UFP Technologies Inc.")</f>
        <v>0</v>
      </c>
      <c r="C2876">
        <v>-0.138017252156519</v>
      </c>
      <c r="D2876">
        <v>-0.250421264336576</v>
      </c>
      <c r="E2876">
        <v>-0.04036186499652</v>
      </c>
      <c r="F2876">
        <v>0.16973449826109</v>
      </c>
      <c r="G2876">
        <v>0.317977635477396</v>
      </c>
      <c r="H2876">
        <v>1.209935897435897</v>
      </c>
      <c r="I2876">
        <v>3.028629856850716</v>
      </c>
    </row>
    <row r="2877" spans="1:9">
      <c r="A2877" s="1" t="s">
        <v>2889</v>
      </c>
      <c r="B2877">
        <f>HYPERLINK("https://www.suredividend.com/sure-analysis-research-database/","Domtar Corporation")</f>
        <v>0</v>
      </c>
      <c r="C2877">
        <v>0.016486535995603</v>
      </c>
      <c r="D2877">
        <v>0.010746812386156</v>
      </c>
      <c r="E2877">
        <v>0.023234372118753</v>
      </c>
      <c r="F2877">
        <v>0.7532385466034751</v>
      </c>
      <c r="G2877">
        <v>0.79405108309085</v>
      </c>
      <c r="H2877">
        <v>0.537046731871352</v>
      </c>
      <c r="I2877">
        <v>0.6764046573173901</v>
      </c>
    </row>
    <row r="2878" spans="1:9">
      <c r="A2878" s="1" t="s">
        <v>2890</v>
      </c>
      <c r="B2878">
        <f>HYPERLINK("https://www.suredividend.com/sure-analysis-research-database/","United-Guardian, Inc.")</f>
        <v>0</v>
      </c>
      <c r="C2878">
        <v>-0.192886456908344</v>
      </c>
      <c r="D2878">
        <v>-0.257861635220125</v>
      </c>
      <c r="E2878">
        <v>-0.3816226640534111</v>
      </c>
      <c r="F2878">
        <v>-0.421903016882391</v>
      </c>
      <c r="G2878">
        <v>-0.549937830395215</v>
      </c>
      <c r="H2878">
        <v>-0.560586877187756</v>
      </c>
      <c r="I2878">
        <v>-0.57758176298757</v>
      </c>
    </row>
    <row r="2879" spans="1:9">
      <c r="A2879" s="1" t="s">
        <v>2891</v>
      </c>
      <c r="B2879">
        <f>HYPERLINK("https://www.suredividend.com/sure-analysis-UGI/","UGI Corp.")</f>
        <v>0</v>
      </c>
      <c r="C2879">
        <v>-0.003187613843351</v>
      </c>
      <c r="D2879">
        <v>-0.168502620983058</v>
      </c>
      <c r="E2879">
        <v>-0.310181829641067</v>
      </c>
      <c r="F2879">
        <v>-0.385745593727814</v>
      </c>
      <c r="G2879">
        <v>-0.337692240197754</v>
      </c>
      <c r="H2879">
        <v>-0.46259261623368</v>
      </c>
      <c r="I2879">
        <v>-0.5141051566117431</v>
      </c>
    </row>
    <row r="2880" spans="1:9">
      <c r="A2880" s="1" t="s">
        <v>2892</v>
      </c>
      <c r="B2880">
        <f>HYPERLINK("https://www.suredividend.com/sure-analysis-research-database/","U-Haul Holding Company")</f>
        <v>0</v>
      </c>
      <c r="C2880">
        <v>-0.069910514541386</v>
      </c>
      <c r="D2880">
        <v>-0.146011639849366</v>
      </c>
      <c r="E2880">
        <v>-0.176868503547269</v>
      </c>
      <c r="F2880">
        <v>-0.171124771556737</v>
      </c>
      <c r="G2880">
        <v>-0.908746707638279</v>
      </c>
      <c r="H2880">
        <v>-0.933222997576673</v>
      </c>
      <c r="I2880">
        <v>-0.8455045828375991</v>
      </c>
    </row>
    <row r="2881" spans="1:9">
      <c r="A2881" s="1" t="s">
        <v>2893</v>
      </c>
      <c r="B2881">
        <f>HYPERLINK("https://www.suredividend.com/sure-analysis-research-database/","Universal Health Services, Inc.")</f>
        <v>0</v>
      </c>
      <c r="C2881">
        <v>-0.001108910891089</v>
      </c>
      <c r="D2881">
        <v>-0.075355824136504</v>
      </c>
      <c r="E2881">
        <v>-0.121233047100542</v>
      </c>
      <c r="F2881">
        <v>-0.100978294731694</v>
      </c>
      <c r="G2881">
        <v>0.121342587899707</v>
      </c>
      <c r="H2881">
        <v>0.03882389089012901</v>
      </c>
      <c r="I2881">
        <v>0.04551917393124601</v>
      </c>
    </row>
    <row r="2882" spans="1:9">
      <c r="A2882" s="1" t="s">
        <v>2894</v>
      </c>
      <c r="B2882">
        <f>HYPERLINK("https://www.suredividend.com/sure-analysis-UHT/","Universal Health Realty Income Trust")</f>
        <v>0</v>
      </c>
      <c r="C2882">
        <v>-0.004419346918733</v>
      </c>
      <c r="D2882">
        <v>-0.134800438680714</v>
      </c>
      <c r="E2882">
        <v>-0.021297342176654</v>
      </c>
      <c r="F2882">
        <v>-0.111010751179472</v>
      </c>
      <c r="G2882">
        <v>-0.105065922764209</v>
      </c>
      <c r="H2882">
        <v>-0.217925796490984</v>
      </c>
      <c r="I2882">
        <v>-0.226965281113932</v>
      </c>
    </row>
    <row r="2883" spans="1:9">
      <c r="A2883" s="1" t="s">
        <v>2895</v>
      </c>
      <c r="B2883">
        <f>HYPERLINK("https://www.suredividend.com/sure-analysis-research-database/","Ubiquiti Inc")</f>
        <v>0</v>
      </c>
      <c r="C2883">
        <v>-0.118857385278936</v>
      </c>
      <c r="D2883">
        <v>-0.288363933722253</v>
      </c>
      <c r="E2883">
        <v>-0.461573491200342</v>
      </c>
      <c r="F2883">
        <v>-0.5403072217359211</v>
      </c>
      <c r="G2883">
        <v>-0.6236673439164681</v>
      </c>
      <c r="H2883">
        <v>-0.5975488652602511</v>
      </c>
      <c r="I2883">
        <v>0.351623966108533</v>
      </c>
    </row>
    <row r="2884" spans="1:9">
      <c r="A2884" s="1" t="s">
        <v>2896</v>
      </c>
      <c r="B2884">
        <f>HYPERLINK("https://www.suredividend.com/sure-analysis-research-database/","American Coastal Insurance Corp")</f>
        <v>0</v>
      </c>
      <c r="C2884">
        <v>0.910843373493975</v>
      </c>
      <c r="D2884">
        <v>0.8791469194312791</v>
      </c>
      <c r="E2884">
        <v>4.251655629139073</v>
      </c>
      <c r="F2884">
        <v>6.481132075471698</v>
      </c>
      <c r="G2884">
        <v>6.209090909090908</v>
      </c>
      <c r="H2884">
        <v>0.9946173000980961</v>
      </c>
      <c r="I2884">
        <v>-0.5780972344885561</v>
      </c>
    </row>
    <row r="2885" spans="1:9">
      <c r="A2885" s="1" t="s">
        <v>2897</v>
      </c>
      <c r="B2885">
        <f>HYPERLINK("https://www.suredividend.com/sure-analysis-research-database/","Unisys Corp.")</f>
        <v>0</v>
      </c>
      <c r="C2885">
        <v>-0.220055710306406</v>
      </c>
      <c r="D2885">
        <v>-0.467680608365019</v>
      </c>
      <c r="E2885">
        <v>-0.171597633136094</v>
      </c>
      <c r="F2885">
        <v>-0.452054794520548</v>
      </c>
      <c r="G2885">
        <v>-0.684684684684684</v>
      </c>
      <c r="H2885">
        <v>-0.8941398865784491</v>
      </c>
      <c r="I2885">
        <v>-0.8460692688290271</v>
      </c>
    </row>
    <row r="2886" spans="1:9">
      <c r="A2886" s="1" t="s">
        <v>2898</v>
      </c>
      <c r="B2886">
        <f>HYPERLINK("https://www.suredividend.com/sure-analysis-research-database/","Ultralife Corp")</f>
        <v>0</v>
      </c>
      <c r="C2886">
        <v>-0.283201407211961</v>
      </c>
      <c r="D2886">
        <v>-0.029761904761904</v>
      </c>
      <c r="E2886">
        <v>1.032418952618454</v>
      </c>
      <c r="F2886">
        <v>1.11139896373057</v>
      </c>
      <c r="G2886">
        <v>0.7157894736842101</v>
      </c>
      <c r="H2886">
        <v>0.275430359937402</v>
      </c>
      <c r="I2886">
        <v>0.08521970705725701</v>
      </c>
    </row>
    <row r="2887" spans="1:9">
      <c r="A2887" s="1" t="s">
        <v>2899</v>
      </c>
      <c r="B2887">
        <f>HYPERLINK("https://www.suredividend.com/sure-analysis-research-database/","Universal Logistics Holdings Inc")</f>
        <v>0</v>
      </c>
      <c r="C2887">
        <v>-0.08148446954417</v>
      </c>
      <c r="D2887">
        <v>-0.279817819527469</v>
      </c>
      <c r="E2887">
        <v>-0.109273414334556</v>
      </c>
      <c r="F2887">
        <v>-0.306120583260959</v>
      </c>
      <c r="G2887">
        <v>-0.28258157208212</v>
      </c>
      <c r="H2887">
        <v>0.136000798243863</v>
      </c>
      <c r="I2887">
        <v>-0.088116682618951</v>
      </c>
    </row>
    <row r="2888" spans="1:9">
      <c r="A2888" s="1" t="s">
        <v>2900</v>
      </c>
      <c r="B2888">
        <f>HYPERLINK("https://www.suredividend.com/sure-analysis-research-database/","Ulta Beauty Inc")</f>
        <v>0</v>
      </c>
      <c r="C2888">
        <v>-0.056160813996773</v>
      </c>
      <c r="D2888">
        <v>-0.132165023731288</v>
      </c>
      <c r="E2888">
        <v>-0.283685538855614</v>
      </c>
      <c r="F2888">
        <v>-0.189204169953311</v>
      </c>
      <c r="G2888">
        <v>-0.06502446099761501</v>
      </c>
      <c r="H2888">
        <v>0.022750497499058</v>
      </c>
      <c r="I2888">
        <v>0.3488916474552221</v>
      </c>
    </row>
    <row r="2889" spans="1:9">
      <c r="A2889" s="1" t="s">
        <v>2901</v>
      </c>
      <c r="B2889">
        <f>HYPERLINK("https://www.suredividend.com/sure-analysis-UMBF/","UMB Financial Corp.")</f>
        <v>0</v>
      </c>
      <c r="C2889">
        <v>0.109950248756219</v>
      </c>
      <c r="D2889">
        <v>-0.022628636849514</v>
      </c>
      <c r="E2889">
        <v>0.222135386233493</v>
      </c>
      <c r="F2889">
        <v>-0.175607947568024</v>
      </c>
      <c r="G2889">
        <v>-0.146612332745962</v>
      </c>
      <c r="H2889">
        <v>-0.297703291445264</v>
      </c>
      <c r="I2889">
        <v>0.149081919085267</v>
      </c>
    </row>
    <row r="2890" spans="1:9">
      <c r="A2890" s="1" t="s">
        <v>2902</v>
      </c>
      <c r="B2890">
        <f>HYPERLINK("https://www.suredividend.com/sure-analysis-UMH/","UMH Properties Inc")</f>
        <v>0</v>
      </c>
      <c r="C2890">
        <v>0.056</v>
      </c>
      <c r="D2890">
        <v>-0.109612141652613</v>
      </c>
      <c r="E2890">
        <v>-0.011283084905724</v>
      </c>
      <c r="F2890">
        <v>-0.06404702970297001</v>
      </c>
      <c r="G2890">
        <v>-0.109950532374629</v>
      </c>
      <c r="H2890">
        <v>-0.346775717332037</v>
      </c>
      <c r="I2890">
        <v>0.380805660162045</v>
      </c>
    </row>
    <row r="2891" spans="1:9">
      <c r="A2891" s="1" t="s">
        <v>2903</v>
      </c>
      <c r="B2891">
        <f>HYPERLINK("https://www.suredividend.com/sure-analysis-research-database/","Umpqua Holdings Corp")</f>
        <v>0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</row>
    <row r="2892" spans="1:9">
      <c r="A2892" s="1" t="s">
        <v>2904</v>
      </c>
      <c r="B2892">
        <f>HYPERLINK("https://www.suredividend.com/sure-analysis-research-database/","Unico American Corp.")</f>
        <v>0</v>
      </c>
      <c r="C2892">
        <v>0.049999999999999</v>
      </c>
      <c r="D2892">
        <v>-0.881355932203389</v>
      </c>
      <c r="E2892">
        <v>-0.9975862068965511</v>
      </c>
      <c r="F2892">
        <v>-0.9975862068965511</v>
      </c>
      <c r="G2892">
        <v>-0.9975862068965511</v>
      </c>
      <c r="H2892">
        <v>-0.9975862068965511</v>
      </c>
      <c r="I2892">
        <v>-0.9975862068965511</v>
      </c>
    </row>
    <row r="2893" spans="1:9">
      <c r="A2893" s="1" t="s">
        <v>2905</v>
      </c>
      <c r="B2893">
        <f>HYPERLINK("https://www.suredividend.com/sure-analysis-research-database/","Union Bankshares, Inc.")</f>
        <v>0</v>
      </c>
      <c r="C2893">
        <v>0.279563975827032</v>
      </c>
      <c r="D2893">
        <v>0.191701604103252</v>
      </c>
      <c r="E2893">
        <v>0.351723792343155</v>
      </c>
      <c r="F2893">
        <v>0.243162032748505</v>
      </c>
      <c r="G2893">
        <v>0.239545997610513</v>
      </c>
      <c r="H2893">
        <v>-0.028757421589489</v>
      </c>
      <c r="I2893">
        <v>-0.25079017681074</v>
      </c>
    </row>
    <row r="2894" spans="1:9">
      <c r="A2894" s="1" t="s">
        <v>2906</v>
      </c>
      <c r="B2894">
        <f>HYPERLINK("https://www.suredividend.com/sure-analysis-UNF/","Unifirst Corp.")</f>
        <v>0</v>
      </c>
      <c r="C2894">
        <v>0.02372218146246</v>
      </c>
      <c r="D2894">
        <v>0.009547409959814001</v>
      </c>
      <c r="E2894">
        <v>0.041662130442924</v>
      </c>
      <c r="F2894">
        <v>-0.12793301792258</v>
      </c>
      <c r="G2894">
        <v>-0.06711438935939801</v>
      </c>
      <c r="H2894">
        <v>-0.13606153652467</v>
      </c>
      <c r="I2894">
        <v>0.147934348905129</v>
      </c>
    </row>
    <row r="2895" spans="1:9">
      <c r="A2895" s="1" t="s">
        <v>2907</v>
      </c>
      <c r="B2895">
        <f>HYPERLINK("https://www.suredividend.com/sure-analysis-research-database/","United Natural Foods Inc.")</f>
        <v>0</v>
      </c>
      <c r="C2895">
        <v>0.147304479878511</v>
      </c>
      <c r="D2895">
        <v>-0.269342359767891</v>
      </c>
      <c r="E2895">
        <v>-0.438289962825278</v>
      </c>
      <c r="F2895">
        <v>-0.609661586153448</v>
      </c>
      <c r="G2895">
        <v>-0.641858260251244</v>
      </c>
      <c r="H2895">
        <v>-0.66354932086395</v>
      </c>
      <c r="I2895">
        <v>-0.315980081484834</v>
      </c>
    </row>
    <row r="2896" spans="1:9">
      <c r="A2896" s="1" t="s">
        <v>2908</v>
      </c>
      <c r="B2896">
        <f>HYPERLINK("https://www.suredividend.com/sure-analysis-UNH/","Unitedhealth Group Inc")</f>
        <v>0</v>
      </c>
      <c r="C2896">
        <v>0.041899061352196</v>
      </c>
      <c r="D2896">
        <v>0.066198660614407</v>
      </c>
      <c r="E2896">
        <v>0.095333193725834</v>
      </c>
      <c r="F2896">
        <v>0.022956952922762</v>
      </c>
      <c r="G2896">
        <v>0.001091597463072</v>
      </c>
      <c r="H2896">
        <v>0.219114814360873</v>
      </c>
      <c r="I2896">
        <v>1.212950629733111</v>
      </c>
    </row>
    <row r="2897" spans="1:9">
      <c r="A2897" s="1" t="s">
        <v>2909</v>
      </c>
      <c r="B2897">
        <f>HYPERLINK("https://www.suredividend.com/sure-analysis-UNIT/","Uniti Group Inc")</f>
        <v>0</v>
      </c>
      <c r="C2897">
        <v>0.08114035087719301</v>
      </c>
      <c r="D2897">
        <v>-0.08355795148247901</v>
      </c>
      <c r="E2897">
        <v>0.761217490711631</v>
      </c>
      <c r="F2897">
        <v>0.023819907378564</v>
      </c>
      <c r="G2897">
        <v>-0.190236851614598</v>
      </c>
      <c r="H2897">
        <v>-0.569379662142096</v>
      </c>
      <c r="I2897">
        <v>-0.6280227864337721</v>
      </c>
    </row>
    <row r="2898" spans="1:9">
      <c r="A2898" s="1" t="s">
        <v>2910</v>
      </c>
      <c r="B2898">
        <f>HYPERLINK("https://www.suredividend.com/sure-analysis-UNM/","Unum Group")</f>
        <v>0</v>
      </c>
      <c r="C2898">
        <v>-0.12352723839238</v>
      </c>
      <c r="D2898">
        <v>-0.125664709821017</v>
      </c>
      <c r="E2898">
        <v>0.058332197340537</v>
      </c>
      <c r="F2898">
        <v>0.07379782423916201</v>
      </c>
      <c r="G2898">
        <v>-0.018753978412587</v>
      </c>
      <c r="H2898">
        <v>0.7550926458740931</v>
      </c>
      <c r="I2898">
        <v>0.41702756068827</v>
      </c>
    </row>
    <row r="2899" spans="1:9">
      <c r="A2899" s="1" t="s">
        <v>2911</v>
      </c>
      <c r="B2899">
        <f>HYPERLINK("https://www.suredividend.com/sure-analysis-UNP/","Union Pacific Corp.")</f>
        <v>0</v>
      </c>
      <c r="C2899">
        <v>0.04318002368732701</v>
      </c>
      <c r="D2899">
        <v>-0.07633770236654801</v>
      </c>
      <c r="E2899">
        <v>0.091795189366217</v>
      </c>
      <c r="F2899">
        <v>0.040770186677905</v>
      </c>
      <c r="G2899">
        <v>0.126266043656861</v>
      </c>
      <c r="H2899">
        <v>-0.078876158322272</v>
      </c>
      <c r="I2899">
        <v>0.587255105136222</v>
      </c>
    </row>
    <row r="2900" spans="1:9">
      <c r="A2900" s="1" t="s">
        <v>2912</v>
      </c>
      <c r="B2900">
        <f>HYPERLINK("https://www.suredividend.com/sure-analysis-research-database/","Unity Bancorp, Inc.")</f>
        <v>0</v>
      </c>
      <c r="C2900">
        <v>0.055484421681604</v>
      </c>
      <c r="D2900">
        <v>-0.06133402161247101</v>
      </c>
      <c r="E2900">
        <v>0.190413154715201</v>
      </c>
      <c r="F2900">
        <v>-0.07230958525898801</v>
      </c>
      <c r="G2900">
        <v>-0.09914504384063601</v>
      </c>
      <c r="H2900">
        <v>-0.0280845444613</v>
      </c>
      <c r="I2900">
        <v>0.292409641072809</v>
      </c>
    </row>
    <row r="2901" spans="1:9">
      <c r="A2901" s="1" t="s">
        <v>2913</v>
      </c>
      <c r="B2901">
        <f>HYPERLINK("https://www.suredividend.com/sure-analysis-research-database/","Univar Solutions Inc")</f>
        <v>0</v>
      </c>
      <c r="C2901">
        <v>0.008370535714285001</v>
      </c>
      <c r="D2901">
        <v>0.018028169014084</v>
      </c>
      <c r="E2901">
        <v>0.04814385150812001</v>
      </c>
      <c r="F2901">
        <v>0.136477987421383</v>
      </c>
      <c r="G2901">
        <v>0.336538461538461</v>
      </c>
      <c r="H2901">
        <v>0.472697636511817</v>
      </c>
      <c r="I2901">
        <v>0.314659876318661</v>
      </c>
    </row>
    <row r="2902" spans="1:9">
      <c r="A2902" s="1" t="s">
        <v>2914</v>
      </c>
      <c r="B2902">
        <f>HYPERLINK("https://www.suredividend.com/sure-analysis-research-database/","Urban One Inc")</f>
        <v>0</v>
      </c>
      <c r="C2902">
        <v>0.140039447731755</v>
      </c>
      <c r="D2902">
        <v>0.041441441441441</v>
      </c>
      <c r="E2902">
        <v>-0.185915492957746</v>
      </c>
      <c r="F2902">
        <v>0.27032967032967</v>
      </c>
      <c r="G2902">
        <v>0.005217391304347001</v>
      </c>
      <c r="H2902">
        <v>-0.474545454545454</v>
      </c>
      <c r="I2902">
        <v>1.164794007490636</v>
      </c>
    </row>
    <row r="2903" spans="1:9">
      <c r="A2903" s="1" t="s">
        <v>2915</v>
      </c>
      <c r="B2903">
        <f>HYPERLINK("https://www.suredividend.com/sure-analysis-research-database/","Urban One Inc")</f>
        <v>0</v>
      </c>
      <c r="C2903">
        <v>0.140873015873015</v>
      </c>
      <c r="D2903">
        <v>0.026785714285714</v>
      </c>
      <c r="E2903">
        <v>0</v>
      </c>
      <c r="F2903">
        <v>0.5292553191489361</v>
      </c>
      <c r="G2903">
        <v>0.168699186991869</v>
      </c>
      <c r="H2903">
        <v>-0.216621253405994</v>
      </c>
      <c r="I2903">
        <v>1.674418604651163</v>
      </c>
    </row>
    <row r="2904" spans="1:9">
      <c r="A2904" s="1" t="s">
        <v>2916</v>
      </c>
      <c r="B2904">
        <f>HYPERLINK("https://www.suredividend.com/sure-analysis-research-database/","Upland Software Inc")</f>
        <v>0</v>
      </c>
      <c r="C2904">
        <v>-0.158371040723981</v>
      </c>
      <c r="D2904">
        <v>0.056818181818181</v>
      </c>
      <c r="E2904">
        <v>0.024793388429752</v>
      </c>
      <c r="F2904">
        <v>-0.478260869565217</v>
      </c>
      <c r="G2904">
        <v>-0.50531914893617</v>
      </c>
      <c r="H2904">
        <v>-0.8874432677760961</v>
      </c>
      <c r="I2904">
        <v>-0.8857142857142851</v>
      </c>
    </row>
    <row r="2905" spans="1:9">
      <c r="A2905" s="1" t="s">
        <v>2917</v>
      </c>
      <c r="B2905">
        <f>HYPERLINK("https://www.suredividend.com/sure-analysis-UPS/","United Parcel Service, Inc.")</f>
        <v>0</v>
      </c>
      <c r="C2905">
        <v>-0.08440804745937501</v>
      </c>
      <c r="D2905">
        <v>-0.218561247924501</v>
      </c>
      <c r="E2905">
        <v>-0.186609503819767</v>
      </c>
      <c r="F2905">
        <v>-0.160564565999051</v>
      </c>
      <c r="G2905">
        <v>-0.097075654491379</v>
      </c>
      <c r="H2905">
        <v>-0.26915025527497</v>
      </c>
      <c r="I2905">
        <v>0.5808424034059531</v>
      </c>
    </row>
    <row r="2906" spans="1:9">
      <c r="A2906" s="1" t="s">
        <v>2918</v>
      </c>
      <c r="B2906">
        <f>HYPERLINK("https://www.suredividend.com/sure-analysis-research-database/","Upwork Inc")</f>
        <v>0</v>
      </c>
      <c r="C2906">
        <v>-0.06293103448275801</v>
      </c>
      <c r="D2906">
        <v>0.09027081243731101</v>
      </c>
      <c r="E2906">
        <v>0.235227272727272</v>
      </c>
      <c r="F2906">
        <v>0.04118773946360101</v>
      </c>
      <c r="G2906">
        <v>-0.204828090709583</v>
      </c>
      <c r="H2906">
        <v>-0.777208444353351</v>
      </c>
      <c r="I2906">
        <v>-0.463474827245804</v>
      </c>
    </row>
    <row r="2907" spans="1:9">
      <c r="A2907" s="1" t="s">
        <v>2919</v>
      </c>
      <c r="B2907">
        <f>HYPERLINK("https://www.suredividend.com/sure-analysis-research-database/","Urban Outfitters, Inc.")</f>
        <v>0</v>
      </c>
      <c r="C2907">
        <v>0.06234793187347901</v>
      </c>
      <c r="D2907">
        <v>-0.04822888283378701</v>
      </c>
      <c r="E2907">
        <v>0.267876588021778</v>
      </c>
      <c r="F2907">
        <v>0.464570230607966</v>
      </c>
      <c r="G2907">
        <v>0.525993883792048</v>
      </c>
      <c r="H2907">
        <v>0.06461444681499501</v>
      </c>
      <c r="I2907">
        <v>-0.125219133483596</v>
      </c>
    </row>
    <row r="2908" spans="1:9">
      <c r="A2908" s="1" t="s">
        <v>2920</v>
      </c>
      <c r="B2908">
        <f>HYPERLINK("https://www.suredividend.com/sure-analysis-research-database/","United Rentals, Inc.")</f>
        <v>0</v>
      </c>
      <c r="C2908">
        <v>-0.010105860026979</v>
      </c>
      <c r="D2908">
        <v>-0.07238781666723801</v>
      </c>
      <c r="E2908">
        <v>0.227180800480724</v>
      </c>
      <c r="F2908">
        <v>0.231194740911638</v>
      </c>
      <c r="G2908">
        <v>0.414093378175831</v>
      </c>
      <c r="H2908">
        <v>0.133098138154485</v>
      </c>
      <c r="I2908">
        <v>2.496814139421884</v>
      </c>
    </row>
    <row r="2909" spans="1:9">
      <c r="A2909" s="1" t="s">
        <v>2921</v>
      </c>
      <c r="B2909">
        <f>HYPERLINK("https://www.suredividend.com/sure-analysis-research-database/","Urovant Sciences Ltd")</f>
        <v>0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</row>
    <row r="2910" spans="1:9">
      <c r="A2910" s="1" t="s">
        <v>2922</v>
      </c>
      <c r="B2910">
        <f>HYPERLINK("https://www.suredividend.com/sure-analysis-research-database/","USA Truck, Inc.")</f>
        <v>0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</row>
    <row r="2911" spans="1:9">
      <c r="A2911" s="1" t="s">
        <v>2923</v>
      </c>
      <c r="B2911">
        <f>HYPERLINK("https://www.suredividend.com/sure-analysis-research-database/","Universal Stainless &amp; Alloy Products, Inc.")</f>
        <v>0</v>
      </c>
      <c r="C2911">
        <v>0.214403973509933</v>
      </c>
      <c r="D2911">
        <v>-0.077938403519798</v>
      </c>
      <c r="E2911">
        <v>0.5740343347639481</v>
      </c>
      <c r="F2911">
        <v>1.04602510460251</v>
      </c>
      <c r="G2911">
        <v>1.077903682719546</v>
      </c>
      <c r="H2911">
        <v>0.5265348595213311</v>
      </c>
      <c r="I2911">
        <v>-0.315764925373134</v>
      </c>
    </row>
    <row r="2912" spans="1:9">
      <c r="A2912" s="1" t="s">
        <v>2924</v>
      </c>
      <c r="B2912">
        <f>HYPERLINK("https://www.suredividend.com/sure-analysis-research-database/","Cantaloupe Inc")</f>
        <v>0</v>
      </c>
      <c r="C2912">
        <v>0.08571428571428501</v>
      </c>
      <c r="D2912">
        <v>0.173745173745173</v>
      </c>
      <c r="E2912">
        <v>1.788990825688073</v>
      </c>
      <c r="F2912">
        <v>0.16030534351145</v>
      </c>
      <c r="G2912">
        <v>1.788990825688073</v>
      </c>
      <c r="H2912">
        <v>1.398422090729782</v>
      </c>
      <c r="I2912">
        <v>1.776255707762557</v>
      </c>
    </row>
    <row r="2913" spans="1:9">
      <c r="A2913" s="1" t="s">
        <v>2925</v>
      </c>
      <c r="B2913">
        <f>HYPERLINK("https://www.suredividend.com/sure-analysis-USB/","U.S. Bancorp.")</f>
        <v>0</v>
      </c>
      <c r="C2913">
        <v>0.068450528935905</v>
      </c>
      <c r="D2913">
        <v>-0.093041190825823</v>
      </c>
      <c r="E2913">
        <v>0.155073882346609</v>
      </c>
      <c r="F2913">
        <v>-0.177823746863567</v>
      </c>
      <c r="G2913">
        <v>-0.13158047801007</v>
      </c>
      <c r="H2913">
        <v>-0.381315883822869</v>
      </c>
      <c r="I2913">
        <v>-0.197162715993388</v>
      </c>
    </row>
    <row r="2914" spans="1:9">
      <c r="A2914" s="1" t="s">
        <v>2926</v>
      </c>
      <c r="B2914">
        <f>HYPERLINK("https://www.suredividend.com/sure-analysis-research-database/","U.S. Concrete, Inc.")</f>
        <v>0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0</v>
      </c>
    </row>
    <row r="2915" spans="1:9">
      <c r="A2915" s="1" t="s">
        <v>2927</v>
      </c>
      <c r="B2915">
        <f>HYPERLINK("https://www.suredividend.com/sure-analysis-research-database/","ProShares Trust")</f>
        <v>0</v>
      </c>
      <c r="C2915">
        <v>-0.0501138952164</v>
      </c>
      <c r="D2915">
        <v>-0.148400272294077</v>
      </c>
      <c r="E2915">
        <v>0.455215199689802</v>
      </c>
      <c r="F2915">
        <v>1.266304347826087</v>
      </c>
      <c r="G2915">
        <v>1.549419197065416</v>
      </c>
      <c r="H2915">
        <v>-0.12794142591917</v>
      </c>
      <c r="I2915">
        <v>3.277654299880321</v>
      </c>
    </row>
    <row r="2916" spans="1:9">
      <c r="A2916" s="1" t="s">
        <v>2928</v>
      </c>
      <c r="B2916">
        <f>HYPERLINK("https://www.suredividend.com/sure-analysis-research-database/","U.S. Energy Corp.")</f>
        <v>0</v>
      </c>
      <c r="C2916">
        <v>0.052631578947368</v>
      </c>
      <c r="D2916">
        <v>-0.09677419354838701</v>
      </c>
      <c r="E2916">
        <v>0.114294810569882</v>
      </c>
      <c r="F2916">
        <v>-0.364272091544818</v>
      </c>
      <c r="G2916">
        <v>-0.493634259259259</v>
      </c>
      <c r="H2916">
        <v>-0.6085777392568571</v>
      </c>
      <c r="I2916">
        <v>-0.84936194021821</v>
      </c>
    </row>
    <row r="2917" spans="1:9">
      <c r="A2917" s="1" t="s">
        <v>2929</v>
      </c>
      <c r="B2917">
        <f>HYPERLINK("https://www.suredividend.com/sure-analysis-research-database/","US Foods Holding Corp")</f>
        <v>0</v>
      </c>
      <c r="C2917">
        <v>0.027635619242579</v>
      </c>
      <c r="D2917">
        <v>-0.049467455621301</v>
      </c>
      <c r="E2917">
        <v>0.06187202538339401</v>
      </c>
      <c r="F2917">
        <v>0.180482069370958</v>
      </c>
      <c r="G2917">
        <v>0.3973556019485031</v>
      </c>
      <c r="H2917">
        <v>0.122728543472183</v>
      </c>
      <c r="I2917">
        <v>0.3744010951403141</v>
      </c>
    </row>
    <row r="2918" spans="1:9">
      <c r="A2918" s="1" t="s">
        <v>2930</v>
      </c>
      <c r="B2918">
        <f>HYPERLINK("https://www.suredividend.com/sure-analysis-research-database/","Usio Inc")</f>
        <v>0</v>
      </c>
      <c r="C2918">
        <v>0.031928934010152</v>
      </c>
      <c r="D2918">
        <v>0.175086705202312</v>
      </c>
      <c r="E2918">
        <v>0.08711229946524</v>
      </c>
      <c r="F2918">
        <v>0.232060606060606</v>
      </c>
      <c r="G2918">
        <v>-0.104449339207048</v>
      </c>
      <c r="H2918">
        <v>-0.6853095975232191</v>
      </c>
      <c r="I2918">
        <v>0.195823529411764</v>
      </c>
    </row>
    <row r="2919" spans="1:9">
      <c r="A2919" s="1" t="s">
        <v>2931</v>
      </c>
      <c r="B2919">
        <f>HYPERLINK("https://www.suredividend.com/sure-analysis-research-database/","United States Lime &amp; Minerals Inc.")</f>
        <v>0</v>
      </c>
      <c r="C2919">
        <v>-0.008399979880287001</v>
      </c>
      <c r="D2919">
        <v>-0.038705817356055</v>
      </c>
      <c r="E2919">
        <v>0.224799169964649</v>
      </c>
      <c r="F2919">
        <v>0.4081549270422311</v>
      </c>
      <c r="G2919">
        <v>0.560671768101623</v>
      </c>
      <c r="H2919">
        <v>0.58064547165999</v>
      </c>
      <c r="I2919">
        <v>1.895655635247858</v>
      </c>
    </row>
    <row r="2920" spans="1:9">
      <c r="A2920" s="1" t="s">
        <v>2932</v>
      </c>
      <c r="B2920">
        <f>HYPERLINK("https://www.suredividend.com/sure-analysis-research-database/","United States Cellular Corporation")</f>
        <v>0</v>
      </c>
      <c r="C2920">
        <v>0.041374304379385</v>
      </c>
      <c r="D2920">
        <v>1.477835348301669</v>
      </c>
      <c r="E2920">
        <v>1.167170191339375</v>
      </c>
      <c r="F2920">
        <v>1.064268585131894</v>
      </c>
      <c r="G2920">
        <v>0.3812580231065461</v>
      </c>
      <c r="H2920">
        <v>0.357728706624605</v>
      </c>
      <c r="I2920">
        <v>-0.231428571428571</v>
      </c>
    </row>
    <row r="2921" spans="1:9">
      <c r="A2921" s="1" t="s">
        <v>2933</v>
      </c>
      <c r="B2921">
        <f>HYPERLINK("https://www.suredividend.com/sure-analysis-research-database/","Usana Health Sciences Inc")</f>
        <v>0</v>
      </c>
      <c r="C2921">
        <v>-0.224078539441956</v>
      </c>
      <c r="D2921">
        <v>-0.303817029825374</v>
      </c>
      <c r="E2921">
        <v>-0.330011897679952</v>
      </c>
      <c r="F2921">
        <v>-0.153195488721804</v>
      </c>
      <c r="G2921">
        <v>-0.120289006053505</v>
      </c>
      <c r="H2921">
        <v>-0.5485971943887771</v>
      </c>
      <c r="I2921">
        <v>-0.5998756550315301</v>
      </c>
    </row>
    <row r="2922" spans="1:9">
      <c r="A2922" s="1" t="s">
        <v>2934</v>
      </c>
      <c r="B2922">
        <f>HYPERLINK("https://www.suredividend.com/sure-analysis-research-database/","U.S. Physical Therapy, Inc.")</f>
        <v>0</v>
      </c>
      <c r="C2922">
        <v>-0.095703124999999</v>
      </c>
      <c r="D2922">
        <v>-0.297619880374569</v>
      </c>
      <c r="E2922">
        <v>-0.19039509768397</v>
      </c>
      <c r="F2922">
        <v>0.041575536097703</v>
      </c>
      <c r="G2922">
        <v>-0.005880739088425</v>
      </c>
      <c r="H2922">
        <v>-0.196488227405208</v>
      </c>
      <c r="I2922">
        <v>-0.217796766067359</v>
      </c>
    </row>
    <row r="2923" spans="1:9">
      <c r="A2923" s="1" t="s">
        <v>2935</v>
      </c>
      <c r="B2923">
        <f>HYPERLINK("https://www.suredividend.com/sure-analysis-research-database/","U.S. Well Services Inc")</f>
        <v>0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0</v>
      </c>
    </row>
    <row r="2924" spans="1:9">
      <c r="A2924" s="1" t="s">
        <v>2936</v>
      </c>
      <c r="B2924">
        <f>HYPERLINK("https://www.suredividend.com/sure-analysis-research-database/","U.S. Xpress Enterprises Inc")</f>
        <v>0</v>
      </c>
      <c r="C2924">
        <v>0.004909983633387001</v>
      </c>
      <c r="D2924">
        <v>0.033670033670033</v>
      </c>
      <c r="E2924">
        <v>2.392265193370165</v>
      </c>
      <c r="F2924">
        <v>2.392265193370165</v>
      </c>
      <c r="G2924">
        <v>1.22463768115942</v>
      </c>
      <c r="H2924">
        <v>-0.264670658682634</v>
      </c>
      <c r="I2924">
        <v>-0.5960526315789471</v>
      </c>
    </row>
    <row r="2925" spans="1:9">
      <c r="A2925" s="1" t="s">
        <v>2937</v>
      </c>
      <c r="B2925">
        <f>HYPERLINK("https://www.suredividend.com/sure-analysis-research-database/","United Therapeutics Corp")</f>
        <v>0</v>
      </c>
      <c r="C2925">
        <v>0.027190060322319</v>
      </c>
      <c r="D2925">
        <v>-0.05260535603072401</v>
      </c>
      <c r="E2925">
        <v>-0.002666200445823</v>
      </c>
      <c r="F2925">
        <v>-0.179474270919486</v>
      </c>
      <c r="G2925">
        <v>-0.100413956238911</v>
      </c>
      <c r="H2925">
        <v>0.187200832466181</v>
      </c>
      <c r="I2925">
        <v>0.9904047452896021</v>
      </c>
    </row>
    <row r="2926" spans="1:9">
      <c r="A2926" s="1" t="s">
        <v>2938</v>
      </c>
      <c r="B2926">
        <f>HYPERLINK("https://www.suredividend.com/sure-analysis-research-database/","Universal Technical Institute Inc")</f>
        <v>0</v>
      </c>
      <c r="C2926">
        <v>0.120525059665871</v>
      </c>
      <c r="D2926">
        <v>0.307799442896936</v>
      </c>
      <c r="E2926">
        <v>0.3668122270742351</v>
      </c>
      <c r="F2926">
        <v>0.397321428571428</v>
      </c>
      <c r="G2926">
        <v>0.368804664723032</v>
      </c>
      <c r="H2926">
        <v>0.324400564174894</v>
      </c>
      <c r="I2926">
        <v>2.597701149425288</v>
      </c>
    </row>
    <row r="2927" spans="1:9">
      <c r="A2927" s="1" t="s">
        <v>2939</v>
      </c>
      <c r="B2927">
        <f>HYPERLINK("https://www.suredividend.com/sure-analysis-research-database/","Unitil Corp.")</f>
        <v>0</v>
      </c>
      <c r="C2927">
        <v>0.108957693216733</v>
      </c>
      <c r="D2927">
        <v>-0.062188945342325</v>
      </c>
      <c r="E2927">
        <v>-0.140884347139851</v>
      </c>
      <c r="F2927">
        <v>-0.06514869555168501</v>
      </c>
      <c r="G2927">
        <v>-0.06815089917877301</v>
      </c>
      <c r="H2927">
        <v>0.196300951788459</v>
      </c>
      <c r="I2927">
        <v>0.178867814546907</v>
      </c>
    </row>
    <row r="2928" spans="1:9">
      <c r="A2928" s="1" t="s">
        <v>2940</v>
      </c>
      <c r="B2928">
        <f>HYPERLINK("https://www.suredividend.com/sure-analysis-research-database/","Utah Medical Products, Inc.")</f>
        <v>0</v>
      </c>
      <c r="C2928">
        <v>-0.06843884808207901</v>
      </c>
      <c r="D2928">
        <v>-0.163198320950623</v>
      </c>
      <c r="E2928">
        <v>-0.144036483971842</v>
      </c>
      <c r="F2928">
        <v>-0.192275770598231</v>
      </c>
      <c r="G2928">
        <v>-0.081722133025018</v>
      </c>
      <c r="H2928">
        <v>-0.16293444383332</v>
      </c>
      <c r="I2928">
        <v>-0.004518911025918</v>
      </c>
    </row>
    <row r="2929" spans="1:9">
      <c r="A2929" s="1" t="s">
        <v>2941</v>
      </c>
      <c r="B2929">
        <f>HYPERLINK("https://www.suredividend.com/sure-analysis-research-database/","Universal Security Instruments, Inc.")</f>
        <v>0</v>
      </c>
      <c r="C2929">
        <v>0.7974683544303791</v>
      </c>
      <c r="D2929">
        <v>0.374193548387096</v>
      </c>
      <c r="E2929">
        <v>1.048076923076923</v>
      </c>
      <c r="F2929">
        <v>1.098522167487684</v>
      </c>
      <c r="G2929">
        <v>0.180774987527024</v>
      </c>
      <c r="H2929">
        <v>-0.177606177606177</v>
      </c>
      <c r="I2929">
        <v>2.55</v>
      </c>
    </row>
    <row r="2930" spans="1:9">
      <c r="A2930" s="1" t="s">
        <v>2942</v>
      </c>
      <c r="B2930">
        <f>HYPERLINK("https://www.suredividend.com/sure-analysis-research-database/","Universal Insurance Holdings Inc")</f>
        <v>0</v>
      </c>
      <c r="C2930">
        <v>0.174358974358974</v>
      </c>
      <c r="D2930">
        <v>0.08384043272481401</v>
      </c>
      <c r="E2930">
        <v>0.014062766879432</v>
      </c>
      <c r="F2930">
        <v>0.558565303205608</v>
      </c>
      <c r="G2930">
        <v>0.6513005408189541</v>
      </c>
      <c r="H2930">
        <v>0.20587969789065</v>
      </c>
      <c r="I2930">
        <v>-0.552573331360897</v>
      </c>
    </row>
    <row r="2931" spans="1:9">
      <c r="A2931" s="1" t="s">
        <v>2943</v>
      </c>
      <c r="B2931">
        <f>HYPERLINK("https://www.suredividend.com/sure-analysis-research-database/","Univest Financial Corp")</f>
        <v>0</v>
      </c>
      <c r="C2931">
        <v>0.018002322880371</v>
      </c>
      <c r="D2931">
        <v>-0.08192978045919201</v>
      </c>
      <c r="E2931">
        <v>-0.002730686084878</v>
      </c>
      <c r="F2931">
        <v>-0.292914217950217</v>
      </c>
      <c r="G2931">
        <v>-0.339664219443931</v>
      </c>
      <c r="H2931">
        <v>-0.359023580473072</v>
      </c>
      <c r="I2931">
        <v>-0.173729013282553</v>
      </c>
    </row>
    <row r="2932" spans="1:9">
      <c r="A2932" s="1" t="s">
        <v>2944</v>
      </c>
      <c r="B2932">
        <f>HYPERLINK("https://www.suredividend.com/sure-analysis-UVV/","Universal Corp.")</f>
        <v>0</v>
      </c>
      <c r="C2932">
        <v>-0.015617113184534</v>
      </c>
      <c r="D2932">
        <v>-0.08480092808919901</v>
      </c>
      <c r="E2932">
        <v>-0.132428722260725</v>
      </c>
      <c r="F2932">
        <v>-0.08346443987252401</v>
      </c>
      <c r="G2932">
        <v>-0.023557953683468</v>
      </c>
      <c r="H2932">
        <v>0.06706994897132401</v>
      </c>
      <c r="I2932">
        <v>-0.09706905116741101</v>
      </c>
    </row>
    <row r="2933" spans="1:9">
      <c r="A2933" s="1" t="s">
        <v>2945</v>
      </c>
      <c r="B2933">
        <f>HYPERLINK("https://www.suredividend.com/sure-analysis-V/","Visa Inc")</f>
        <v>0</v>
      </c>
      <c r="C2933">
        <v>0.051800925325377</v>
      </c>
      <c r="D2933">
        <v>0.025877415134738</v>
      </c>
      <c r="E2933">
        <v>0.07578858730936501</v>
      </c>
      <c r="F2933">
        <v>0.177612532798869</v>
      </c>
      <c r="G2933">
        <v>0.22308029189006</v>
      </c>
      <c r="H2933">
        <v>0.183512851027722</v>
      </c>
      <c r="I2933">
        <v>0.8041906174670871</v>
      </c>
    </row>
    <row r="2934" spans="1:9">
      <c r="A2934" s="1" t="s">
        <v>2946</v>
      </c>
      <c r="B2934">
        <f>HYPERLINK("https://www.suredividend.com/sure-analysis-research-database/","Marriott Vacations Worldwide Corp")</f>
        <v>0</v>
      </c>
      <c r="C2934">
        <v>-0.167877320419693</v>
      </c>
      <c r="D2934">
        <v>-0.33462192520789</v>
      </c>
      <c r="E2934">
        <v>-0.3842073984703731</v>
      </c>
      <c r="F2934">
        <v>-0.376285069786047</v>
      </c>
      <c r="G2934">
        <v>-0.378885261703321</v>
      </c>
      <c r="H2934">
        <v>-0.470397343254179</v>
      </c>
      <c r="I2934">
        <v>-0.095460303012025</v>
      </c>
    </row>
    <row r="2935" spans="1:9">
      <c r="A2935" s="1" t="s">
        <v>2947</v>
      </c>
      <c r="B2935">
        <f>HYPERLINK("https://www.suredividend.com/sure-analysis-research-database/","Valaris Ltd")</f>
        <v>0</v>
      </c>
      <c r="C2935">
        <v>-0.054961622807017</v>
      </c>
      <c r="D2935">
        <v>-0.08017609391675501</v>
      </c>
      <c r="E2935">
        <v>0.211775043936731</v>
      </c>
      <c r="F2935">
        <v>0.019668737060041</v>
      </c>
      <c r="G2935">
        <v>0.118773324679539</v>
      </c>
      <c r="H2935">
        <v>0.9351669941060901</v>
      </c>
      <c r="I2935">
        <v>1.909282700421941</v>
      </c>
    </row>
    <row r="2936" spans="1:9">
      <c r="A2936" s="1" t="s">
        <v>2948</v>
      </c>
      <c r="B2936">
        <f>HYPERLINK("https://www.suredividend.com/sure-analysis-research-database/","Value Line, Inc.")</f>
        <v>0</v>
      </c>
      <c r="C2936">
        <v>-0.088330492273928</v>
      </c>
      <c r="D2936">
        <v>-0.149749623469742</v>
      </c>
      <c r="E2936">
        <v>-0.107215268578843</v>
      </c>
      <c r="F2936">
        <v>-0.187218638801439</v>
      </c>
      <c r="G2936">
        <v>-0.156034576388134</v>
      </c>
      <c r="H2936">
        <v>0.235453108584575</v>
      </c>
      <c r="I2936">
        <v>0.8525617053103961</v>
      </c>
    </row>
    <row r="2937" spans="1:9">
      <c r="A2937" s="1" t="s">
        <v>2949</v>
      </c>
      <c r="B2937">
        <f>HYPERLINK("https://www.suredividend.com/sure-analysis-research-database/","Vapotherm Inc")</f>
        <v>0</v>
      </c>
      <c r="C2937">
        <v>0.117647058823529</v>
      </c>
      <c r="D2937">
        <v>-0.179012345679012</v>
      </c>
      <c r="E2937">
        <v>-0.472305983177273</v>
      </c>
      <c r="F2937">
        <v>-0.8768518518518511</v>
      </c>
      <c r="G2937">
        <v>-0.8424170616113741</v>
      </c>
      <c r="H2937">
        <v>-0.9856122890523581</v>
      </c>
      <c r="I2937">
        <v>-0.97921875</v>
      </c>
    </row>
    <row r="2938" spans="1:9">
      <c r="A2938" s="1" t="s">
        <v>2950</v>
      </c>
      <c r="B2938">
        <f>HYPERLINK("https://www.suredividend.com/sure-analysis-research-database/","Varian Medical Systems, Inc.")</f>
        <v>0</v>
      </c>
      <c r="C2938">
        <v>0.004823516059471</v>
      </c>
      <c r="D2938">
        <v>0.010269869344439</v>
      </c>
      <c r="E2938">
        <v>0.029476744186046</v>
      </c>
      <c r="F2938">
        <v>0.011770755956802</v>
      </c>
      <c r="G2938">
        <v>0.5711623779946761</v>
      </c>
      <c r="H2938">
        <v>0.251378091872791</v>
      </c>
      <c r="I2938">
        <v>1.545956477041531</v>
      </c>
    </row>
    <row r="2939" spans="1:9">
      <c r="A2939" s="1" t="s">
        <v>2951</v>
      </c>
      <c r="B2939">
        <f>HYPERLINK("https://www.suredividend.com/sure-analysis-research-database/","Village Bank &amp; Trust Financial Corporation")</f>
        <v>0</v>
      </c>
      <c r="C2939">
        <v>-0.155869565217391</v>
      </c>
      <c r="D2939">
        <v>-0.166738197424892</v>
      </c>
      <c r="E2939">
        <v>-0.274636757964424</v>
      </c>
      <c r="F2939">
        <v>-0.248131947711962</v>
      </c>
      <c r="G2939">
        <v>-0.212805942372448</v>
      </c>
      <c r="H2939">
        <v>-0.237923651058134</v>
      </c>
      <c r="I2939">
        <v>0.1322317182338</v>
      </c>
    </row>
    <row r="2940" spans="1:9">
      <c r="A2940" s="1" t="s">
        <v>2952</v>
      </c>
      <c r="B2940">
        <f>HYPERLINK("https://www.suredividend.com/sure-analysis-research-database/","VBI Vaccines Inc.")</f>
        <v>0</v>
      </c>
      <c r="C2940">
        <v>-0.101503759398496</v>
      </c>
      <c r="D2940">
        <v>-0.533203125</v>
      </c>
      <c r="E2940">
        <v>-0.7932525951557091</v>
      </c>
      <c r="F2940">
        <v>-0.949075257819824</v>
      </c>
      <c r="G2940">
        <v>-0.9700005020836471</v>
      </c>
      <c r="H2940">
        <v>-0.9934484649122801</v>
      </c>
      <c r="I2940">
        <v>-0.9902845528455281</v>
      </c>
    </row>
    <row r="2941" spans="1:9">
      <c r="A2941" s="1" t="s">
        <v>2953</v>
      </c>
      <c r="B2941">
        <f>HYPERLINK("https://www.suredividend.com/sure-analysis-research-database/","Veritex Holdings Inc")</f>
        <v>0</v>
      </c>
      <c r="C2941">
        <v>0.056122448979591</v>
      </c>
      <c r="D2941">
        <v>-0.107583385626488</v>
      </c>
      <c r="E2941">
        <v>0.203791652935817</v>
      </c>
      <c r="F2941">
        <v>-0.30851715345129</v>
      </c>
      <c r="G2941">
        <v>-0.356238748000124</v>
      </c>
      <c r="H2941">
        <v>-0.527030114700909</v>
      </c>
      <c r="I2941">
        <v>-0.073452396938364</v>
      </c>
    </row>
    <row r="2942" spans="1:9">
      <c r="A2942" s="1" t="s">
        <v>2954</v>
      </c>
      <c r="B2942">
        <f>HYPERLINK("https://www.suredividend.com/sure-analysis-research-database/","Visteon Corp.")</f>
        <v>0</v>
      </c>
      <c r="C2942">
        <v>-0.182819383259911</v>
      </c>
      <c r="D2942">
        <v>-0.254071442932779</v>
      </c>
      <c r="E2942">
        <v>-0.179989685404847</v>
      </c>
      <c r="F2942">
        <v>-0.149277688603531</v>
      </c>
      <c r="G2942">
        <v>-0.144964277483291</v>
      </c>
      <c r="H2942">
        <v>-0.036447060860531</v>
      </c>
      <c r="I2942">
        <v>0.336134453781512</v>
      </c>
    </row>
    <row r="2943" spans="1:9">
      <c r="A2943" s="1" t="s">
        <v>2955</v>
      </c>
      <c r="B2943">
        <f>HYPERLINK("https://www.suredividend.com/sure-analysis-research-database/","Vericel Corp")</f>
        <v>0</v>
      </c>
      <c r="C2943">
        <v>0.07050316360349501</v>
      </c>
      <c r="D2943">
        <v>0.025989026855327</v>
      </c>
      <c r="E2943">
        <v>0.13405681455474</v>
      </c>
      <c r="F2943">
        <v>0.348899012908124</v>
      </c>
      <c r="G2943">
        <v>0.336216622790522</v>
      </c>
      <c r="H2943">
        <v>-0.243398637137989</v>
      </c>
      <c r="I2943">
        <v>1.955906821963394</v>
      </c>
    </row>
    <row r="2944" spans="1:9">
      <c r="A2944" s="1" t="s">
        <v>2956</v>
      </c>
      <c r="B2944">
        <f>HYPERLINK("https://www.suredividend.com/sure-analysis-research-database/","Vocera Communication Inc")</f>
        <v>0</v>
      </c>
      <c r="C2944">
        <v>0.002787986313521</v>
      </c>
      <c r="D2944">
        <v>0.305344770702738</v>
      </c>
      <c r="E2944">
        <v>0.6872068230277181</v>
      </c>
      <c r="F2944">
        <v>0.220388648982109</v>
      </c>
      <c r="G2944">
        <v>0.8053844398813591</v>
      </c>
      <c r="H2944">
        <v>1.955920806873365</v>
      </c>
      <c r="I2944">
        <v>2.899950714637753</v>
      </c>
    </row>
    <row r="2945" spans="1:9">
      <c r="A2945" s="1" t="s">
        <v>2957</v>
      </c>
      <c r="B2945">
        <f>HYPERLINK("https://www.suredividend.com/sure-analysis-research-database/","Victory Capital Holdings Inc")</f>
        <v>0</v>
      </c>
      <c r="C2945">
        <v>-0.06267029972752</v>
      </c>
      <c r="D2945">
        <v>-0.03475023850648101</v>
      </c>
      <c r="E2945">
        <v>0.094468620637238</v>
      </c>
      <c r="F2945">
        <v>0.211201264406488</v>
      </c>
      <c r="G2945">
        <v>0.153094098586565</v>
      </c>
      <c r="H2945">
        <v>-0.09730240369476201</v>
      </c>
      <c r="I2945">
        <v>3.401541108062384</v>
      </c>
    </row>
    <row r="2946" spans="1:9">
      <c r="A2946" s="1" t="s">
        <v>2958</v>
      </c>
      <c r="B2946">
        <f>HYPERLINK("https://www.suredividend.com/sure-analysis-research-database/","Veracyte Inc")</f>
        <v>0</v>
      </c>
      <c r="C2946">
        <v>0.01775956284153</v>
      </c>
      <c r="D2946">
        <v>-0.135396518375241</v>
      </c>
      <c r="E2946">
        <v>0.066316793893129</v>
      </c>
      <c r="F2946">
        <v>-0.058154235145385</v>
      </c>
      <c r="G2946">
        <v>0.146153846153846</v>
      </c>
      <c r="H2946">
        <v>-0.574528840662478</v>
      </c>
      <c r="I2946">
        <v>0.573943661971831</v>
      </c>
    </row>
    <row r="2947" spans="1:9">
      <c r="A2947" s="1" t="s">
        <v>2959</v>
      </c>
      <c r="B2947">
        <f>HYPERLINK("https://www.suredividend.com/sure-analysis-research-database/","Veeco Instruments Inc")</f>
        <v>0</v>
      </c>
      <c r="C2947">
        <v>-0.092666909886902</v>
      </c>
      <c r="D2947">
        <v>-0.126755617977528</v>
      </c>
      <c r="E2947">
        <v>0.351630434782608</v>
      </c>
      <c r="F2947">
        <v>0.338536060279871</v>
      </c>
      <c r="G2947">
        <v>0.4003378378378371</v>
      </c>
      <c r="H2947">
        <v>-0.005199999999999001</v>
      </c>
      <c r="I2947">
        <v>1.826136363636364</v>
      </c>
    </row>
    <row r="2948" spans="1:9">
      <c r="A2948" s="1" t="s">
        <v>2960</v>
      </c>
      <c r="B2948">
        <f>HYPERLINK("https://www.suredividend.com/sure-analysis-research-database/","Veeva Systems Inc")</f>
        <v>0</v>
      </c>
      <c r="C2948">
        <v>-0.056019485038274</v>
      </c>
      <c r="D2948">
        <v>-0.046301411138452</v>
      </c>
      <c r="E2948">
        <v>0.07202935365509401</v>
      </c>
      <c r="F2948">
        <v>0.176787706035444</v>
      </c>
      <c r="G2948">
        <v>0.198548437993057</v>
      </c>
      <c r="H2948">
        <v>-0.399076037085086</v>
      </c>
      <c r="I2948">
        <v>1.059091401929957</v>
      </c>
    </row>
    <row r="2949" spans="1:9">
      <c r="A2949" s="1" t="s">
        <v>2961</v>
      </c>
      <c r="B2949">
        <f>HYPERLINK("https://www.suredividend.com/sure-analysis-research-database/","VEREIT Inc")</f>
        <v>0</v>
      </c>
      <c r="C2949">
        <v>0.09252924900324601</v>
      </c>
      <c r="D2949">
        <v>0.03770597985675801</v>
      </c>
      <c r="E2949">
        <v>0.072797754539697</v>
      </c>
      <c r="F2949">
        <v>0.374522031110806</v>
      </c>
      <c r="G2949">
        <v>0.6929319937341331</v>
      </c>
      <c r="H2949">
        <v>0.141866936273505</v>
      </c>
      <c r="I2949">
        <v>0.5105081314894521</v>
      </c>
    </row>
    <row r="2950" spans="1:9">
      <c r="A2950" s="1" t="s">
        <v>2962</v>
      </c>
      <c r="B2950">
        <f>HYPERLINK("https://www.suredividend.com/sure-analysis-research-database/","Veritone Inc")</f>
        <v>0</v>
      </c>
      <c r="C2950">
        <v>0.028</v>
      </c>
      <c r="D2950">
        <v>-0.395294117647058</v>
      </c>
      <c r="E2950">
        <v>-0.396713615023474</v>
      </c>
      <c r="F2950">
        <v>-0.5150943396226411</v>
      </c>
      <c r="G2950">
        <v>-0.5952755905511811</v>
      </c>
      <c r="H2950">
        <v>-0.9194609840175491</v>
      </c>
      <c r="I2950">
        <v>-0.6834975369458121</v>
      </c>
    </row>
    <row r="2951" spans="1:9">
      <c r="A2951" s="1" t="s">
        <v>2963</v>
      </c>
      <c r="B2951">
        <f>HYPERLINK("https://www.suredividend.com/sure-analysis-research-database/","Veru Inc")</f>
        <v>0</v>
      </c>
      <c r="C2951">
        <v>0.335528120713306</v>
      </c>
      <c r="D2951">
        <v>-0.167863247863247</v>
      </c>
      <c r="E2951">
        <v>-0.227301587301587</v>
      </c>
      <c r="F2951">
        <v>-0.8156060606060601</v>
      </c>
      <c r="G2951">
        <v>-0.915043630017452</v>
      </c>
      <c r="H2951">
        <v>-0.8839570917759231</v>
      </c>
      <c r="I2951">
        <v>-0.304571428571428</v>
      </c>
    </row>
    <row r="2952" spans="1:9">
      <c r="A2952" s="1" t="s">
        <v>2964</v>
      </c>
      <c r="B2952">
        <f>HYPERLINK("https://www.suredividend.com/sure-analysis-VFC/","VF Corp.")</f>
        <v>0</v>
      </c>
      <c r="C2952">
        <v>-0.107293550331525</v>
      </c>
      <c r="D2952">
        <v>-0.210226000149315</v>
      </c>
      <c r="E2952">
        <v>-0.298808779804177</v>
      </c>
      <c r="F2952">
        <v>-0.439615866325113</v>
      </c>
      <c r="G2952">
        <v>-0.4271856676516541</v>
      </c>
      <c r="H2952">
        <v>-0.772956184069526</v>
      </c>
      <c r="I2952">
        <v>-0.781447698707722</v>
      </c>
    </row>
    <row r="2953" spans="1:9">
      <c r="A2953" s="1" t="s">
        <v>2965</v>
      </c>
      <c r="B2953">
        <f>HYPERLINK("https://www.suredividend.com/sure-analysis-research-database/","Vonage Holdings Corp")</f>
        <v>0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0</v>
      </c>
    </row>
    <row r="2954" spans="1:9">
      <c r="A2954" s="1" t="s">
        <v>2966</v>
      </c>
      <c r="B2954">
        <f>HYPERLINK("https://www.suredividend.com/sure-analysis-VGR/","Vector Group Ltd")</f>
        <v>0</v>
      </c>
      <c r="C2954">
        <v>0.002859866539561</v>
      </c>
      <c r="D2954">
        <v>-0.189622234547359</v>
      </c>
      <c r="E2954">
        <v>-0.132928919952525</v>
      </c>
      <c r="F2954">
        <v>-0.066912651671042</v>
      </c>
      <c r="G2954">
        <v>0.100729285467652</v>
      </c>
      <c r="H2954">
        <v>-0.116627060433793</v>
      </c>
      <c r="I2954">
        <v>0.25023768777334</v>
      </c>
    </row>
    <row r="2955" spans="1:9">
      <c r="A2955" s="1" t="s">
        <v>2967</v>
      </c>
      <c r="B2955">
        <f>HYPERLINK("https://www.suredividend.com/sure-analysis-research-database/","Virnetx Holding Corp")</f>
        <v>0</v>
      </c>
      <c r="C2955">
        <v>-0.263461538461538</v>
      </c>
      <c r="D2955">
        <v>-0.600208768267223</v>
      </c>
      <c r="E2955">
        <v>-0.52125</v>
      </c>
      <c r="F2955">
        <v>-0.5694065005002981</v>
      </c>
      <c r="G2955">
        <v>-0.537378154102598</v>
      </c>
      <c r="H2955">
        <v>-0.8600575846596801</v>
      </c>
      <c r="I2955">
        <v>-0.8146023632147851</v>
      </c>
    </row>
    <row r="2956" spans="1:9">
      <c r="A2956" s="1" t="s">
        <v>2968</v>
      </c>
      <c r="B2956">
        <f>HYPERLINK("https://www.suredividend.com/sure-analysis-research-database/","Via Renewables Inc")</f>
        <v>0</v>
      </c>
      <c r="C2956">
        <v>-0.030666666666666</v>
      </c>
      <c r="D2956">
        <v>-0.045931758530183</v>
      </c>
      <c r="E2956">
        <v>-0.277335984095427</v>
      </c>
      <c r="F2956">
        <v>-0.7078514422574601</v>
      </c>
      <c r="G2956">
        <v>-0.7869284876905041</v>
      </c>
      <c r="H2956">
        <v>-0.8558383485856491</v>
      </c>
      <c r="I2956">
        <v>0.019828438764702</v>
      </c>
    </row>
    <row r="2957" spans="1:9">
      <c r="A2957" s="1" t="s">
        <v>2969</v>
      </c>
      <c r="B2957">
        <f>HYPERLINK("https://www.suredividend.com/sure-analysis-research-database/","Viavi Solutions Inc")</f>
        <v>0</v>
      </c>
      <c r="C2957">
        <v>-0.12597547380156</v>
      </c>
      <c r="D2957">
        <v>-0.279411764705882</v>
      </c>
      <c r="E2957">
        <v>-0.115124153498871</v>
      </c>
      <c r="F2957">
        <v>-0.254043767840152</v>
      </c>
      <c r="G2957">
        <v>-0.462645647703906</v>
      </c>
      <c r="H2957">
        <v>-0.523982999392835</v>
      </c>
      <c r="I2957">
        <v>-0.27708621484555</v>
      </c>
    </row>
    <row r="2958" spans="1:9">
      <c r="A2958" s="1" t="s">
        <v>2970</v>
      </c>
      <c r="B2958">
        <f>HYPERLINK("https://www.suredividend.com/sure-analysis-VICI/","VICI Properties Inc")</f>
        <v>0</v>
      </c>
      <c r="C2958">
        <v>-0.002094240837696</v>
      </c>
      <c r="D2958">
        <v>-0.07506858533050301</v>
      </c>
      <c r="E2958">
        <v>-0.102856174571197</v>
      </c>
      <c r="F2958">
        <v>-0.08321014337066901</v>
      </c>
      <c r="G2958">
        <v>-0.06098197834248</v>
      </c>
      <c r="H2958">
        <v>0.069876921119497</v>
      </c>
      <c r="I2958">
        <v>0.7330948989179521</v>
      </c>
    </row>
    <row r="2959" spans="1:9">
      <c r="A2959" s="1" t="s">
        <v>2971</v>
      </c>
      <c r="B2959">
        <f>HYPERLINK("https://www.suredividend.com/sure-analysis-research-database/","Vicor Corp.")</f>
        <v>0</v>
      </c>
      <c r="C2959">
        <v>-0.345307665864558</v>
      </c>
      <c r="D2959">
        <v>-0.513848117421825</v>
      </c>
      <c r="E2959">
        <v>-0.08459504926700301</v>
      </c>
      <c r="F2959">
        <v>-0.291348837209302</v>
      </c>
      <c r="G2959">
        <v>-0.214962901896125</v>
      </c>
      <c r="H2959">
        <v>-0.749901510177281</v>
      </c>
      <c r="I2959">
        <v>-0.05154382470119501</v>
      </c>
    </row>
    <row r="2960" spans="1:9">
      <c r="A2960" s="1" t="s">
        <v>2972</v>
      </c>
      <c r="B2960">
        <f>HYPERLINK("https://www.suredividend.com/sure-analysis-research-database/","Virco Manufacturing Corp.")</f>
        <v>0</v>
      </c>
      <c r="C2960">
        <v>-0.012578616352201</v>
      </c>
      <c r="D2960">
        <v>0.430523917995444</v>
      </c>
      <c r="E2960">
        <v>0.639686684073107</v>
      </c>
      <c r="F2960">
        <v>0.389380530973451</v>
      </c>
      <c r="G2960">
        <v>0.54679802955665</v>
      </c>
      <c r="H2960">
        <v>0.8690476190476191</v>
      </c>
      <c r="I2960">
        <v>0.416583957412252</v>
      </c>
    </row>
    <row r="2961" spans="1:9">
      <c r="A2961" s="1" t="s">
        <v>2973</v>
      </c>
      <c r="B2961">
        <f>HYPERLINK("https://www.suredividend.com/sure-analysis-research-database/","Virtu Financial Inc")</f>
        <v>0</v>
      </c>
      <c r="C2961">
        <v>0.020022883295194</v>
      </c>
      <c r="D2961">
        <v>0.004461770737093001</v>
      </c>
      <c r="E2961">
        <v>-0.010812820043384</v>
      </c>
      <c r="F2961">
        <v>-0.06729788402688701</v>
      </c>
      <c r="G2961">
        <v>-0.131861604230166</v>
      </c>
      <c r="H2961">
        <v>-0.239084511550296</v>
      </c>
      <c r="I2961">
        <v>-0.036497454796978</v>
      </c>
    </row>
    <row r="2962" spans="1:9">
      <c r="A2962" s="1" t="s">
        <v>2974</v>
      </c>
      <c r="B2962">
        <f>HYPERLINK("https://www.suredividend.com/sure-analysis-research-database/","Vislink Technologies Inc")</f>
        <v>0</v>
      </c>
      <c r="C2962">
        <v>-0.154794520547945</v>
      </c>
      <c r="D2962">
        <v>-0.4401190541006511</v>
      </c>
      <c r="E2962">
        <v>-0.326419213973799</v>
      </c>
      <c r="F2962">
        <v>-0.724553571428571</v>
      </c>
      <c r="G2962">
        <v>-0.626603727910917</v>
      </c>
      <c r="H2962">
        <v>-0.9103197674418601</v>
      </c>
      <c r="I2962">
        <v>5.620171673819742</v>
      </c>
    </row>
    <row r="2963" spans="1:9">
      <c r="A2963" s="1" t="s">
        <v>2975</v>
      </c>
      <c r="B2963">
        <f>HYPERLINK("https://www.suredividend.com/sure-analysis-research-database/","Meridian Bioscience Inc.")</f>
        <v>0</v>
      </c>
      <c r="C2963">
        <v>0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v>0</v>
      </c>
    </row>
    <row r="2964" spans="1:9">
      <c r="A2964" s="1" t="s">
        <v>2976</v>
      </c>
      <c r="B2964">
        <f>HYPERLINK("https://www.suredividend.com/sure-analysis-research-database/","Viking Therapeutics Inc")</f>
        <v>0</v>
      </c>
      <c r="C2964">
        <v>-0.100275988960441</v>
      </c>
      <c r="D2964">
        <v>-0.296908698777857</v>
      </c>
      <c r="E2964">
        <v>-0.534285714285714</v>
      </c>
      <c r="F2964">
        <v>0.040425531914893</v>
      </c>
      <c r="G2964">
        <v>1.279720279720279</v>
      </c>
      <c r="H2964">
        <v>0.535321821036106</v>
      </c>
      <c r="I2964">
        <v>-0.320833333333333</v>
      </c>
    </row>
    <row r="2965" spans="1:9">
      <c r="A2965" s="1" t="s">
        <v>2977</v>
      </c>
      <c r="B2965">
        <f>HYPERLINK("https://www.suredividend.com/sure-analysis-research-database/","Village Super Market, Inc.")</f>
        <v>0</v>
      </c>
      <c r="C2965">
        <v>0.09565570259485501</v>
      </c>
      <c r="D2965">
        <v>0.036234078028852</v>
      </c>
      <c r="E2965">
        <v>0.174406634672543</v>
      </c>
      <c r="F2965">
        <v>0.114704465698754</v>
      </c>
      <c r="G2965">
        <v>0.145696800535601</v>
      </c>
      <c r="H2965">
        <v>0.213404373249177</v>
      </c>
      <c r="I2965">
        <v>0.199129520792313</v>
      </c>
    </row>
    <row r="2966" spans="1:9">
      <c r="A2966" s="1" t="s">
        <v>2978</v>
      </c>
      <c r="B2966">
        <f>HYPERLINK("https://www.suredividend.com/sure-analysis-VLO/","Valero Energy Corp.")</f>
        <v>0</v>
      </c>
      <c r="C2966">
        <v>-0.066116300963139</v>
      </c>
      <c r="D2966">
        <v>0.020980128255878</v>
      </c>
      <c r="E2966">
        <v>0.184260067037054</v>
      </c>
      <c r="F2966">
        <v>0.041700323754257</v>
      </c>
      <c r="G2966">
        <v>0.057592713632334</v>
      </c>
      <c r="H2966">
        <v>0.8274546147621941</v>
      </c>
      <c r="I2966">
        <v>0.765035167942494</v>
      </c>
    </row>
    <row r="2967" spans="1:9">
      <c r="A2967" s="1" t="s">
        <v>2979</v>
      </c>
      <c r="B2967">
        <f>HYPERLINK("https://www.suredividend.com/sure-analysis-research-database/","Valley National Bancorp")</f>
        <v>0</v>
      </c>
      <c r="C2967">
        <v>-0.003618817852834</v>
      </c>
      <c r="D2967">
        <v>-0.143437862950058</v>
      </c>
      <c r="E2967">
        <v>0.18961891868537</v>
      </c>
      <c r="F2967">
        <v>-0.223727985263988</v>
      </c>
      <c r="G2967">
        <v>-0.240501673470889</v>
      </c>
      <c r="H2967">
        <v>-0.341286803406807</v>
      </c>
      <c r="I2967">
        <v>0.047757975518488</v>
      </c>
    </row>
    <row r="2968" spans="1:9">
      <c r="A2968" s="1" t="s">
        <v>2980</v>
      </c>
      <c r="B2968">
        <f>HYPERLINK("https://www.suredividend.com/sure-analysis-VMC/","Vulcan Materials Co")</f>
        <v>0</v>
      </c>
      <c r="C2968">
        <v>0.02931369133529</v>
      </c>
      <c r="D2968">
        <v>-0.07110648006754901</v>
      </c>
      <c r="E2968">
        <v>0.158462709565971</v>
      </c>
      <c r="F2968">
        <v>0.18879764286753</v>
      </c>
      <c r="G2968">
        <v>0.280687392641341</v>
      </c>
      <c r="H2968">
        <v>0.07928705059060201</v>
      </c>
      <c r="I2968">
        <v>1.131228965423432</v>
      </c>
    </row>
    <row r="2969" spans="1:9">
      <c r="A2969" s="1" t="s">
        <v>2981</v>
      </c>
      <c r="B2969">
        <f>HYPERLINK("https://www.suredividend.com/sure-analysis-research-database/","Valmont Industries, Inc.")</f>
        <v>0</v>
      </c>
      <c r="C2969">
        <v>-0.155605248723682</v>
      </c>
      <c r="D2969">
        <v>-0.230755038548731</v>
      </c>
      <c r="E2969">
        <v>-0.302628740839445</v>
      </c>
      <c r="F2969">
        <v>-0.390896036882853</v>
      </c>
      <c r="G2969">
        <v>-0.353708434116237</v>
      </c>
      <c r="H2969">
        <v>-0.165612547039306</v>
      </c>
      <c r="I2969">
        <v>0.6220198535943301</v>
      </c>
    </row>
    <row r="2970" spans="1:9">
      <c r="A2970" s="1" t="s">
        <v>2982</v>
      </c>
      <c r="B2970">
        <f>HYPERLINK("https://www.suredividend.com/sure-analysis-research-database/","Vmware Inc.")</f>
        <v>0</v>
      </c>
      <c r="C2970">
        <v>-0.129838903582592</v>
      </c>
      <c r="D2970">
        <v>-0.083101089435013</v>
      </c>
      <c r="E2970">
        <v>0.168550209880529</v>
      </c>
      <c r="F2970">
        <v>0.17921146953405</v>
      </c>
      <c r="G2970">
        <v>0.293077266636891</v>
      </c>
      <c r="H2970">
        <v>0.07332987321124</v>
      </c>
      <c r="I2970">
        <v>0.232809982388428</v>
      </c>
    </row>
    <row r="2971" spans="1:9">
      <c r="A2971" s="1" t="s">
        <v>2983</v>
      </c>
      <c r="B2971">
        <f>HYPERLINK("https://www.suredividend.com/sure-analysis-research-database/","Vince Holding Corp")</f>
        <v>0</v>
      </c>
      <c r="C2971">
        <v>-0.196531791907514</v>
      </c>
      <c r="D2971">
        <v>-0.488970588235294</v>
      </c>
      <c r="E2971">
        <v>-0.7851622874806801</v>
      </c>
      <c r="F2971">
        <v>-0.8224776500638571</v>
      </c>
      <c r="G2971">
        <v>-0.8249370277078081</v>
      </c>
      <c r="H2971">
        <v>-0.8581632653061221</v>
      </c>
      <c r="I2971">
        <v>-0.906836461126005</v>
      </c>
    </row>
    <row r="2972" spans="1:9">
      <c r="A2972" s="1" t="s">
        <v>2984</v>
      </c>
      <c r="B2972">
        <f>HYPERLINK("https://www.suredividend.com/sure-analysis-research-database/","Vanda Pharmaceuticals Inc")</f>
        <v>0</v>
      </c>
      <c r="C2972">
        <v>0.07194244604316501</v>
      </c>
      <c r="D2972">
        <v>-0.187272727272727</v>
      </c>
      <c r="E2972">
        <v>-0.303738317757009</v>
      </c>
      <c r="F2972">
        <v>-0.395128552097428</v>
      </c>
      <c r="G2972">
        <v>-0.5664403491755571</v>
      </c>
      <c r="H2972">
        <v>-0.7829043224866441</v>
      </c>
      <c r="I2972">
        <v>-0.7815249266862171</v>
      </c>
    </row>
    <row r="2973" spans="1:9">
      <c r="A2973" s="1" t="s">
        <v>2985</v>
      </c>
      <c r="B2973">
        <f>HYPERLINK("https://www.suredividend.com/sure-analysis-research-database/","Veoneer Inc")</f>
        <v>0</v>
      </c>
      <c r="C2973">
        <v>0.04231311706629001</v>
      </c>
      <c r="D2973">
        <v>0.041431792559188</v>
      </c>
      <c r="E2973">
        <v>0.08485026423957701</v>
      </c>
      <c r="F2973">
        <v>0.041431792559188</v>
      </c>
      <c r="G2973">
        <v>0.5093954248366011</v>
      </c>
      <c r="H2973">
        <v>4.047814207650274</v>
      </c>
      <c r="I2973">
        <v>-0.120238095238095</v>
      </c>
    </row>
    <row r="2974" spans="1:9">
      <c r="A2974" s="1" t="s">
        <v>2986</v>
      </c>
      <c r="B2974">
        <f>HYPERLINK("https://www.suredividend.com/sure-analysis-VNO/","Vornado Realty Trust")</f>
        <v>0</v>
      </c>
      <c r="C2974">
        <v>0.000909504320145</v>
      </c>
      <c r="D2974">
        <v>-0.029969149405024</v>
      </c>
      <c r="E2974">
        <v>0.580043072505384</v>
      </c>
      <c r="F2974">
        <v>0.07573654474008301</v>
      </c>
      <c r="G2974">
        <v>0.003611359366735</v>
      </c>
      <c r="H2974">
        <v>-0.434717731268764</v>
      </c>
      <c r="I2974">
        <v>-0.570549992585597</v>
      </c>
    </row>
    <row r="2975" spans="1:9">
      <c r="A2975" s="1" t="s">
        <v>2987</v>
      </c>
      <c r="B2975">
        <f>HYPERLINK("https://www.suredividend.com/sure-analysis-research-database/","VolitionRX Ltd")</f>
        <v>0</v>
      </c>
      <c r="C2975">
        <v>0.105333333333333</v>
      </c>
      <c r="D2975">
        <v>-0.385925925925926</v>
      </c>
      <c r="E2975">
        <v>-0.563684210526315</v>
      </c>
      <c r="F2975">
        <v>-0.6588477366255141</v>
      </c>
      <c r="G2975">
        <v>-0.570466321243523</v>
      </c>
      <c r="H2975">
        <v>-0.7728767123287671</v>
      </c>
      <c r="I2975">
        <v>-0.651680672268907</v>
      </c>
    </row>
    <row r="2976" spans="1:9">
      <c r="A2976" s="1" t="s">
        <v>2988</v>
      </c>
      <c r="B2976">
        <f>HYPERLINK("https://www.suredividend.com/sure-analysis-research-database/","Venator Materials PLC")</f>
        <v>0</v>
      </c>
      <c r="C2976">
        <v>0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v>0</v>
      </c>
    </row>
    <row r="2977" spans="1:9">
      <c r="A2977" s="1" t="s">
        <v>2989</v>
      </c>
      <c r="B2977">
        <f>HYPERLINK("https://www.suredividend.com/sure-analysis-research-database/","VOXX International Corp")</f>
        <v>0</v>
      </c>
      <c r="C2977">
        <v>0.260752688172043</v>
      </c>
      <c r="D2977">
        <v>0.002136752136752</v>
      </c>
      <c r="E2977">
        <v>-0.273993808049535</v>
      </c>
      <c r="F2977">
        <v>0.119331742243436</v>
      </c>
      <c r="G2977">
        <v>-0.00845665961945</v>
      </c>
      <c r="H2977">
        <v>-0.21571906354515</v>
      </c>
      <c r="I2977">
        <v>0.773156899810964</v>
      </c>
    </row>
    <row r="2978" spans="1:9">
      <c r="A2978" s="1" t="s">
        <v>2990</v>
      </c>
      <c r="B2978">
        <f>HYPERLINK("https://www.suredividend.com/sure-analysis-research-database/","Voya Financial Inc")</f>
        <v>0</v>
      </c>
      <c r="C2978">
        <v>0.032326283987915</v>
      </c>
      <c r="D2978">
        <v>-0.057871815974821</v>
      </c>
      <c r="E2978">
        <v>-0.07871003227345801</v>
      </c>
      <c r="F2978">
        <v>0.124074168499277</v>
      </c>
      <c r="G2978">
        <v>0.037006913379422</v>
      </c>
      <c r="H2978">
        <v>0.007304950740223</v>
      </c>
      <c r="I2978">
        <v>0.637215631408475</v>
      </c>
    </row>
    <row r="2979" spans="1:9">
      <c r="A2979" s="1" t="s">
        <v>2991</v>
      </c>
      <c r="B2979">
        <f>HYPERLINK("https://www.suredividend.com/sure-analysis-research-database/","Vishay Precision Group Inc")</f>
        <v>0</v>
      </c>
      <c r="C2979">
        <v>-0.08475082065055101</v>
      </c>
      <c r="D2979">
        <v>-0.172423097679438</v>
      </c>
      <c r="E2979">
        <v>-0.194167104571728</v>
      </c>
      <c r="F2979">
        <v>-0.20646830530401</v>
      </c>
      <c r="G2979">
        <v>-0.06863042818098901</v>
      </c>
      <c r="H2979">
        <v>-0.131407533276692</v>
      </c>
      <c r="I2979">
        <v>-0.106612292455578</v>
      </c>
    </row>
    <row r="2980" spans="1:9">
      <c r="A2980" s="1" t="s">
        <v>2992</v>
      </c>
      <c r="B2980">
        <f>HYPERLINK("https://www.suredividend.com/sure-analysis-research-database/","Vera Bradley Inc")</f>
        <v>0</v>
      </c>
      <c r="C2980">
        <v>0.04768786127167601</v>
      </c>
      <c r="D2980">
        <v>0.06932153392330301</v>
      </c>
      <c r="E2980">
        <v>0.342592592592592</v>
      </c>
      <c r="F2980">
        <v>0.6004415011037521</v>
      </c>
      <c r="G2980">
        <v>1.301587301587301</v>
      </c>
      <c r="H2980">
        <v>-0.273547094188376</v>
      </c>
      <c r="I2980">
        <v>-0.462962962962962</v>
      </c>
    </row>
    <row r="2981" spans="1:9">
      <c r="A2981" s="1" t="s">
        <v>2993</v>
      </c>
      <c r="B2981">
        <f>HYPERLINK("https://www.suredividend.com/sure-analysis-research-database/","ViewRay Inc.")</f>
        <v>0</v>
      </c>
      <c r="C2981">
        <v>0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0</v>
      </c>
    </row>
    <row r="2982" spans="1:9">
      <c r="A2982" s="1" t="s">
        <v>2994</v>
      </c>
      <c r="B2982">
        <f>HYPERLINK("https://www.suredividend.com/sure-analysis-research-database/","Varex Imaging Corp")</f>
        <v>0</v>
      </c>
      <c r="C2982">
        <v>-0.009677419354838001</v>
      </c>
      <c r="D2982">
        <v>-0.178045515394912</v>
      </c>
      <c r="E2982">
        <v>0.06658946149392</v>
      </c>
      <c r="F2982">
        <v>-0.09261083743842301</v>
      </c>
      <c r="G2982">
        <v>-0.14643188137164</v>
      </c>
      <c r="H2982">
        <v>-0.319290465631929</v>
      </c>
      <c r="I2982">
        <v>-0.316765578635014</v>
      </c>
    </row>
    <row r="2983" spans="1:9">
      <c r="A2983" s="1" t="s">
        <v>2995</v>
      </c>
      <c r="B2983">
        <f>HYPERLINK("https://www.suredividend.com/sure-analysis-research-database/","Varonis Systems Inc")</f>
        <v>0</v>
      </c>
      <c r="C2983">
        <v>0.09851729818780801</v>
      </c>
      <c r="D2983">
        <v>0.09132569558101401</v>
      </c>
      <c r="E2983">
        <v>0.433978494623656</v>
      </c>
      <c r="F2983">
        <v>0.392648287385129</v>
      </c>
      <c r="G2983">
        <v>0.8943181818181811</v>
      </c>
      <c r="H2983">
        <v>-0.465961877302578</v>
      </c>
      <c r="I2983">
        <v>0.639400689394051</v>
      </c>
    </row>
    <row r="2984" spans="1:9">
      <c r="A2984" s="1" t="s">
        <v>2996</v>
      </c>
      <c r="B2984">
        <f>HYPERLINK("https://www.suredividend.com/sure-analysis-research-database/","Verint Systems, Inc.")</f>
        <v>0</v>
      </c>
      <c r="C2984">
        <v>-0.130989010989011</v>
      </c>
      <c r="D2984">
        <v>-0.456121045392022</v>
      </c>
      <c r="E2984">
        <v>-0.4416831403558311</v>
      </c>
      <c r="F2984">
        <v>-0.455071664829107</v>
      </c>
      <c r="G2984">
        <v>-0.42695652173913</v>
      </c>
      <c r="H2984">
        <v>-0.5776543473616741</v>
      </c>
      <c r="I2984">
        <v>-0.242586774959773</v>
      </c>
    </row>
    <row r="2985" spans="1:9">
      <c r="A2985" s="1" t="s">
        <v>2997</v>
      </c>
      <c r="B2985">
        <f>HYPERLINK("https://www.suredividend.com/sure-analysis-research-database/","Verra Mobility Corp")</f>
        <v>0</v>
      </c>
      <c r="C2985">
        <v>0.07142857142857101</v>
      </c>
      <c r="D2985">
        <v>-0.027844455112817</v>
      </c>
      <c r="E2985">
        <v>0.216947115384615</v>
      </c>
      <c r="F2985">
        <v>0.464208242950108</v>
      </c>
      <c r="G2985">
        <v>0.255424674519529</v>
      </c>
      <c r="H2985">
        <v>0.262468827930174</v>
      </c>
      <c r="I2985">
        <v>1.029058116232465</v>
      </c>
    </row>
    <row r="2986" spans="1:9">
      <c r="A2986" s="1" t="s">
        <v>2998</v>
      </c>
      <c r="B2986">
        <f>HYPERLINK("https://www.suredividend.com/sure-analysis-research-database/","Verso Corp")</f>
        <v>0</v>
      </c>
      <c r="C2986">
        <v>0.014661654135338</v>
      </c>
      <c r="D2986">
        <v>0.0007415647015200001</v>
      </c>
      <c r="E2986">
        <v>0.276817181919246</v>
      </c>
      <c r="F2986">
        <v>-0.001110288675055</v>
      </c>
      <c r="G2986">
        <v>0.925381652161506</v>
      </c>
      <c r="H2986">
        <v>1.488543846870187</v>
      </c>
      <c r="I2986">
        <v>3.707503401123243</v>
      </c>
    </row>
    <row r="2987" spans="1:9">
      <c r="A2987" s="1" t="s">
        <v>2999</v>
      </c>
      <c r="B2987">
        <f>HYPERLINK("https://www.suredividend.com/sure-analysis-VRSK/","Verisk Analytics Inc")</f>
        <v>0</v>
      </c>
      <c r="C2987">
        <v>-0.027416966363444</v>
      </c>
      <c r="D2987">
        <v>-0.008226452443235001</v>
      </c>
      <c r="E2987">
        <v>0.2235770799799</v>
      </c>
      <c r="F2987">
        <v>0.313155663815697</v>
      </c>
      <c r="G2987">
        <v>0.370438776495726</v>
      </c>
      <c r="H2987">
        <v>0.115966422455456</v>
      </c>
      <c r="I2987">
        <v>1.058357898356322</v>
      </c>
    </row>
    <row r="2988" spans="1:9">
      <c r="A2988" s="1" t="s">
        <v>3000</v>
      </c>
      <c r="B2988">
        <f>HYPERLINK("https://www.suredividend.com/sure-analysis-research-database/","Verisign Inc.")</f>
        <v>0</v>
      </c>
      <c r="C2988">
        <v>-0.009834931303746</v>
      </c>
      <c r="D2988">
        <v>-0.036269180816778</v>
      </c>
      <c r="E2988">
        <v>-0.087700924365921</v>
      </c>
      <c r="F2988">
        <v>-0.024776090342679</v>
      </c>
      <c r="G2988">
        <v>0.073629494668024</v>
      </c>
      <c r="H2988">
        <v>-0.112356563732222</v>
      </c>
      <c r="I2988">
        <v>0.214095261180462</v>
      </c>
    </row>
    <row r="2989" spans="1:9">
      <c r="A2989" s="1" t="s">
        <v>3001</v>
      </c>
      <c r="B2989">
        <f>HYPERLINK("https://www.suredividend.com/sure-analysis-research-database/","Virtus Investment Partners Inc")</f>
        <v>0</v>
      </c>
      <c r="C2989">
        <v>0.000593734020547</v>
      </c>
      <c r="D2989">
        <v>-0.022835702528879</v>
      </c>
      <c r="E2989">
        <v>0.15180316382801</v>
      </c>
      <c r="F2989">
        <v>0.07184996858532401</v>
      </c>
      <c r="G2989">
        <v>0.221325777384448</v>
      </c>
      <c r="H2989">
        <v>-0.343864060222277</v>
      </c>
      <c r="I2989">
        <v>1.238664105911128</v>
      </c>
    </row>
    <row r="2990" spans="1:9">
      <c r="A2990" s="1" t="s">
        <v>3002</v>
      </c>
      <c r="B2990">
        <f>HYPERLINK("https://www.suredividend.com/sure-analysis-research-database/","Virtusa Corp")</f>
        <v>0</v>
      </c>
      <c r="C2990">
        <v>0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0</v>
      </c>
    </row>
    <row r="2991" spans="1:9">
      <c r="A2991" s="1" t="s">
        <v>3003</v>
      </c>
      <c r="B2991">
        <f>HYPERLINK("https://www.suredividend.com/sure-analysis-research-database/","Veritiv Corp")</f>
        <v>0</v>
      </c>
      <c r="C2991">
        <v>0.003137765674027</v>
      </c>
      <c r="D2991">
        <v>0.200761956595686</v>
      </c>
      <c r="E2991">
        <v>0.543450537438513</v>
      </c>
      <c r="F2991">
        <v>0.412692219187401</v>
      </c>
      <c r="G2991">
        <v>0.568337066587682</v>
      </c>
      <c r="H2991">
        <v>0.54588666782231</v>
      </c>
      <c r="I2991">
        <v>3.814265500605192</v>
      </c>
    </row>
    <row r="2992" spans="1:9">
      <c r="A2992" s="1" t="s">
        <v>3004</v>
      </c>
      <c r="B2992">
        <f>HYPERLINK("https://www.suredividend.com/sure-analysis-research-database/","Vertex Pharmaceuticals, Inc.")</f>
        <v>0</v>
      </c>
      <c r="C2992">
        <v>0.08256907109795</v>
      </c>
      <c r="D2992">
        <v>0.05064174107142801</v>
      </c>
      <c r="E2992">
        <v>0.08820044504811701</v>
      </c>
      <c r="F2992">
        <v>0.3039337904287</v>
      </c>
      <c r="G2992">
        <v>0.21463823747621</v>
      </c>
      <c r="H2992">
        <v>1.0757993384785</v>
      </c>
      <c r="I2992">
        <v>1.172947082924577</v>
      </c>
    </row>
    <row r="2993" spans="1:9">
      <c r="A2993" s="1" t="s">
        <v>3005</v>
      </c>
      <c r="B2993">
        <f>HYPERLINK("https://www.suredividend.com/sure-analysis-research-database/","Viasat, Inc.")</f>
        <v>0</v>
      </c>
      <c r="C2993">
        <v>0.05225125069483001</v>
      </c>
      <c r="D2993">
        <v>-0.35765184933831</v>
      </c>
      <c r="E2993">
        <v>-0.481795784286887</v>
      </c>
      <c r="F2993">
        <v>-0.4018957345971561</v>
      </c>
      <c r="G2993">
        <v>-0.52875280059746</v>
      </c>
      <c r="H2993">
        <v>-0.6947758787487901</v>
      </c>
      <c r="I2993">
        <v>-0.732589348778076</v>
      </c>
    </row>
    <row r="2994" spans="1:9">
      <c r="A2994" s="1" t="s">
        <v>3006</v>
      </c>
      <c r="B2994">
        <f>HYPERLINK("https://www.suredividend.com/sure-analysis-research-database/","VSE Corp.")</f>
        <v>0</v>
      </c>
      <c r="C2994">
        <v>0.179716295763379</v>
      </c>
      <c r="D2994">
        <v>0.09609663026117901</v>
      </c>
      <c r="E2994">
        <v>0.109817735092156</v>
      </c>
      <c r="F2994">
        <v>0.263642329211853</v>
      </c>
      <c r="G2994">
        <v>0.301108631680016</v>
      </c>
      <c r="H2994">
        <v>0.09013847402960101</v>
      </c>
      <c r="I2994">
        <v>1.02424669944743</v>
      </c>
    </row>
    <row r="2995" spans="1:9">
      <c r="A2995" s="1" t="s">
        <v>3007</v>
      </c>
      <c r="B2995">
        <f>HYPERLINK("https://www.suredividend.com/sure-analysis-research-database/","Vishay Intertechnology, Inc.")</f>
        <v>0</v>
      </c>
      <c r="C2995">
        <v>-0.074237560192616</v>
      </c>
      <c r="D2995">
        <v>-0.158508294547629</v>
      </c>
      <c r="E2995">
        <v>0.09888539582737901</v>
      </c>
      <c r="F2995">
        <v>0.082580172874961</v>
      </c>
      <c r="G2995">
        <v>0.171137328162121</v>
      </c>
      <c r="H2995">
        <v>0.166052555762786</v>
      </c>
      <c r="I2995">
        <v>0.312473332385151</v>
      </c>
    </row>
    <row r="2996" spans="1:9">
      <c r="A2996" s="1" t="s">
        <v>3008</v>
      </c>
      <c r="B2996">
        <f>HYPERLINK("https://www.suredividend.com/sure-analysis-VST/","Vistra Corp")</f>
        <v>0</v>
      </c>
      <c r="C2996">
        <v>0.065478020288963</v>
      </c>
      <c r="D2996">
        <v>0.245964813896138</v>
      </c>
      <c r="E2996">
        <v>0.521449986611591</v>
      </c>
      <c r="F2996">
        <v>0.527572103518792</v>
      </c>
      <c r="G2996">
        <v>0.5621338044673601</v>
      </c>
      <c r="H2996">
        <v>0.8527427648951751</v>
      </c>
      <c r="I2996">
        <v>0.6265198762981411</v>
      </c>
    </row>
    <row r="2997" spans="1:9">
      <c r="A2997" s="1" t="s">
        <v>3009</v>
      </c>
      <c r="B2997">
        <f>HYPERLINK("https://www.suredividend.com/sure-analysis-research-database/","Verastem Inc")</f>
        <v>0</v>
      </c>
      <c r="C2997">
        <v>-0.178571428571428</v>
      </c>
      <c r="D2997">
        <v>-0.383141762452107</v>
      </c>
      <c r="E2997">
        <v>0.233716475095785</v>
      </c>
      <c r="F2997">
        <v>0.333333333333333</v>
      </c>
      <c r="G2997">
        <v>0.372198073808915</v>
      </c>
      <c r="H2997">
        <v>-0.8062575210589651</v>
      </c>
      <c r="I2997">
        <v>-0.896196002578981</v>
      </c>
    </row>
    <row r="2998" spans="1:9">
      <c r="A2998" s="1" t="s">
        <v>3010</v>
      </c>
      <c r="B2998">
        <f>HYPERLINK("https://www.suredividend.com/sure-analysis-research-database/","Vista Outdoor Inc")</f>
        <v>0</v>
      </c>
      <c r="C2998">
        <v>-0.193397695421986</v>
      </c>
      <c r="D2998">
        <v>-0.14662273476112</v>
      </c>
      <c r="E2998">
        <v>0.07024793388429701</v>
      </c>
      <c r="F2998">
        <v>0.062782109150594</v>
      </c>
      <c r="G2998">
        <v>-0.09377186843946801</v>
      </c>
      <c r="H2998">
        <v>-0.391161259990597</v>
      </c>
      <c r="I2998">
        <v>0.799861014593467</v>
      </c>
    </row>
    <row r="2999" spans="1:9">
      <c r="A2999" s="1" t="s">
        <v>3011</v>
      </c>
      <c r="B2999">
        <f>HYPERLINK("https://www.suredividend.com/sure-analysis-research-database/","Vertex Energy Inc")</f>
        <v>0</v>
      </c>
      <c r="C2999">
        <v>0.016091954022988</v>
      </c>
      <c r="D2999">
        <v>-0.116</v>
      </c>
      <c r="E2999">
        <v>-0.397820163487738</v>
      </c>
      <c r="F2999">
        <v>-0.287096774193548</v>
      </c>
      <c r="G2999">
        <v>-0.4681107099879661</v>
      </c>
      <c r="H2999">
        <v>-0.117764471057884</v>
      </c>
      <c r="I2999">
        <v>1.695121951219512</v>
      </c>
    </row>
    <row r="3000" spans="1:9">
      <c r="A3000" s="1" t="s">
        <v>3012</v>
      </c>
      <c r="B3000">
        <f>HYPERLINK("https://www.suredividend.com/sure-analysis-VTR/","Ventas Inc")</f>
        <v>0</v>
      </c>
      <c r="C3000">
        <v>0.06361877116594</v>
      </c>
      <c r="D3000">
        <v>-0.083251673164731</v>
      </c>
      <c r="E3000">
        <v>-0.049005316226819</v>
      </c>
      <c r="F3000">
        <v>0.006141651564244</v>
      </c>
      <c r="G3000">
        <v>0.225016298260961</v>
      </c>
      <c r="H3000">
        <v>-0.129722251361231</v>
      </c>
      <c r="I3000">
        <v>-0.029473372872489</v>
      </c>
    </row>
    <row r="3001" spans="1:9">
      <c r="A3001" s="1" t="s">
        <v>3013</v>
      </c>
      <c r="B3001">
        <f>HYPERLINK("https://www.suredividend.com/sure-analysis-research-database/","vTv Therapeutics Inc")</f>
        <v>0</v>
      </c>
      <c r="C3001">
        <v>-0.194567404426559</v>
      </c>
      <c r="D3001">
        <v>-0.4575880758807581</v>
      </c>
      <c r="E3001">
        <v>-0.493291139240506</v>
      </c>
      <c r="F3001">
        <v>-0.396047073023536</v>
      </c>
      <c r="G3001">
        <v>-0.544025515434559</v>
      </c>
      <c r="H3001">
        <v>-0.7239310344827581</v>
      </c>
      <c r="I3001">
        <v>-0.8448449612403099</v>
      </c>
    </row>
    <row r="3002" spans="1:9">
      <c r="A3002" s="1" t="s">
        <v>3014</v>
      </c>
      <c r="B3002">
        <f>HYPERLINK("https://www.suredividend.com/sure-analysis-research-database/","Vuzix Corporation")</f>
        <v>0</v>
      </c>
      <c r="C3002">
        <v>-0.06388888888888801</v>
      </c>
      <c r="D3002">
        <v>-0.321931589537223</v>
      </c>
      <c r="E3002">
        <v>-0.09164420485175101</v>
      </c>
      <c r="F3002">
        <v>-0.07417582417582401</v>
      </c>
      <c r="G3002">
        <v>-0.309426229508196</v>
      </c>
      <c r="H3002">
        <v>-0.7333860759493671</v>
      </c>
      <c r="I3002">
        <v>-0.4466338259441701</v>
      </c>
    </row>
    <row r="3003" spans="1:9">
      <c r="A3003" s="1" t="s">
        <v>3015</v>
      </c>
      <c r="B3003">
        <f>HYPERLINK("https://www.suredividend.com/sure-analysis-research-database/","Viad Corp.")</f>
        <v>0</v>
      </c>
      <c r="C3003">
        <v>-0.037471612414837</v>
      </c>
      <c r="D3003">
        <v>-0.106779065683175</v>
      </c>
      <c r="E3003">
        <v>0.389617486338797</v>
      </c>
      <c r="F3003">
        <v>0.042640426404263</v>
      </c>
      <c r="G3003">
        <v>-0.289267747344885</v>
      </c>
      <c r="H3003">
        <v>-0.455926401369276</v>
      </c>
      <c r="I3003">
        <v>-0.4730713125352251</v>
      </c>
    </row>
    <row r="3004" spans="1:9">
      <c r="A3004" s="1" t="s">
        <v>3016</v>
      </c>
      <c r="B3004">
        <f>HYPERLINK("https://www.suredividend.com/sure-analysis-research-database/","Valvoline Inc")</f>
        <v>0</v>
      </c>
      <c r="C3004">
        <v>-0.04288867865026801</v>
      </c>
      <c r="D3004">
        <v>-0.174374319912948</v>
      </c>
      <c r="E3004">
        <v>-0.109709592255793</v>
      </c>
      <c r="F3004">
        <v>-0.070444104134762</v>
      </c>
      <c r="G3004">
        <v>0.047642717588661</v>
      </c>
      <c r="H3004">
        <v>-0.117535029643263</v>
      </c>
      <c r="I3004">
        <v>0.5990179342901091</v>
      </c>
    </row>
    <row r="3005" spans="1:9">
      <c r="A3005" s="1" t="s">
        <v>3017</v>
      </c>
      <c r="B3005">
        <f>HYPERLINK("https://www.suredividend.com/sure-analysis-research-database/","Vaxart Inc")</f>
        <v>0</v>
      </c>
      <c r="C3005">
        <v>-0.104343149119268</v>
      </c>
      <c r="D3005">
        <v>-0.121240105540897</v>
      </c>
      <c r="E3005">
        <v>-0.194071385359951</v>
      </c>
      <c r="F3005">
        <v>-0.306795712353002</v>
      </c>
      <c r="G3005">
        <v>-0.567467532467532</v>
      </c>
      <c r="H3005">
        <v>-0.9076144244105401</v>
      </c>
      <c r="I3005">
        <v>-0.772662116040955</v>
      </c>
    </row>
    <row r="3006" spans="1:9">
      <c r="A3006" s="1" t="s">
        <v>3018</v>
      </c>
      <c r="B3006">
        <f>HYPERLINK("https://www.suredividend.com/sure-analysis-research-database/","Voyager Therapeutics Inc")</f>
        <v>0</v>
      </c>
      <c r="C3006">
        <v>-0.109116022099447</v>
      </c>
      <c r="D3006">
        <v>-0.283333333333333</v>
      </c>
      <c r="E3006">
        <v>-0.07060518731988401</v>
      </c>
      <c r="F3006">
        <v>0.057377049180328</v>
      </c>
      <c r="G3006">
        <v>0.203358208955223</v>
      </c>
      <c r="H3006">
        <v>0.6580976863753211</v>
      </c>
      <c r="I3006">
        <v>-0.543847241867043</v>
      </c>
    </row>
    <row r="3007" spans="1:9">
      <c r="A3007" s="1" t="s">
        <v>3019</v>
      </c>
      <c r="B3007">
        <f>HYPERLINK("https://www.suredividend.com/sure-analysis-VZ/","Verizon Communications Inc")</f>
        <v>0</v>
      </c>
      <c r="C3007">
        <v>0.1544781855076</v>
      </c>
      <c r="D3007">
        <v>0.100426990194245</v>
      </c>
      <c r="E3007">
        <v>-0.009234267799285</v>
      </c>
      <c r="F3007">
        <v>-0.021944940131587</v>
      </c>
      <c r="G3007">
        <v>0.021886590513818</v>
      </c>
      <c r="H3007">
        <v>-0.226854633595858</v>
      </c>
      <c r="I3007">
        <v>-0.175504917114129</v>
      </c>
    </row>
    <row r="3008" spans="1:9">
      <c r="A3008" s="1" t="s">
        <v>3020</v>
      </c>
      <c r="B3008">
        <f>HYPERLINK("https://www.suredividend.com/sure-analysis-research-database/","Wayfair Inc")</f>
        <v>0</v>
      </c>
      <c r="C3008">
        <v>-0.25296</v>
      </c>
      <c r="D3008">
        <v>-0.3594457401564</v>
      </c>
      <c r="E3008">
        <v>0.475663716814159</v>
      </c>
      <c r="F3008">
        <v>0.419580419580419</v>
      </c>
      <c r="G3008">
        <v>0.311516853932584</v>
      </c>
      <c r="H3008">
        <v>-0.8185034013605441</v>
      </c>
      <c r="I3008">
        <v>-0.497740963855421</v>
      </c>
    </row>
    <row r="3009" spans="1:9">
      <c r="A3009" s="1" t="s">
        <v>3021</v>
      </c>
      <c r="B3009">
        <f>HYPERLINK("https://www.suredividend.com/sure-analysis-research-database/","Westinghouse Air Brake Technologies Corp")</f>
        <v>0</v>
      </c>
      <c r="C3009">
        <v>0.039053591790193</v>
      </c>
      <c r="D3009">
        <v>-0.06797040006955</v>
      </c>
      <c r="E3009">
        <v>0.134797552531734</v>
      </c>
      <c r="F3009">
        <v>0.101011097708567</v>
      </c>
      <c r="G3009">
        <v>0.218660042327122</v>
      </c>
      <c r="H3009">
        <v>0.216009287708798</v>
      </c>
      <c r="I3009">
        <v>0.328049473638187</v>
      </c>
    </row>
    <row r="3010" spans="1:9">
      <c r="A3010" s="1" t="s">
        <v>3022</v>
      </c>
      <c r="B3010">
        <f>HYPERLINK("https://www.suredividend.com/sure-analysis-WABC/","Westamerica Bancorporation")</f>
        <v>0</v>
      </c>
      <c r="C3010">
        <v>0.115935334872979</v>
      </c>
      <c r="D3010">
        <v>0.007059000068776001</v>
      </c>
      <c r="E3010">
        <v>0.33220110943238</v>
      </c>
      <c r="F3010">
        <v>-0.140864753763161</v>
      </c>
      <c r="G3010">
        <v>-0.168675299918622</v>
      </c>
      <c r="H3010">
        <v>-0.05159503579090301</v>
      </c>
      <c r="I3010">
        <v>-0.054012517888991</v>
      </c>
    </row>
    <row r="3011" spans="1:9">
      <c r="A3011" s="1" t="s">
        <v>3023</v>
      </c>
      <c r="B3011">
        <f>HYPERLINK("https://www.suredividend.com/sure-analysis-WAFD/","WaFd Inc")</f>
        <v>0</v>
      </c>
      <c r="C3011">
        <v>0.021209740769835</v>
      </c>
      <c r="D3011">
        <v>-0.13046677212544</v>
      </c>
      <c r="E3011">
        <v>0.041804405229858</v>
      </c>
      <c r="F3011">
        <v>-0.197525910653769</v>
      </c>
      <c r="G3011">
        <v>-0.279610768156579</v>
      </c>
      <c r="H3011">
        <v>-0.221738635887427</v>
      </c>
      <c r="I3011">
        <v>0.08811651216807201</v>
      </c>
    </row>
    <row r="3012" spans="1:9">
      <c r="A3012" s="1" t="s">
        <v>3024</v>
      </c>
      <c r="B3012">
        <f>HYPERLINK("https://www.suredividend.com/sure-analysis-research-database/","Western Alliance Bancorp")</f>
        <v>0</v>
      </c>
      <c r="C3012">
        <v>0.030092072759936</v>
      </c>
      <c r="D3012">
        <v>-0.082513756293091</v>
      </c>
      <c r="E3012">
        <v>0.5133719127146991</v>
      </c>
      <c r="F3012">
        <v>-0.210333323004142</v>
      </c>
      <c r="G3012">
        <v>-0.268895629153005</v>
      </c>
      <c r="H3012">
        <v>-0.5964279429878581</v>
      </c>
      <c r="I3012">
        <v>0.02658329267583</v>
      </c>
    </row>
    <row r="3013" spans="1:9">
      <c r="A3013" s="1" t="s">
        <v>3025</v>
      </c>
      <c r="B3013">
        <f>HYPERLINK("https://www.suredividend.com/sure-analysis-WASH/","Washington Trust Bancorp, Inc.")</f>
        <v>0</v>
      </c>
      <c r="C3013">
        <v>-0.05019305019305</v>
      </c>
      <c r="D3013">
        <v>-0.191682876820356</v>
      </c>
      <c r="E3013">
        <v>0.027324321276889</v>
      </c>
      <c r="F3013">
        <v>-0.424829143860518</v>
      </c>
      <c r="G3013">
        <v>-0.418156359834813</v>
      </c>
      <c r="H3013">
        <v>-0.4790993924943721</v>
      </c>
      <c r="I3013">
        <v>-0.360964268550869</v>
      </c>
    </row>
    <row r="3014" spans="1:9">
      <c r="A3014" s="1" t="s">
        <v>3026</v>
      </c>
      <c r="B3014">
        <f>HYPERLINK("https://www.suredividend.com/sure-analysis-research-database/","Waters Corp.")</f>
        <v>0</v>
      </c>
      <c r="C3014">
        <v>-0.092821233180541</v>
      </c>
      <c r="D3014">
        <v>-0.158892278164307</v>
      </c>
      <c r="E3014">
        <v>-0.176504144156236</v>
      </c>
      <c r="F3014">
        <v>-0.283641777103158</v>
      </c>
      <c r="G3014">
        <v>-0.170183269087712</v>
      </c>
      <c r="H3014">
        <v>-0.296577619811969</v>
      </c>
      <c r="I3014">
        <v>0.267286341337464</v>
      </c>
    </row>
    <row r="3015" spans="1:9">
      <c r="A3015" s="1" t="s">
        <v>3027</v>
      </c>
      <c r="B3015">
        <f>HYPERLINK("https://www.suredividend.com/sure-analysis-research-database/","Energous Corp")</f>
        <v>0</v>
      </c>
      <c r="C3015">
        <v>0.278481012658227</v>
      </c>
      <c r="D3015">
        <v>-0.577582601421999</v>
      </c>
      <c r="E3015">
        <v>-0.7292225201072381</v>
      </c>
      <c r="F3015">
        <v>-0.8791866028708131</v>
      </c>
      <c r="G3015">
        <v>-0.912931034482758</v>
      </c>
      <c r="H3015">
        <v>-0.9500000000000001</v>
      </c>
      <c r="I3015">
        <v>-0.9882830626450111</v>
      </c>
    </row>
    <row r="3016" spans="1:9">
      <c r="A3016" s="1" t="s">
        <v>3028</v>
      </c>
      <c r="B3016">
        <f>HYPERLINK("https://www.suredividend.com/sure-analysis-WBA/","Walgreens Boots Alliance Inc")</f>
        <v>0</v>
      </c>
      <c r="C3016">
        <v>-0.04103479036574401</v>
      </c>
      <c r="D3016">
        <v>-0.286378120021242</v>
      </c>
      <c r="E3016">
        <v>-0.3367247778028</v>
      </c>
      <c r="F3016">
        <v>-0.397384367870216</v>
      </c>
      <c r="G3016">
        <v>-0.363899679582954</v>
      </c>
      <c r="H3016">
        <v>-0.501943578315318</v>
      </c>
      <c r="I3016">
        <v>-0.6660889228494571</v>
      </c>
    </row>
    <row r="3017" spans="1:9">
      <c r="A3017" s="1" t="s">
        <v>3029</v>
      </c>
      <c r="B3017">
        <f>HYPERLINK("https://www.suredividend.com/sure-analysis-research-database/","Webster Financial Corp.")</f>
        <v>0</v>
      </c>
      <c r="C3017">
        <v>0.014235649794311</v>
      </c>
      <c r="D3017">
        <v>-0.123230195226229</v>
      </c>
      <c r="E3017">
        <v>0.185925737462023</v>
      </c>
      <c r="F3017">
        <v>-0.129856125378025</v>
      </c>
      <c r="G3017">
        <v>-0.211926523386607</v>
      </c>
      <c r="H3017">
        <v>-0.255722036037931</v>
      </c>
      <c r="I3017">
        <v>-0.201188740833933</v>
      </c>
    </row>
    <row r="3018" spans="1:9">
      <c r="A3018" s="1" t="s">
        <v>3030</v>
      </c>
      <c r="B3018">
        <f>HYPERLINK("https://www.suredividend.com/sure-analysis-research-database/","Welbilt Inc")</f>
        <v>0</v>
      </c>
      <c r="C3018">
        <v>0.007130872483221</v>
      </c>
      <c r="D3018">
        <v>0.01522198731501</v>
      </c>
      <c r="E3018">
        <v>0.012225969645868</v>
      </c>
      <c r="F3018">
        <v>0.010096760622633</v>
      </c>
      <c r="G3018">
        <v>0.027385537013264</v>
      </c>
      <c r="H3018">
        <v>2.775157232704402</v>
      </c>
      <c r="I3018">
        <v>0.232546201232032</v>
      </c>
    </row>
    <row r="3019" spans="1:9">
      <c r="A3019" s="1" t="s">
        <v>3031</v>
      </c>
      <c r="B3019">
        <f>HYPERLINK("https://www.suredividend.com/sure-analysis-research-database/","Wesco International, Inc.")</f>
        <v>0</v>
      </c>
      <c r="C3019">
        <v>-0.03846969804115601</v>
      </c>
      <c r="D3019">
        <v>-0.240489076549339</v>
      </c>
      <c r="E3019">
        <v>-0.04655386406187501</v>
      </c>
      <c r="F3019">
        <v>0.09382856085562701</v>
      </c>
      <c r="G3019">
        <v>-0.002422593657235</v>
      </c>
      <c r="H3019">
        <v>0.026284724004359</v>
      </c>
      <c r="I3019">
        <v>1.551180275025376</v>
      </c>
    </row>
    <row r="3020" spans="1:9">
      <c r="A3020" s="1" t="s">
        <v>3032</v>
      </c>
      <c r="B3020">
        <f>HYPERLINK("https://www.suredividend.com/sure-analysis-research-database/","Walker &amp; Dunlop Inc")</f>
        <v>0</v>
      </c>
      <c r="C3020">
        <v>-0.027315585135884</v>
      </c>
      <c r="D3020">
        <v>-0.212510033059985</v>
      </c>
      <c r="E3020">
        <v>0.111850759989222</v>
      </c>
      <c r="F3020">
        <v>-0.084621909049389</v>
      </c>
      <c r="G3020">
        <v>-0.147357110907994</v>
      </c>
      <c r="H3020">
        <v>-0.431585685520627</v>
      </c>
      <c r="I3020">
        <v>0.727236913379623</v>
      </c>
    </row>
    <row r="3021" spans="1:9">
      <c r="A3021" s="1" t="s">
        <v>3033</v>
      </c>
      <c r="B3021">
        <f>HYPERLINK("https://www.suredividend.com/sure-analysis-research-database/","Workday Inc")</f>
        <v>0</v>
      </c>
      <c r="C3021">
        <v>-0.003463446597397</v>
      </c>
      <c r="D3021">
        <v>-0.07111072332257201</v>
      </c>
      <c r="E3021">
        <v>0.162671326380167</v>
      </c>
      <c r="F3021">
        <v>0.272455626606107</v>
      </c>
      <c r="G3021">
        <v>0.483659675283952</v>
      </c>
      <c r="H3021">
        <v>-0.269019500137324</v>
      </c>
      <c r="I3021">
        <v>0.602830472749171</v>
      </c>
    </row>
    <row r="3022" spans="1:9">
      <c r="A3022" s="1" t="s">
        <v>3034</v>
      </c>
      <c r="B3022">
        <f>HYPERLINK("https://www.suredividend.com/sure-analysis-research-database/","Western Digital Corp.")</f>
        <v>0</v>
      </c>
      <c r="C3022">
        <v>-0.07279524961513001</v>
      </c>
      <c r="D3022">
        <v>-0.006129184347006001</v>
      </c>
      <c r="E3022">
        <v>0.259635494472662</v>
      </c>
      <c r="F3022">
        <v>0.336291600633914</v>
      </c>
      <c r="G3022">
        <v>0.219201850780798</v>
      </c>
      <c r="H3022">
        <v>-0.233872433218244</v>
      </c>
      <c r="I3022">
        <v>-0.05674940990905301</v>
      </c>
    </row>
    <row r="3023" spans="1:9">
      <c r="A3023" s="1" t="s">
        <v>3035</v>
      </c>
      <c r="B3023">
        <f>HYPERLINK("https://www.suredividend.com/sure-analysis-WDFC/","WD-40 Co.")</f>
        <v>0</v>
      </c>
      <c r="C3023">
        <v>0.098469555913753</v>
      </c>
      <c r="D3023">
        <v>-0.038534890266711</v>
      </c>
      <c r="E3023">
        <v>0.226374946384542</v>
      </c>
      <c r="F3023">
        <v>0.395057691647084</v>
      </c>
      <c r="G3023">
        <v>0.4594236308170641</v>
      </c>
      <c r="H3023">
        <v>0.013167481250857</v>
      </c>
      <c r="I3023">
        <v>0.389655463031552</v>
      </c>
    </row>
    <row r="3024" spans="1:9">
      <c r="A3024" s="1" t="s">
        <v>3036</v>
      </c>
      <c r="B3024">
        <f>HYPERLINK("https://www.suredividend.com/sure-analysis-research-database/","Waddell &amp; Reed Financial, Inc.")</f>
        <v>0</v>
      </c>
      <c r="C3024">
        <v>0.003196735795408</v>
      </c>
      <c r="D3024">
        <v>0.007201206383510001</v>
      </c>
      <c r="E3024">
        <v>0.635587449583573</v>
      </c>
      <c r="F3024">
        <v>0.0004886293546080001</v>
      </c>
      <c r="G3024">
        <v>0.8683620044876591</v>
      </c>
      <c r="H3024">
        <v>0.524369778667366</v>
      </c>
      <c r="I3024">
        <v>0.748173445679254</v>
      </c>
    </row>
    <row r="3025" spans="1:9">
      <c r="A3025" s="1" t="s">
        <v>3037</v>
      </c>
      <c r="B3025">
        <f>HYPERLINK("https://www.suredividend.com/sure-analysis-WEC/","WEC Energy Group Inc")</f>
        <v>0</v>
      </c>
      <c r="C3025">
        <v>0.08905621186550601</v>
      </c>
      <c r="D3025">
        <v>-0.054420687548538</v>
      </c>
      <c r="E3025">
        <v>-0.103982466296539</v>
      </c>
      <c r="F3025">
        <v>-0.082066875952646</v>
      </c>
      <c r="G3025">
        <v>-0.031138911281474</v>
      </c>
      <c r="H3025">
        <v>-0.009029654690128001</v>
      </c>
      <c r="I3025">
        <v>0.464186851815005</v>
      </c>
    </row>
    <row r="3026" spans="1:9">
      <c r="A3026" s="1" t="s">
        <v>3038</v>
      </c>
      <c r="B3026">
        <f>HYPERLINK("https://www.suredividend.com/sure-analysis-WELL/","Welltower Inc.")</f>
        <v>0</v>
      </c>
      <c r="C3026">
        <v>0.074268934295852</v>
      </c>
      <c r="D3026">
        <v>0.058277586934249</v>
      </c>
      <c r="E3026">
        <v>0.152241556024792</v>
      </c>
      <c r="F3026">
        <v>0.370831882614323</v>
      </c>
      <c r="G3026">
        <v>0.5404157368029531</v>
      </c>
      <c r="H3026">
        <v>-0.05798842978044001</v>
      </c>
      <c r="I3026">
        <v>-0.05798842978044001</v>
      </c>
    </row>
    <row r="3027" spans="1:9">
      <c r="A3027" s="1" t="s">
        <v>3039</v>
      </c>
      <c r="B3027">
        <f>HYPERLINK("https://www.suredividend.com/sure-analysis-WEN/","Wendy`s Co")</f>
        <v>0</v>
      </c>
      <c r="C3027">
        <v>-0.066866267465069</v>
      </c>
      <c r="D3027">
        <v>-0.107547665067888</v>
      </c>
      <c r="E3027">
        <v>-0.109511088253641</v>
      </c>
      <c r="F3027">
        <v>-0.12367027508318</v>
      </c>
      <c r="G3027">
        <v>-0.027166505394804</v>
      </c>
      <c r="H3027">
        <v>-0.09086931367925601</v>
      </c>
      <c r="I3027">
        <v>0.268777224431085</v>
      </c>
    </row>
    <row r="3028" spans="1:9">
      <c r="A3028" s="1" t="s">
        <v>3040</v>
      </c>
      <c r="B3028">
        <f>HYPERLINK("https://www.suredividend.com/sure-analysis-research-database/","Werner Enterprises, Inc.")</f>
        <v>0</v>
      </c>
      <c r="C3028">
        <v>-0.072164948453608</v>
      </c>
      <c r="D3028">
        <v>-0.217161558283409</v>
      </c>
      <c r="E3028">
        <v>-0.20795738810748</v>
      </c>
      <c r="F3028">
        <v>-0.09112712859288701</v>
      </c>
      <c r="G3028">
        <v>-0.040299426578907</v>
      </c>
      <c r="H3028">
        <v>-0.187943670359267</v>
      </c>
      <c r="I3028">
        <v>0.315659638851429</v>
      </c>
    </row>
    <row r="3029" spans="1:9">
      <c r="A3029" s="1" t="s">
        <v>3041</v>
      </c>
      <c r="B3029">
        <f>HYPERLINK("https://www.suredividend.com/sure-analysis-research-database/","WEX Inc")</f>
        <v>0</v>
      </c>
      <c r="C3029">
        <v>-0.07849646605268701</v>
      </c>
      <c r="D3029">
        <v>-0.09253888742420201</v>
      </c>
      <c r="E3029">
        <v>0.027769483427888</v>
      </c>
      <c r="F3029">
        <v>0.051634586006721</v>
      </c>
      <c r="G3029">
        <v>0.09883795173030201</v>
      </c>
      <c r="H3029">
        <v>0.196551484391295</v>
      </c>
      <c r="I3029">
        <v>-0.004339022273647001</v>
      </c>
    </row>
    <row r="3030" spans="1:9">
      <c r="A3030" s="1" t="s">
        <v>3042</v>
      </c>
      <c r="B3030">
        <f>HYPERLINK("https://www.suredividend.com/sure-analysis-WEYS/","Weyco Group, Inc")</f>
        <v>0</v>
      </c>
      <c r="C3030">
        <v>0.054615384615384</v>
      </c>
      <c r="D3030">
        <v>0.125144643868331</v>
      </c>
      <c r="E3030">
        <v>0.07306382812194201</v>
      </c>
      <c r="F3030">
        <v>0.36095614365979</v>
      </c>
      <c r="G3030">
        <v>0.182095266014545</v>
      </c>
      <c r="H3030">
        <v>0.324855290240909</v>
      </c>
      <c r="I3030">
        <v>0.07514654851294901</v>
      </c>
    </row>
    <row r="3031" spans="1:9">
      <c r="A3031" s="1" t="s">
        <v>3043</v>
      </c>
      <c r="B3031">
        <f>HYPERLINK("https://www.suredividend.com/sure-analysis-WFC/","Wells Fargo &amp; Co.")</f>
        <v>0</v>
      </c>
      <c r="C3031">
        <v>0.031839021905247</v>
      </c>
      <c r="D3031">
        <v>-0.08667872103457101</v>
      </c>
      <c r="E3031">
        <v>0.06882031365430401</v>
      </c>
      <c r="F3031">
        <v>0.011814071983415</v>
      </c>
      <c r="G3031">
        <v>-0.103094335612313</v>
      </c>
      <c r="H3031">
        <v>-0.163275844263141</v>
      </c>
      <c r="I3031">
        <v>-0.11819572963807</v>
      </c>
    </row>
    <row r="3032" spans="1:9">
      <c r="A3032" s="1" t="s">
        <v>3044</v>
      </c>
      <c r="B3032">
        <f>HYPERLINK("https://www.suredividend.com/sure-analysis-WGO/","Winnebago Industries, Inc.")</f>
        <v>0</v>
      </c>
      <c r="C3032">
        <v>0.038895436942246</v>
      </c>
      <c r="D3032">
        <v>-0.09727221120026201</v>
      </c>
      <c r="E3032">
        <v>0.048554710933689</v>
      </c>
      <c r="F3032">
        <v>0.192600080795273</v>
      </c>
      <c r="G3032">
        <v>0.111013074661159</v>
      </c>
      <c r="H3032">
        <v>-0.08823842343567101</v>
      </c>
      <c r="I3032">
        <v>1.254581331189593</v>
      </c>
    </row>
    <row r="3033" spans="1:9">
      <c r="A3033" s="1" t="s">
        <v>3045</v>
      </c>
      <c r="B3033">
        <f>HYPERLINK("https://www.suredividend.com/sure-analysis-research-database/","Wyndham Hotels &amp; Resorts Inc")</f>
        <v>0</v>
      </c>
      <c r="C3033">
        <v>0.07492287351256001</v>
      </c>
      <c r="D3033">
        <v>-0.04545596860715</v>
      </c>
      <c r="E3033">
        <v>0.067506627236373</v>
      </c>
      <c r="F3033">
        <v>0.041263462282838</v>
      </c>
      <c r="G3033">
        <v>0.021406685139558</v>
      </c>
      <c r="H3033">
        <v>-0.09803631522502801</v>
      </c>
      <c r="I3033">
        <v>0.606715839446992</v>
      </c>
    </row>
    <row r="3034" spans="1:9">
      <c r="A3034" s="1" t="s">
        <v>3046</v>
      </c>
      <c r="B3034">
        <f>HYPERLINK("https://www.suredividend.com/sure-analysis-research-database/","Cactus Inc")</f>
        <v>0</v>
      </c>
      <c r="C3034">
        <v>-0.032258064516129</v>
      </c>
      <c r="D3034">
        <v>-0.05545676685029401</v>
      </c>
      <c r="E3034">
        <v>0.258631653662565</v>
      </c>
      <c r="F3034">
        <v>-0.043407634690009</v>
      </c>
      <c r="G3034">
        <v>-0.044675920826265</v>
      </c>
      <c r="H3034">
        <v>0.101871101871102</v>
      </c>
      <c r="I3034">
        <v>0.373986432964152</v>
      </c>
    </row>
    <row r="3035" spans="1:9">
      <c r="A3035" s="1" t="s">
        <v>3047</v>
      </c>
      <c r="B3035">
        <f>HYPERLINK("https://www.suredividend.com/sure-analysis-research-database/","Westwood Holdings Group Inc")</f>
        <v>0</v>
      </c>
      <c r="C3035">
        <v>0.003984063745019</v>
      </c>
      <c r="D3035">
        <v>-0.13314184482551</v>
      </c>
      <c r="E3035">
        <v>-0.158316633266533</v>
      </c>
      <c r="F3035">
        <v>-0.058753221529152</v>
      </c>
      <c r="G3035">
        <v>0.043975392008617</v>
      </c>
      <c r="H3035">
        <v>-0.375077495350278</v>
      </c>
      <c r="I3035">
        <v>-0.663534556135988</v>
      </c>
    </row>
    <row r="3036" spans="1:9">
      <c r="A3036" s="1" t="s">
        <v>3048</v>
      </c>
      <c r="B3036">
        <f>HYPERLINK("https://www.suredividend.com/sure-analysis-research-database/","Wilhelmina International Inc")</f>
        <v>0</v>
      </c>
      <c r="C3036">
        <v>0.133079847908745</v>
      </c>
      <c r="D3036">
        <v>0.269886363636363</v>
      </c>
      <c r="E3036">
        <v>0.079710144927536</v>
      </c>
      <c r="F3036">
        <v>0.262711864406779</v>
      </c>
      <c r="G3036">
        <v>0.084951456310679</v>
      </c>
      <c r="H3036">
        <v>-0.20035778175313</v>
      </c>
      <c r="I3036">
        <v>-0.256239600665557</v>
      </c>
    </row>
    <row r="3037" spans="1:9">
      <c r="A3037" s="1" t="s">
        <v>3049</v>
      </c>
      <c r="B3037">
        <f>HYPERLINK("https://www.suredividend.com/sure-analysis-research-database/","Wheeler Real Estate Investment Trust Inc")</f>
        <v>0</v>
      </c>
      <c r="C3037">
        <v>-0.7761538461538461</v>
      </c>
      <c r="D3037">
        <v>-0.903</v>
      </c>
      <c r="E3037">
        <v>-0.9484955752212391</v>
      </c>
      <c r="F3037">
        <v>-0.9583154275891701</v>
      </c>
      <c r="G3037">
        <v>-0.963625</v>
      </c>
      <c r="H3037">
        <v>-0.9770866141732281</v>
      </c>
      <c r="I3037">
        <v>-0.9839226519337011</v>
      </c>
    </row>
    <row r="3038" spans="1:9">
      <c r="A3038" s="1" t="s">
        <v>3050</v>
      </c>
      <c r="B3038">
        <f>HYPERLINK("https://www.suredividend.com/sure-analysis-WHR/","Whirlpool Corp.")</f>
        <v>0</v>
      </c>
      <c r="C3038">
        <v>-0.185356250473233</v>
      </c>
      <c r="D3038">
        <v>-0.251098745821842</v>
      </c>
      <c r="E3038">
        <v>-0.205273456399362</v>
      </c>
      <c r="F3038">
        <v>-0.208957550304976</v>
      </c>
      <c r="G3038">
        <v>-0.139736283875032</v>
      </c>
      <c r="H3038">
        <v>-0.455292908530318</v>
      </c>
      <c r="I3038">
        <v>0.118651504549363</v>
      </c>
    </row>
    <row r="3039" spans="1:9">
      <c r="A3039" s="1" t="s">
        <v>3051</v>
      </c>
      <c r="B3039">
        <f>HYPERLINK("https://www.suredividend.com/sure-analysis-research-database/","Boingo Wireless Inc")</f>
        <v>0</v>
      </c>
      <c r="C3039">
        <v>0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0</v>
      </c>
    </row>
    <row r="3040" spans="1:9">
      <c r="A3040" s="1" t="s">
        <v>3052</v>
      </c>
      <c r="B3040">
        <f>HYPERLINK("https://www.suredividend.com/sure-analysis-research-database/","Winmark Corporation")</f>
        <v>0</v>
      </c>
      <c r="C3040">
        <v>0.104548721088073</v>
      </c>
      <c r="D3040">
        <v>0.174156171626723</v>
      </c>
      <c r="E3040">
        <v>0.245139712542819</v>
      </c>
      <c r="F3040">
        <v>0.7805143536512791</v>
      </c>
      <c r="G3040">
        <v>0.723621619803103</v>
      </c>
      <c r="H3040">
        <v>0.8174635743056131</v>
      </c>
      <c r="I3040">
        <v>1.843840606773712</v>
      </c>
    </row>
    <row r="3041" spans="1:9">
      <c r="A3041" s="1" t="s">
        <v>3053</v>
      </c>
      <c r="B3041">
        <f>HYPERLINK("https://www.suredividend.com/sure-analysis-research-database/","Wingstop Inc")</f>
        <v>0</v>
      </c>
      <c r="C3041">
        <v>0.078183495198307</v>
      </c>
      <c r="D3041">
        <v>0.18671679796672</v>
      </c>
      <c r="E3041">
        <v>-0.0006788866259330001</v>
      </c>
      <c r="F3041">
        <v>0.448892842300205</v>
      </c>
      <c r="G3041">
        <v>0.343104726617494</v>
      </c>
      <c r="H3041">
        <v>0.236131465865802</v>
      </c>
      <c r="I3041">
        <v>2.683123834659767</v>
      </c>
    </row>
    <row r="3042" spans="1:9">
      <c r="A3042" s="1" t="s">
        <v>3054</v>
      </c>
      <c r="B3042">
        <f>HYPERLINK("https://www.suredividend.com/sure-analysis-research-database/","Encore Wire Corp.")</f>
        <v>0</v>
      </c>
      <c r="C3042">
        <v>0.011999518042586</v>
      </c>
      <c r="D3042">
        <v>0.092607901474654</v>
      </c>
      <c r="E3042">
        <v>0.119143394161861</v>
      </c>
      <c r="F3042">
        <v>0.325895630640657</v>
      </c>
      <c r="G3042">
        <v>0.366116327511136</v>
      </c>
      <c r="H3042">
        <v>0.303472517727326</v>
      </c>
      <c r="I3042">
        <v>2.733764903511287</v>
      </c>
    </row>
    <row r="3043" spans="1:9">
      <c r="A3043" s="1" t="s">
        <v>3055</v>
      </c>
      <c r="B3043">
        <f>HYPERLINK("https://www.suredividend.com/sure-analysis-research-database/","Workiva Inc")</f>
        <v>0</v>
      </c>
      <c r="C3043">
        <v>-0.123985165881527</v>
      </c>
      <c r="D3043">
        <v>-0.142296368989205</v>
      </c>
      <c r="E3043">
        <v>-0.039771478795868</v>
      </c>
      <c r="F3043">
        <v>0.04084792187686</v>
      </c>
      <c r="G3043">
        <v>0.288895443149977</v>
      </c>
      <c r="H3043">
        <v>-0.398816893657999</v>
      </c>
      <c r="I3043">
        <v>1.563801701378703</v>
      </c>
    </row>
    <row r="3044" spans="1:9">
      <c r="A3044" s="1" t="s">
        <v>3056</v>
      </c>
      <c r="B3044">
        <f>HYPERLINK("https://www.suredividend.com/sure-analysis-research-database/","Workhorse Group Inc")</f>
        <v>0</v>
      </c>
      <c r="C3044">
        <v>0.05351681957186501</v>
      </c>
      <c r="D3044">
        <v>-0.6639024390243901</v>
      </c>
      <c r="E3044">
        <v>-0.620733944954128</v>
      </c>
      <c r="F3044">
        <v>-0.7280263157894731</v>
      </c>
      <c r="G3044">
        <v>-0.844</v>
      </c>
      <c r="H3044">
        <v>-0.946795366795366</v>
      </c>
      <c r="I3044">
        <v>-0.5074466817586081</v>
      </c>
    </row>
    <row r="3045" spans="1:9">
      <c r="A3045" s="1" t="s">
        <v>3057</v>
      </c>
      <c r="B3045">
        <f>HYPERLINK("https://www.suredividend.com/sure-analysis-research-database/","Willdan Group Inc")</f>
        <v>0</v>
      </c>
      <c r="C3045">
        <v>-0.138187221396731</v>
      </c>
      <c r="D3045">
        <v>-0.123867069486404</v>
      </c>
      <c r="E3045">
        <v>0.213389121338912</v>
      </c>
      <c r="F3045">
        <v>-0.025210084033613</v>
      </c>
      <c r="G3045">
        <v>0.325209444021325</v>
      </c>
      <c r="H3045">
        <v>-0.53023758099352</v>
      </c>
      <c r="I3045">
        <v>-0.497255128575556</v>
      </c>
    </row>
    <row r="3046" spans="1:9">
      <c r="A3046" s="1" t="s">
        <v>3058</v>
      </c>
      <c r="B3046">
        <f>HYPERLINK("https://www.suredividend.com/sure-analysis-research-database/","Willis Lease Finance Corp.")</f>
        <v>0</v>
      </c>
      <c r="C3046">
        <v>0.06234954260953301</v>
      </c>
      <c r="D3046">
        <v>0.023185717597959</v>
      </c>
      <c r="E3046">
        <v>-0.118105515587529</v>
      </c>
      <c r="F3046">
        <v>-0.252160650737163</v>
      </c>
      <c r="G3046">
        <v>0.148919552199948</v>
      </c>
      <c r="H3046">
        <v>0.09776119402985001</v>
      </c>
      <c r="I3046">
        <v>0.270293609671848</v>
      </c>
    </row>
    <row r="3047" spans="1:9">
      <c r="A3047" s="1" t="s">
        <v>3059</v>
      </c>
      <c r="B3047">
        <f>HYPERLINK("https://www.suredividend.com/sure-analysis-WLK/","Westlake Corporation")</f>
        <v>0</v>
      </c>
      <c r="C3047">
        <v>-0.015220576265668</v>
      </c>
      <c r="D3047">
        <v>-0.09623164675722001</v>
      </c>
      <c r="E3047">
        <v>0.08477743189545101</v>
      </c>
      <c r="F3047">
        <v>0.19165927153068</v>
      </c>
      <c r="G3047">
        <v>0.276185051579014</v>
      </c>
      <c r="H3047">
        <v>0.249279797785803</v>
      </c>
      <c r="I3047">
        <v>0.7520943602516851</v>
      </c>
    </row>
    <row r="3048" spans="1:9">
      <c r="A3048" s="1" t="s">
        <v>3060</v>
      </c>
      <c r="B3048">
        <f>HYPERLINK("https://www.suredividend.com/sure-analysis-research-database/","Whiting Petroleum Corp")</f>
        <v>0</v>
      </c>
      <c r="C3048">
        <v>-0.230951842640741</v>
      </c>
      <c r="D3048">
        <v>-0.162533499275541</v>
      </c>
      <c r="E3048">
        <v>0.059330611431365</v>
      </c>
      <c r="F3048">
        <v>0.059330611431365</v>
      </c>
      <c r="G3048">
        <v>0.25604899384992</v>
      </c>
      <c r="H3048">
        <v>2.513710339698264</v>
      </c>
      <c r="I3048">
        <v>2.513710339698264</v>
      </c>
    </row>
    <row r="3049" spans="1:9">
      <c r="A3049" s="1" t="s">
        <v>3061</v>
      </c>
      <c r="B3049">
        <f>HYPERLINK("https://www.suredividend.com/sure-analysis-WM/","Waste Management, Inc.")</f>
        <v>0</v>
      </c>
      <c r="C3049">
        <v>0.103432312677732</v>
      </c>
      <c r="D3049">
        <v>0.025591536119139</v>
      </c>
      <c r="E3049">
        <v>0.009717127913035001</v>
      </c>
      <c r="F3049">
        <v>0.07801926155842101</v>
      </c>
      <c r="G3049">
        <v>0.093787079611441</v>
      </c>
      <c r="H3049">
        <v>0.06961779033696301</v>
      </c>
      <c r="I3049">
        <v>1.094250695050238</v>
      </c>
    </row>
    <row r="3050" spans="1:9">
      <c r="A3050" s="1" t="s">
        <v>3062</v>
      </c>
      <c r="B3050">
        <f>HYPERLINK("https://www.suredividend.com/sure-analysis-WMB/","Williams Cos Inc")</f>
        <v>0</v>
      </c>
      <c r="C3050">
        <v>0.08685089583965901</v>
      </c>
      <c r="D3050">
        <v>0.076740715781366</v>
      </c>
      <c r="E3050">
        <v>0.255423859016497</v>
      </c>
      <c r="F3050">
        <v>0.135044621620078</v>
      </c>
      <c r="G3050">
        <v>0.144631680616099</v>
      </c>
      <c r="H3050">
        <v>0.403716573974569</v>
      </c>
      <c r="I3050">
        <v>0.9117364271521051</v>
      </c>
    </row>
    <row r="3051" spans="1:9">
      <c r="A3051" s="1" t="s">
        <v>3063</v>
      </c>
      <c r="B3051">
        <f>HYPERLINK("https://www.suredividend.com/sure-analysis-research-database/","Western Asset Mortgage Capital Corp")</f>
        <v>0</v>
      </c>
      <c r="C3051">
        <v>-0.07293720078851</v>
      </c>
      <c r="D3051">
        <v>-0.105755544206969</v>
      </c>
      <c r="E3051">
        <v>0.08179870394468701</v>
      </c>
      <c r="F3051">
        <v>0.028454319383177</v>
      </c>
      <c r="G3051">
        <v>-0.083600570105113</v>
      </c>
      <c r="H3051">
        <v>-0.5608301004807921</v>
      </c>
      <c r="I3051">
        <v>-0.859528986867752</v>
      </c>
    </row>
    <row r="3052" spans="1:9">
      <c r="A3052" s="1" t="s">
        <v>3064</v>
      </c>
      <c r="B3052">
        <f>HYPERLINK("https://www.suredividend.com/sure-analysis-research-database/","Weis Markets, Inc.")</f>
        <v>0</v>
      </c>
      <c r="C3052">
        <v>0.072417122626327</v>
      </c>
      <c r="D3052">
        <v>0.025043107492628</v>
      </c>
      <c r="E3052">
        <v>-0.181081306927383</v>
      </c>
      <c r="F3052">
        <v>-0.179142534064845</v>
      </c>
      <c r="G3052">
        <v>-0.186948225292449</v>
      </c>
      <c r="H3052">
        <v>0.211228950262184</v>
      </c>
      <c r="I3052">
        <v>0.637752857588738</v>
      </c>
    </row>
    <row r="3053" spans="1:9">
      <c r="A3053" s="1" t="s">
        <v>3065</v>
      </c>
      <c r="B3053">
        <f>HYPERLINK("https://www.suredividend.com/sure-analysis-research-database/","Advanced Drainage Systems Inc")</f>
        <v>0</v>
      </c>
      <c r="C3053">
        <v>-0.060077179442203</v>
      </c>
      <c r="D3053">
        <v>-0.141495097862509</v>
      </c>
      <c r="E3053">
        <v>0.285468223734083</v>
      </c>
      <c r="F3053">
        <v>0.312502143210553</v>
      </c>
      <c r="G3053">
        <v>-0.05047029053819301</v>
      </c>
      <c r="H3053">
        <v>-0.04923283016691801</v>
      </c>
      <c r="I3053">
        <v>2.916831741065881</v>
      </c>
    </row>
    <row r="3054" spans="1:9">
      <c r="A3054" s="1" t="s">
        <v>3066</v>
      </c>
      <c r="B3054">
        <f>HYPERLINK("https://www.suredividend.com/sure-analysis-WMT/","Walmart Inc")</f>
        <v>0</v>
      </c>
      <c r="C3054">
        <v>0.03385384134915601</v>
      </c>
      <c r="D3054">
        <v>0.043263412666397</v>
      </c>
      <c r="E3054">
        <v>0.102919618535872</v>
      </c>
      <c r="F3054">
        <v>0.180780219505844</v>
      </c>
      <c r="G3054">
        <v>0.193989368647103</v>
      </c>
      <c r="H3054">
        <v>0.140391006950377</v>
      </c>
      <c r="I3054">
        <v>0.7779553728045441</v>
      </c>
    </row>
    <row r="3055" spans="1:9">
      <c r="A3055" s="1" t="s">
        <v>3067</v>
      </c>
      <c r="B3055">
        <f>HYPERLINK("https://www.suredividend.com/sure-analysis-research-database/","Wabash National Corp.")</f>
        <v>0</v>
      </c>
      <c r="C3055">
        <v>0.014348031744363</v>
      </c>
      <c r="D3055">
        <v>-0.09849848829704101</v>
      </c>
      <c r="E3055">
        <v>-0.161022106652545</v>
      </c>
      <c r="F3055">
        <v>-0.04755068439068801</v>
      </c>
      <c r="G3055">
        <v>-0.0006778256858270001</v>
      </c>
      <c r="H3055">
        <v>0.353712347284923</v>
      </c>
      <c r="I3055">
        <v>0.501764909773851</v>
      </c>
    </row>
    <row r="3056" spans="1:9">
      <c r="A3056" s="1" t="s">
        <v>3068</v>
      </c>
      <c r="B3056">
        <f>HYPERLINK("https://www.suredividend.com/sure-analysis-research-database/","Western New England Bancorp Inc")</f>
        <v>0</v>
      </c>
      <c r="C3056">
        <v>0.136434108527131</v>
      </c>
      <c r="D3056">
        <v>0.150255001961553</v>
      </c>
      <c r="E3056">
        <v>0.275270538292912</v>
      </c>
      <c r="F3056">
        <v>-0.184059664941281</v>
      </c>
      <c r="G3056">
        <v>-0.111934964077587</v>
      </c>
      <c r="H3056">
        <v>-0.172032079521066</v>
      </c>
      <c r="I3056">
        <v>-0.134480274888119</v>
      </c>
    </row>
    <row r="3057" spans="1:9">
      <c r="A3057" s="1" t="s">
        <v>3069</v>
      </c>
      <c r="B3057">
        <f>HYPERLINK("https://www.suredividend.com/sure-analysis-WOR/","Worthington Industries, Inc.")</f>
        <v>0</v>
      </c>
      <c r="C3057">
        <v>0.024919093851132</v>
      </c>
      <c r="D3057">
        <v>-0.128208657353244</v>
      </c>
      <c r="E3057">
        <v>0.08755934444244101</v>
      </c>
      <c r="F3057">
        <v>0.293719719932352</v>
      </c>
      <c r="G3057">
        <v>0.368285754404156</v>
      </c>
      <c r="H3057">
        <v>0.217414368718562</v>
      </c>
      <c r="I3057">
        <v>0.6692493385197601</v>
      </c>
    </row>
    <row r="3058" spans="1:9">
      <c r="A3058" s="1" t="s">
        <v>3070</v>
      </c>
      <c r="B3058">
        <f>HYPERLINK("https://www.suredividend.com/sure-analysis-research-database/","WideOpenWest Inc")</f>
        <v>0</v>
      </c>
      <c r="C3058">
        <v>-0.05326231691078501</v>
      </c>
      <c r="D3058">
        <v>-0.140266021765417</v>
      </c>
      <c r="E3058">
        <v>-0.362903225806451</v>
      </c>
      <c r="F3058">
        <v>-0.219538968166849</v>
      </c>
      <c r="G3058">
        <v>-0.469006721433905</v>
      </c>
      <c r="H3058">
        <v>-0.632177961717537</v>
      </c>
      <c r="I3058">
        <v>-0.272262026612077</v>
      </c>
    </row>
    <row r="3059" spans="1:9">
      <c r="A3059" s="1" t="s">
        <v>3071</v>
      </c>
      <c r="B3059">
        <f>HYPERLINK("https://www.suredividend.com/sure-analysis-WPC/","W. P. Carey Inc")</f>
        <v>0</v>
      </c>
      <c r="C3059">
        <v>0.051885950419501</v>
      </c>
      <c r="D3059">
        <v>-0.139120812170118</v>
      </c>
      <c r="E3059">
        <v>-0.19559443088197</v>
      </c>
      <c r="F3059">
        <v>-0.243741995734699</v>
      </c>
      <c r="G3059">
        <v>-0.205073522447093</v>
      </c>
      <c r="H3059">
        <v>-0.193956785955435</v>
      </c>
      <c r="I3059">
        <v>0.144229994567025</v>
      </c>
    </row>
    <row r="3060" spans="1:9">
      <c r="A3060" s="1" t="s">
        <v>3072</v>
      </c>
      <c r="B3060">
        <f>HYPERLINK("https://www.suredividend.com/sure-analysis-research-database/","Washington Prime Group Inc")</f>
        <v>0</v>
      </c>
      <c r="C3060">
        <v>-0.369469696969697</v>
      </c>
      <c r="D3060">
        <v>-0.648818565400843</v>
      </c>
      <c r="E3060">
        <v>-0.618211009174311</v>
      </c>
      <c r="F3060">
        <v>-0.8721505376344081</v>
      </c>
      <c r="G3060">
        <v>-0.8527892744702671</v>
      </c>
      <c r="H3060">
        <v>-0.97676729612416</v>
      </c>
      <c r="I3060">
        <v>-0.9877331808394141</v>
      </c>
    </row>
    <row r="3061" spans="1:9">
      <c r="A3061" s="1" t="s">
        <v>3073</v>
      </c>
      <c r="B3061">
        <f>HYPERLINK("https://www.suredividend.com/sure-analysis-research-database/","WPX Energy Inc")</f>
        <v>0</v>
      </c>
      <c r="C3061">
        <v>0.093967517401392</v>
      </c>
      <c r="D3061">
        <v>0.889779559118236</v>
      </c>
      <c r="E3061">
        <v>0.6869409660107331</v>
      </c>
      <c r="F3061">
        <v>0.157055214723926</v>
      </c>
      <c r="G3061">
        <v>-0.3330975954738331</v>
      </c>
      <c r="H3061">
        <v>-0.222588623248145</v>
      </c>
      <c r="I3061">
        <v>0.8973843058350101</v>
      </c>
    </row>
    <row r="3062" spans="1:9">
      <c r="A3062" s="1" t="s">
        <v>3074</v>
      </c>
      <c r="B3062">
        <f>HYPERLINK("https://www.suredividend.com/sure-analysis-WRB/","W.R. Berkley Corp.")</f>
        <v>0</v>
      </c>
      <c r="C3062">
        <v>0.07771773680864501</v>
      </c>
      <c r="D3062">
        <v>0.09073654071965101</v>
      </c>
      <c r="E3062">
        <v>0.172319363237475</v>
      </c>
      <c r="F3062">
        <v>-0.048637212441092</v>
      </c>
      <c r="G3062">
        <v>-0.06987270931636101</v>
      </c>
      <c r="H3062">
        <v>0.27848836332373</v>
      </c>
      <c r="I3062">
        <v>1.123422151103985</v>
      </c>
    </row>
    <row r="3063" spans="1:9">
      <c r="A3063" s="1" t="s">
        <v>3075</v>
      </c>
      <c r="B3063">
        <f>HYPERLINK("https://www.suredividend.com/sure-analysis-research-database/","Weingarten Realty Investors")</f>
        <v>0</v>
      </c>
      <c r="C3063">
        <v>-0.0009120173378620001</v>
      </c>
      <c r="D3063">
        <v>0.002749268031307</v>
      </c>
      <c r="E3063">
        <v>0.420047786595363</v>
      </c>
      <c r="F3063">
        <v>0.509825390422405</v>
      </c>
      <c r="G3063">
        <v>0.9912345147315881</v>
      </c>
      <c r="H3063">
        <v>0.274711730267105</v>
      </c>
      <c r="I3063">
        <v>0.03001254754471</v>
      </c>
    </row>
    <row r="3064" spans="1:9">
      <c r="A3064" s="1" t="s">
        <v>3076</v>
      </c>
      <c r="B3064">
        <f>HYPERLINK("https://www.suredividend.com/sure-analysis-WRK/","WestRock Co")</f>
        <v>0</v>
      </c>
      <c r="C3064">
        <v>0.037629879247402</v>
      </c>
      <c r="D3064">
        <v>0.144572341928209</v>
      </c>
      <c r="E3064">
        <v>0.283021750604183</v>
      </c>
      <c r="F3064">
        <v>0.078929771745763</v>
      </c>
      <c r="G3064">
        <v>0.138892484850726</v>
      </c>
      <c r="H3064">
        <v>-0.171504229924953</v>
      </c>
      <c r="I3064">
        <v>-0.031462400033551</v>
      </c>
    </row>
    <row r="3065" spans="1:9">
      <c r="A3065" s="1" t="s">
        <v>3077</v>
      </c>
      <c r="B3065">
        <f>HYPERLINK("https://www.suredividend.com/sure-analysis-research-database/","World Acceptance Corp.")</f>
        <v>0</v>
      </c>
      <c r="C3065">
        <v>-0.181092403762548</v>
      </c>
      <c r="D3065">
        <v>-0.316938089272763</v>
      </c>
      <c r="E3065">
        <v>0.112901493178644</v>
      </c>
      <c r="F3065">
        <v>0.5711252653927811</v>
      </c>
      <c r="G3065">
        <v>0.395850175154944</v>
      </c>
      <c r="H3065">
        <v>-0.4433100483610961</v>
      </c>
      <c r="I3065">
        <v>-0.04665501058249701</v>
      </c>
    </row>
    <row r="3066" spans="1:9">
      <c r="A3066" s="1" t="s">
        <v>3078</v>
      </c>
      <c r="B3066">
        <f>HYPERLINK("https://www.suredividend.com/sure-analysis-research-database/","Wrap Technologies Inc")</f>
        <v>0</v>
      </c>
      <c r="C3066">
        <v>0.112185686653771</v>
      </c>
      <c r="D3066">
        <v>-0.339080459770114</v>
      </c>
      <c r="E3066">
        <v>-0.108527131782945</v>
      </c>
      <c r="F3066">
        <v>-0.100156494522691</v>
      </c>
      <c r="G3066">
        <v>0.258205689277899</v>
      </c>
      <c r="H3066">
        <v>0.210526315789473</v>
      </c>
      <c r="I3066">
        <v>0.210526315789473</v>
      </c>
    </row>
    <row r="3067" spans="1:9">
      <c r="A3067" s="1" t="s">
        <v>3079</v>
      </c>
      <c r="B3067">
        <f>HYPERLINK("https://www.suredividend.com/sure-analysis-WSBC/","Wesbanco, Inc.")</f>
        <v>0</v>
      </c>
      <c r="C3067">
        <v>0.05996691480562401</v>
      </c>
      <c r="D3067">
        <v>-0.04099799069809201</v>
      </c>
      <c r="E3067">
        <v>0.112403538163731</v>
      </c>
      <c r="F3067">
        <v>-0.262178516526855</v>
      </c>
      <c r="G3067">
        <v>-0.301598720369719</v>
      </c>
      <c r="H3067">
        <v>-0.18572363530077</v>
      </c>
      <c r="I3067">
        <v>-0.213060191837687</v>
      </c>
    </row>
    <row r="3068" spans="1:9">
      <c r="A3068" s="1" t="s">
        <v>3080</v>
      </c>
      <c r="B3068">
        <f>HYPERLINK("https://www.suredividend.com/sure-analysis-research-database/","Waterstone Financial Inc")</f>
        <v>0</v>
      </c>
      <c r="C3068">
        <v>0.06274191236202001</v>
      </c>
      <c r="D3068">
        <v>-0.16697255953674</v>
      </c>
      <c r="E3068">
        <v>-0.146106414184462</v>
      </c>
      <c r="F3068">
        <v>-0.290264108553849</v>
      </c>
      <c r="G3068">
        <v>-0.255275688635587</v>
      </c>
      <c r="H3068">
        <v>-0.390003071926976</v>
      </c>
      <c r="I3068">
        <v>-0.04760273385977801</v>
      </c>
    </row>
    <row r="3069" spans="1:9">
      <c r="A3069" s="1" t="s">
        <v>3081</v>
      </c>
      <c r="B3069">
        <f>HYPERLINK("https://www.suredividend.com/sure-analysis-research-database/","WillScot Mobile Mini Holdings Corp")</f>
        <v>0</v>
      </c>
      <c r="C3069">
        <v>-0.133431085043988</v>
      </c>
      <c r="D3069">
        <v>-0.262325774911587</v>
      </c>
      <c r="E3069">
        <v>-0.205289108023307</v>
      </c>
      <c r="F3069">
        <v>-0.214965685189284</v>
      </c>
      <c r="G3069">
        <v>-0.144717800289435</v>
      </c>
      <c r="H3069">
        <v>0.041103934233705</v>
      </c>
      <c r="I3069">
        <v>1.305591677503251</v>
      </c>
    </row>
    <row r="3070" spans="1:9">
      <c r="A3070" s="1" t="s">
        <v>3082</v>
      </c>
      <c r="B3070">
        <f>HYPERLINK("https://www.suredividend.com/sure-analysis-research-database/","WSFS Financial Corp.")</f>
        <v>0</v>
      </c>
      <c r="C3070">
        <v>0.036108940729992</v>
      </c>
      <c r="D3070">
        <v>-0.112064491906227</v>
      </c>
      <c r="E3070">
        <v>0.169084285529866</v>
      </c>
      <c r="F3070">
        <v>-0.158185416860324</v>
      </c>
      <c r="G3070">
        <v>-0.1738552900629</v>
      </c>
      <c r="H3070">
        <v>-0.280083140411901</v>
      </c>
      <c r="I3070">
        <v>-0.05887780112488501</v>
      </c>
    </row>
    <row r="3071" spans="1:9">
      <c r="A3071" s="1" t="s">
        <v>3083</v>
      </c>
      <c r="B3071">
        <f>HYPERLINK("https://www.suredividend.com/sure-analysis-WSM/","Williams-Sonoma, Inc.")</f>
        <v>0</v>
      </c>
      <c r="C3071">
        <v>-0.005376133722522001</v>
      </c>
      <c r="D3071">
        <v>0.11000892985154</v>
      </c>
      <c r="E3071">
        <v>0.314572604451722</v>
      </c>
      <c r="F3071">
        <v>0.362362285467242</v>
      </c>
      <c r="G3071">
        <v>0.355168378693682</v>
      </c>
      <c r="H3071">
        <v>-0.174874908504274</v>
      </c>
      <c r="I3071">
        <v>1.725795872703259</v>
      </c>
    </row>
    <row r="3072" spans="1:9">
      <c r="A3072" s="1" t="s">
        <v>3084</v>
      </c>
      <c r="B3072">
        <f>HYPERLINK("https://www.suredividend.com/sure-analysis-WSO/","Watsco Inc.")</f>
        <v>0</v>
      </c>
      <c r="C3072">
        <v>-0.030056900041163</v>
      </c>
      <c r="D3072">
        <v>0.013246703581735</v>
      </c>
      <c r="E3072">
        <v>0.07890400309067401</v>
      </c>
      <c r="F3072">
        <v>0.4951435615424271</v>
      </c>
      <c r="G3072">
        <v>0.397267466325904</v>
      </c>
      <c r="H3072">
        <v>0.295572616034344</v>
      </c>
      <c r="I3072">
        <v>1.872118398603341</v>
      </c>
    </row>
    <row r="3073" spans="1:9">
      <c r="A3073" s="1" t="s">
        <v>3085</v>
      </c>
      <c r="B3073">
        <f>HYPERLINK("https://www.suredividend.com/sure-analysis-WSR/","Whitestone REIT")</f>
        <v>0</v>
      </c>
      <c r="C3073">
        <v>0.126455049181736</v>
      </c>
      <c r="D3073">
        <v>0.03496586289908801</v>
      </c>
      <c r="E3073">
        <v>0.269560797318067</v>
      </c>
      <c r="F3073">
        <v>0.139251504159516</v>
      </c>
      <c r="G3073">
        <v>0.230772840867759</v>
      </c>
      <c r="H3073">
        <v>0.245665700850234</v>
      </c>
      <c r="I3073">
        <v>0.018397165186156</v>
      </c>
    </row>
    <row r="3074" spans="1:9">
      <c r="A3074" s="1" t="s">
        <v>3086</v>
      </c>
      <c r="B3074">
        <f>HYPERLINK("https://www.suredividend.com/sure-analysis-WST/","West Pharmaceutical Services, Inc.")</f>
        <v>0</v>
      </c>
      <c r="C3074">
        <v>-0.115548599492687</v>
      </c>
      <c r="D3074">
        <v>-0.115548599492687</v>
      </c>
      <c r="E3074">
        <v>-0.112803312533006</v>
      </c>
      <c r="F3074">
        <v>0.395068906427038</v>
      </c>
      <c r="G3074">
        <v>0.4968609124110751</v>
      </c>
      <c r="H3074">
        <v>-0.248300499993922</v>
      </c>
      <c r="I3074">
        <v>2.132047489087142</v>
      </c>
    </row>
    <row r="3075" spans="1:9">
      <c r="A3075" s="1" t="s">
        <v>3087</v>
      </c>
      <c r="B3075">
        <f>HYPERLINK("https://www.suredividend.com/sure-analysis-research-database/","Westell Technologies, Inc.")</f>
        <v>0</v>
      </c>
      <c r="C3075">
        <v>-0.102409638554216</v>
      </c>
      <c r="D3075">
        <v>-0.172222222222222</v>
      </c>
      <c r="E3075">
        <v>-0.118343195266272</v>
      </c>
      <c r="F3075">
        <v>0.191999999999999</v>
      </c>
      <c r="G3075">
        <v>0.241666666666666</v>
      </c>
      <c r="H3075">
        <v>0.31858407079646</v>
      </c>
      <c r="I3075">
        <v>1.98</v>
      </c>
    </row>
    <row r="3076" spans="1:9">
      <c r="A3076" s="1" t="s">
        <v>3088</v>
      </c>
      <c r="B3076">
        <f>HYPERLINK("https://www.suredividend.com/sure-analysis-research-database/","West Bancorporation")</f>
        <v>0</v>
      </c>
      <c r="C3076">
        <v>0.031559405940594</v>
      </c>
      <c r="D3076">
        <v>-0.144171432678584</v>
      </c>
      <c r="E3076">
        <v>0.090904331551152</v>
      </c>
      <c r="F3076">
        <v>-0.300954425751044</v>
      </c>
      <c r="G3076">
        <v>-0.165699071108263</v>
      </c>
      <c r="H3076">
        <v>-0.413193466629118</v>
      </c>
      <c r="I3076">
        <v>-0.036850437375056</v>
      </c>
    </row>
    <row r="3077" spans="1:9">
      <c r="A3077" s="1" t="s">
        <v>3089</v>
      </c>
      <c r="B3077">
        <f>HYPERLINK("https://www.suredividend.com/sure-analysis-research-database/","Alkaline Water Company Inc (The)")</f>
        <v>0</v>
      </c>
      <c r="C3077">
        <v>-0.34470891884141</v>
      </c>
      <c r="D3077">
        <v>-0.849671052631578</v>
      </c>
      <c r="E3077">
        <v>-0.8030172413793101</v>
      </c>
      <c r="F3077">
        <v>-0.9128029002098831</v>
      </c>
      <c r="G3077">
        <v>-0.9496751459090401</v>
      </c>
      <c r="H3077">
        <v>-0.9911946050096341</v>
      </c>
      <c r="I3077">
        <v>-0.867536231884058</v>
      </c>
    </row>
    <row r="3078" spans="1:9">
      <c r="A3078" s="1" t="s">
        <v>3090</v>
      </c>
      <c r="B3078">
        <f>HYPERLINK("https://www.suredividend.com/sure-analysis-research-database/","Wintrust Financial Corp.")</f>
        <v>0</v>
      </c>
      <c r="C3078">
        <v>0.059464549979819</v>
      </c>
      <c r="D3078">
        <v>-0.05304396761951401</v>
      </c>
      <c r="E3078">
        <v>0.236446194571883</v>
      </c>
      <c r="F3078">
        <v>-0.04776415022472701</v>
      </c>
      <c r="G3078">
        <v>-0.114807500137696</v>
      </c>
      <c r="H3078">
        <v>-0.105963986526451</v>
      </c>
      <c r="I3078">
        <v>0.11823944381965</v>
      </c>
    </row>
    <row r="3079" spans="1:9">
      <c r="A3079" s="1" t="s">
        <v>3091</v>
      </c>
      <c r="B3079">
        <f>HYPERLINK("https://www.suredividend.com/sure-analysis-research-database/","W &amp; T Offshore Inc")</f>
        <v>0</v>
      </c>
      <c r="C3079">
        <v>0.031175059952038</v>
      </c>
      <c r="D3079">
        <v>0.091370558375634</v>
      </c>
      <c r="E3079">
        <v>0.06965174129353201</v>
      </c>
      <c r="F3079">
        <v>-0.229390681003584</v>
      </c>
      <c r="G3079">
        <v>-0.4556962025316451</v>
      </c>
      <c r="H3079">
        <v>0.046228710462286</v>
      </c>
      <c r="I3079">
        <v>-0.428191489361702</v>
      </c>
    </row>
    <row r="3080" spans="1:9">
      <c r="A3080" s="1" t="s">
        <v>3092</v>
      </c>
      <c r="B3080">
        <f>HYPERLINK("https://www.suredividend.com/sure-analysis-research-database/","White Mountains Insurance Group, Ltd.")</f>
        <v>0</v>
      </c>
      <c r="C3080">
        <v>-0.026917089005929</v>
      </c>
      <c r="D3080">
        <v>-0.06037615148413501</v>
      </c>
      <c r="E3080">
        <v>0.043033048813395</v>
      </c>
      <c r="F3080">
        <v>0.039288504626568</v>
      </c>
      <c r="G3080">
        <v>0.05172184169109501</v>
      </c>
      <c r="H3080">
        <v>0.337541748664502</v>
      </c>
      <c r="I3080">
        <v>0.684642788449572</v>
      </c>
    </row>
    <row r="3081" spans="1:9">
      <c r="A3081" s="1" t="s">
        <v>3093</v>
      </c>
      <c r="B3081">
        <f>HYPERLINK("https://www.suredividend.com/sure-analysis-research-database/","Watts Water Technologies, Inc.")</f>
        <v>0</v>
      </c>
      <c r="C3081">
        <v>0.082526536801586</v>
      </c>
      <c r="D3081">
        <v>-0.008830333284204</v>
      </c>
      <c r="E3081">
        <v>0.146896132400047</v>
      </c>
      <c r="F3081">
        <v>0.27668618735736</v>
      </c>
      <c r="G3081">
        <v>0.328326613336081</v>
      </c>
      <c r="H3081">
        <v>-0.036484937582537</v>
      </c>
      <c r="I3081">
        <v>1.727060354998288</v>
      </c>
    </row>
    <row r="3082" spans="1:9">
      <c r="A3082" s="1" t="s">
        <v>3094</v>
      </c>
      <c r="B3082">
        <f>HYPERLINK("https://www.suredividend.com/sure-analysis-research-database/","Wireless Telecom Group, Inc.")</f>
        <v>0</v>
      </c>
      <c r="C3082">
        <v>0.019138755980861</v>
      </c>
      <c r="D3082">
        <v>0.203389830508474</v>
      </c>
      <c r="E3082">
        <v>0.121052631578947</v>
      </c>
      <c r="F3082">
        <v>0.189944134078212</v>
      </c>
      <c r="G3082">
        <v>0.401315789473684</v>
      </c>
      <c r="H3082">
        <v>-0.174418604651162</v>
      </c>
      <c r="I3082">
        <v>0.08673469387755101</v>
      </c>
    </row>
    <row r="3083" spans="1:9">
      <c r="A3083" s="1" t="s">
        <v>3095</v>
      </c>
      <c r="B3083">
        <f>HYPERLINK("https://www.suredividend.com/sure-analysis-research-database/","Select Water Solutions Inc")</f>
        <v>0</v>
      </c>
      <c r="C3083">
        <v>-0.040364583333333</v>
      </c>
      <c r="D3083">
        <v>-0.104604543797837</v>
      </c>
      <c r="E3083">
        <v>0.061974956411475</v>
      </c>
      <c r="F3083">
        <v>-0.187171201376404</v>
      </c>
      <c r="G3083">
        <v>-0.177996631682262</v>
      </c>
      <c r="H3083">
        <v>0.265366389671039</v>
      </c>
      <c r="I3083">
        <v>-0.252065193123465</v>
      </c>
    </row>
    <row r="3084" spans="1:9">
      <c r="A3084" s="1" t="s">
        <v>3096</v>
      </c>
      <c r="B3084">
        <f>HYPERLINK("https://www.suredividend.com/sure-analysis-WU/","Western Union Company")</f>
        <v>0</v>
      </c>
      <c r="C3084">
        <v>-0.111195734958111</v>
      </c>
      <c r="D3084">
        <v>-0.008310814255850001</v>
      </c>
      <c r="E3084">
        <v>0.143422625462953</v>
      </c>
      <c r="F3084">
        <v>-0.09932159698693301</v>
      </c>
      <c r="G3084">
        <v>-0.032370402308381</v>
      </c>
      <c r="H3084">
        <v>-0.268760338864103</v>
      </c>
      <c r="I3084">
        <v>-0.161342714030082</v>
      </c>
    </row>
    <row r="3085" spans="1:9">
      <c r="A3085" s="1" t="s">
        <v>3097</v>
      </c>
      <c r="B3085">
        <f>HYPERLINK("https://www.suredividend.com/sure-analysis-research-database/","Wave Life Sciences Ltd.")</f>
        <v>0</v>
      </c>
      <c r="C3085">
        <v>-0.116279069767441</v>
      </c>
      <c r="D3085">
        <v>0.217391304347826</v>
      </c>
      <c r="E3085">
        <v>0.445652173913043</v>
      </c>
      <c r="F3085">
        <v>-0.24</v>
      </c>
      <c r="G3085">
        <v>0.099173553719008</v>
      </c>
      <c r="H3085">
        <v>0.096907216494845</v>
      </c>
      <c r="I3085">
        <v>-0.8902866570426891</v>
      </c>
    </row>
    <row r="3086" spans="1:9">
      <c r="A3086" s="1" t="s">
        <v>3098</v>
      </c>
      <c r="B3086">
        <f>HYPERLINK("https://www.suredividend.com/sure-analysis-research-database/","WVS Financial Corp.")</f>
        <v>0</v>
      </c>
      <c r="C3086">
        <v>0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v>0</v>
      </c>
    </row>
    <row r="3087" spans="1:9">
      <c r="A3087" s="1" t="s">
        <v>3099</v>
      </c>
      <c r="B3087">
        <f>HYPERLINK("https://www.suredividend.com/sure-analysis-research-database/","Willamette Valley Vineyard Inc.")</f>
        <v>0</v>
      </c>
      <c r="C3087">
        <v>-0.037521514629948</v>
      </c>
      <c r="D3087">
        <v>-0.06644407345575901</v>
      </c>
      <c r="E3087">
        <v>-0.07418751345176401</v>
      </c>
      <c r="F3087">
        <v>-0.06286135643780001</v>
      </c>
      <c r="G3087">
        <v>-0.08026315789473601</v>
      </c>
      <c r="H3087">
        <v>-0.661501210653753</v>
      </c>
      <c r="I3087">
        <v>-0.248387096774193</v>
      </c>
    </row>
    <row r="3088" spans="1:9">
      <c r="A3088" s="1" t="s">
        <v>3100</v>
      </c>
      <c r="B3088">
        <f>HYPERLINK("https://www.suredividend.com/sure-analysis-research-database/","WW International Inc")</f>
        <v>0</v>
      </c>
      <c r="C3088">
        <v>-0.247714808043875</v>
      </c>
      <c r="D3088">
        <v>-0.246336996336996</v>
      </c>
      <c r="E3088">
        <v>0.01667696108709</v>
      </c>
      <c r="F3088">
        <v>1.132124352331606</v>
      </c>
      <c r="G3088">
        <v>0.808791208791209</v>
      </c>
      <c r="H3088">
        <v>-0.5407366071428571</v>
      </c>
      <c r="I3088">
        <v>-0.829004778724288</v>
      </c>
    </row>
    <row r="3089" spans="1:9">
      <c r="A3089" s="1" t="s">
        <v>3101</v>
      </c>
      <c r="B3089">
        <f>HYPERLINK("https://www.suredividend.com/sure-analysis-research-database/","Woodward Inc")</f>
        <v>0</v>
      </c>
      <c r="C3089">
        <v>0.054638173870811</v>
      </c>
      <c r="D3089">
        <v>0.023417881103176</v>
      </c>
      <c r="E3089">
        <v>0.153323206679342</v>
      </c>
      <c r="F3089">
        <v>0.361604203635542</v>
      </c>
      <c r="G3089">
        <v>0.461646503446295</v>
      </c>
      <c r="H3089">
        <v>0.152401034498618</v>
      </c>
      <c r="I3089">
        <v>0.7587007023194221</v>
      </c>
    </row>
    <row r="3090" spans="1:9">
      <c r="A3090" s="1" t="s">
        <v>3102</v>
      </c>
      <c r="B3090">
        <f>HYPERLINK("https://www.suredividend.com/sure-analysis-research-database/","World Wrestling Entertainment, Inc.")</f>
        <v>0</v>
      </c>
      <c r="C3090">
        <v>-0.09892569382273901</v>
      </c>
      <c r="D3090">
        <v>0.022622668999445</v>
      </c>
      <c r="E3090">
        <v>0.243625876808756</v>
      </c>
      <c r="F3090">
        <v>0.472858574846531</v>
      </c>
      <c r="G3090">
        <v>0.462066881751981</v>
      </c>
      <c r="H3090">
        <v>0.9678342678835371</v>
      </c>
      <c r="I3090">
        <v>0.212151137723974</v>
      </c>
    </row>
    <row r="3091" spans="1:9">
      <c r="A3091" s="1" t="s">
        <v>3103</v>
      </c>
      <c r="B3091">
        <f>HYPERLINK("https://www.suredividend.com/sure-analysis-research-database/","Westwater Resources Inc")</f>
        <v>0</v>
      </c>
      <c r="C3091">
        <v>-0.051339285714285</v>
      </c>
      <c r="D3091">
        <v>-0.312138728323699</v>
      </c>
      <c r="E3091">
        <v>-0.264524103831891</v>
      </c>
      <c r="F3091">
        <v>-0.246835443037974</v>
      </c>
      <c r="G3091">
        <v>-0.454128440366972</v>
      </c>
      <c r="H3091">
        <v>-0.8185975609756091</v>
      </c>
      <c r="I3091">
        <v>-0.9437086092715231</v>
      </c>
    </row>
    <row r="3092" spans="1:9">
      <c r="A3092" s="1" t="s">
        <v>3104</v>
      </c>
      <c r="B3092">
        <f>HYPERLINK("https://www.suredividend.com/sure-analysis-research-database/","Wolverine World Wide, Inc.")</f>
        <v>0</v>
      </c>
      <c r="C3092">
        <v>-0.033919597989949</v>
      </c>
      <c r="D3092">
        <v>-0.359236082757701</v>
      </c>
      <c r="E3092">
        <v>-0.5096288738681291</v>
      </c>
      <c r="F3092">
        <v>-0.277737599909834</v>
      </c>
      <c r="G3092">
        <v>-0.5253906732169741</v>
      </c>
      <c r="H3092">
        <v>-0.7658136680766571</v>
      </c>
      <c r="I3092">
        <v>-0.7678448515293861</v>
      </c>
    </row>
    <row r="3093" spans="1:9">
      <c r="A3093" s="1" t="s">
        <v>3105</v>
      </c>
      <c r="B3093">
        <f>HYPERLINK("https://www.suredividend.com/sure-analysis-WY/","Weyerhaeuser Co.")</f>
        <v>0</v>
      </c>
      <c r="C3093">
        <v>0.006004002668445</v>
      </c>
      <c r="D3093">
        <v>-0.086320866177513</v>
      </c>
      <c r="E3093">
        <v>0.050812498257936</v>
      </c>
      <c r="F3093">
        <v>0.017777357828381</v>
      </c>
      <c r="G3093">
        <v>0.069643889446487</v>
      </c>
      <c r="H3093">
        <v>-0.07342265260415501</v>
      </c>
      <c r="I3093">
        <v>0.360010461618935</v>
      </c>
    </row>
    <row r="3094" spans="1:9">
      <c r="A3094" s="1" t="s">
        <v>3106</v>
      </c>
      <c r="B3094">
        <f>HYPERLINK("https://www.suredividend.com/sure-analysis-research-database/","Wynn Resorts Ltd.")</f>
        <v>0</v>
      </c>
      <c r="C3094">
        <v>-0.03109143905862</v>
      </c>
      <c r="D3094">
        <v>-0.144282136138753</v>
      </c>
      <c r="E3094">
        <v>-0.201443540946149</v>
      </c>
      <c r="F3094">
        <v>0.09611492902426801</v>
      </c>
      <c r="G3094">
        <v>0.346590687443923</v>
      </c>
      <c r="H3094">
        <v>-0.012598038838177</v>
      </c>
      <c r="I3094">
        <v>-0.151037720410945</v>
      </c>
    </row>
    <row r="3095" spans="1:9">
      <c r="A3095" s="1" t="s">
        <v>3107</v>
      </c>
      <c r="B3095">
        <f>HYPERLINK("https://www.suredividend.com/sure-analysis-research-database/","Widepoint Corp")</f>
        <v>0</v>
      </c>
      <c r="C3095">
        <v>0</v>
      </c>
      <c r="D3095">
        <v>-0.038888888888888</v>
      </c>
      <c r="E3095">
        <v>-0.059782608695652</v>
      </c>
      <c r="F3095">
        <v>-0.049502774572825</v>
      </c>
      <c r="G3095">
        <v>-0.329457364341085</v>
      </c>
      <c r="H3095">
        <v>-0.6772388059701491</v>
      </c>
      <c r="I3095">
        <v>-0.657425742574257</v>
      </c>
    </row>
    <row r="3096" spans="1:9">
      <c r="A3096" s="1" t="s">
        <v>3108</v>
      </c>
      <c r="B3096">
        <f>HYPERLINK("https://www.suredividend.com/sure-analysis-research-database/","United States Steel Corp.")</f>
        <v>0</v>
      </c>
      <c r="C3096">
        <v>0.04485810192249001</v>
      </c>
      <c r="D3096">
        <v>0.401010658974201</v>
      </c>
      <c r="E3096">
        <v>0.5238230869878681</v>
      </c>
      <c r="F3096">
        <v>0.375409730702487</v>
      </c>
      <c r="G3096">
        <v>0.781598130987007</v>
      </c>
      <c r="H3096">
        <v>0.346774859678174</v>
      </c>
      <c r="I3096">
        <v>0.271775062214463</v>
      </c>
    </row>
    <row r="3097" spans="1:9">
      <c r="A3097" s="1" t="s">
        <v>3109</v>
      </c>
      <c r="B3097">
        <f>HYPERLINK("https://www.suredividend.com/sure-analysis-research-database/","XBiotech Inc")</f>
        <v>0</v>
      </c>
      <c r="C3097">
        <v>0.132467532467532</v>
      </c>
      <c r="D3097">
        <v>-0.158301158301158</v>
      </c>
      <c r="E3097">
        <v>0.249283667621776</v>
      </c>
      <c r="F3097">
        <v>0.242165242165242</v>
      </c>
      <c r="G3097">
        <v>0.224719101123595</v>
      </c>
      <c r="H3097">
        <v>-0.7154046997389031</v>
      </c>
      <c r="I3097">
        <v>0.281034229469663</v>
      </c>
    </row>
    <row r="3098" spans="1:9">
      <c r="A3098" s="1" t="s">
        <v>3110</v>
      </c>
      <c r="B3098">
        <f>HYPERLINK("https://www.suredividend.com/sure-analysis-research-database/","Cimarex Energy Co.")</f>
        <v>0</v>
      </c>
      <c r="C3098">
        <v>0.357832450949859</v>
      </c>
      <c r="D3098">
        <v>0.208551332247669</v>
      </c>
      <c r="E3098">
        <v>0.479955261902862</v>
      </c>
      <c r="F3098">
        <v>1.353493669587842</v>
      </c>
      <c r="G3098">
        <v>2.653304732537874</v>
      </c>
      <c r="H3098">
        <v>0.9036599609225761</v>
      </c>
      <c r="I3098">
        <v>-0.307112741974188</v>
      </c>
    </row>
    <row r="3099" spans="1:9">
      <c r="A3099" s="1" t="s">
        <v>3111</v>
      </c>
      <c r="B3099">
        <f>HYPERLINK("https://www.suredividend.com/sure-analysis-XEL/","Xcel Energy, Inc.")</f>
        <v>0</v>
      </c>
      <c r="C3099">
        <v>0.109758313647101</v>
      </c>
      <c r="D3099">
        <v>-0.020018453885345</v>
      </c>
      <c r="E3099">
        <v>-0.093357324402004</v>
      </c>
      <c r="F3099">
        <v>-0.09924526576468201</v>
      </c>
      <c r="G3099">
        <v>-0.026412952677324</v>
      </c>
      <c r="H3099">
        <v>0.009970711345508001</v>
      </c>
      <c r="I3099">
        <v>0.485678420076971</v>
      </c>
    </row>
    <row r="3100" spans="1:9">
      <c r="A3100" s="1" t="s">
        <v>3112</v>
      </c>
      <c r="B3100">
        <f>HYPERLINK("https://www.suredividend.com/sure-analysis-research-database/","Exela Technologies Inc")</f>
        <v>0</v>
      </c>
      <c r="C3100">
        <v>-0.239130434782608</v>
      </c>
      <c r="D3100">
        <v>-0.447368421052631</v>
      </c>
      <c r="E3100">
        <v>-0.568493150684931</v>
      </c>
      <c r="F3100">
        <v>-0.8079268292682921</v>
      </c>
      <c r="G3100">
        <v>-0.926539179104477</v>
      </c>
      <c r="H3100">
        <v>-0.9996177184466021</v>
      </c>
      <c r="I3100">
        <v>-0.9999572475570031</v>
      </c>
    </row>
    <row r="3101" spans="1:9">
      <c r="A3101" s="1" t="s">
        <v>3113</v>
      </c>
      <c r="B3101">
        <f>HYPERLINK("https://www.suredividend.com/sure-analysis-research-database/","Xcel Brands Inc")</f>
        <v>0</v>
      </c>
      <c r="C3101">
        <v>-0.189082568807339</v>
      </c>
      <c r="D3101">
        <v>-0.467530120481927</v>
      </c>
      <c r="E3101">
        <v>0.501954120645709</v>
      </c>
      <c r="F3101">
        <v>0.262353613253356</v>
      </c>
      <c r="G3101">
        <v>-0.04659691511163801</v>
      </c>
      <c r="H3101">
        <v>-0.546717948717948</v>
      </c>
      <c r="I3101">
        <v>-0.6036322869955151</v>
      </c>
    </row>
    <row r="3102" spans="1:9">
      <c r="A3102" s="1" t="s">
        <v>3114</v>
      </c>
      <c r="B3102">
        <f>HYPERLINK("https://www.suredividend.com/sure-analysis-research-database/","Intersect ENT Inc")</f>
        <v>0</v>
      </c>
      <c r="C3102">
        <v>0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0</v>
      </c>
    </row>
    <row r="3103" spans="1:9">
      <c r="A3103" s="1" t="s">
        <v>3115</v>
      </c>
      <c r="B3103">
        <f>HYPERLINK("https://www.suredividend.com/sure-analysis-research-database/","Xeris Biopharma Holdings Inc")</f>
        <v>0</v>
      </c>
      <c r="C3103">
        <v>0.034285714285714</v>
      </c>
      <c r="D3103">
        <v>-0.2984496124031</v>
      </c>
      <c r="E3103">
        <v>-0.233050847457627</v>
      </c>
      <c r="F3103">
        <v>0.360902255639097</v>
      </c>
      <c r="G3103">
        <v>0.175324675324675</v>
      </c>
      <c r="H3103">
        <v>-0.06701030927835</v>
      </c>
      <c r="I3103">
        <v>-0.233050847457627</v>
      </c>
    </row>
    <row r="3104" spans="1:9">
      <c r="A3104" s="1" t="s">
        <v>3116</v>
      </c>
      <c r="B3104">
        <f>HYPERLINK("https://www.suredividend.com/sure-analysis-research-database/","X4 Pharmaceuticals Inc")</f>
        <v>0</v>
      </c>
      <c r="C3104">
        <v>-0.191265669227658</v>
      </c>
      <c r="D3104">
        <v>-0.540229885057471</v>
      </c>
      <c r="E3104">
        <v>-0.444444444444444</v>
      </c>
      <c r="F3104">
        <v>-0.194360523665659</v>
      </c>
      <c r="G3104">
        <v>-0.5918367346938771</v>
      </c>
      <c r="H3104">
        <v>-0.8484848484848481</v>
      </c>
      <c r="I3104">
        <v>-0.428571428571428</v>
      </c>
    </row>
    <row r="3105" spans="1:9">
      <c r="A3105" s="1" t="s">
        <v>3117</v>
      </c>
      <c r="B3105">
        <f>HYPERLINK("https://www.suredividend.com/sure-analysis-research-database/","Xenia Hotels &amp; Resorts Inc")</f>
        <v>0</v>
      </c>
      <c r="C3105">
        <v>0.014297729184188</v>
      </c>
      <c r="D3105">
        <v>-0.004531609835822</v>
      </c>
      <c r="E3105">
        <v>-0.019456391827177</v>
      </c>
      <c r="F3105">
        <v>-0.061894723741219</v>
      </c>
      <c r="G3105">
        <v>-0.157432895049394</v>
      </c>
      <c r="H3105">
        <v>-0.320926827894929</v>
      </c>
      <c r="I3105">
        <v>-0.307350356662876</v>
      </c>
    </row>
    <row r="3106" spans="1:9">
      <c r="A3106" s="1" t="s">
        <v>3118</v>
      </c>
      <c r="B3106">
        <f>HYPERLINK("https://www.suredividend.com/sure-analysis-research-database/","Xilinx, Inc.")</f>
        <v>0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</row>
    <row r="3107" spans="1:9">
      <c r="A3107" s="1" t="s">
        <v>3119</v>
      </c>
      <c r="B3107">
        <f>HYPERLINK("https://www.suredividend.com/sure-analysis-research-database/","Acceleron Pharma Inc")</f>
        <v>0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</row>
    <row r="3108" spans="1:9">
      <c r="A3108" s="1" t="s">
        <v>3120</v>
      </c>
      <c r="B3108">
        <f>HYPERLINK("https://www.suredividend.com/sure-analysis-research-database/","Xencor Inc")</f>
        <v>0</v>
      </c>
      <c r="C3108">
        <v>-0.102156057494866</v>
      </c>
      <c r="D3108">
        <v>-0.256377551020408</v>
      </c>
      <c r="E3108">
        <v>-0.338001514004542</v>
      </c>
      <c r="F3108">
        <v>-0.328341013824884</v>
      </c>
      <c r="G3108">
        <v>-0.362376959533357</v>
      </c>
      <c r="H3108">
        <v>-0.5765133171912831</v>
      </c>
      <c r="I3108">
        <v>-0.5396156883390361</v>
      </c>
    </row>
    <row r="3109" spans="1:9">
      <c r="A3109" s="1" t="s">
        <v>3121</v>
      </c>
      <c r="B3109">
        <f>HYPERLINK("https://www.suredividend.com/sure-analysis-research-database/","Extraction Oil &amp; Gas Inc")</f>
        <v>0</v>
      </c>
      <c r="C3109">
        <v>0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0</v>
      </c>
    </row>
    <row r="3110" spans="1:9">
      <c r="A3110" s="1" t="s">
        <v>3122</v>
      </c>
      <c r="B3110">
        <f>HYPERLINK("https://www.suredividend.com/sure-analysis-XOM/","Exxon Mobil Corp.")</f>
        <v>0</v>
      </c>
      <c r="C3110">
        <v>-0.056386750843206</v>
      </c>
      <c r="D3110">
        <v>0.044775690652173</v>
      </c>
      <c r="E3110">
        <v>0.007802130507189001</v>
      </c>
      <c r="F3110">
        <v>0.013715022604423</v>
      </c>
      <c r="G3110">
        <v>0.028308403930775</v>
      </c>
      <c r="H3110">
        <v>0.8175064298183651</v>
      </c>
      <c r="I3110">
        <v>0.7211598071089531</v>
      </c>
    </row>
    <row r="3111" spans="1:9">
      <c r="A3111" s="1" t="s">
        <v>3123</v>
      </c>
      <c r="B3111">
        <f>HYPERLINK("https://www.suredividend.com/sure-analysis-research-database/","XOMA Corp")</f>
        <v>0</v>
      </c>
      <c r="C3111">
        <v>0.339514978601997</v>
      </c>
      <c r="D3111">
        <v>0.197704081632653</v>
      </c>
      <c r="E3111">
        <v>0.020652173913043</v>
      </c>
      <c r="F3111">
        <v>0.020652173913043</v>
      </c>
      <c r="G3111">
        <v>0.08179723502304101</v>
      </c>
      <c r="H3111">
        <v>-0.261502162799842</v>
      </c>
      <c r="I3111">
        <v>0.468334636434714</v>
      </c>
    </row>
    <row r="3112" spans="1:9">
      <c r="A3112" s="1" t="s">
        <v>3124</v>
      </c>
      <c r="B3112">
        <f>HYPERLINK("https://www.suredividend.com/sure-analysis-research-database/","BondBloxx ETF Trust")</f>
        <v>0</v>
      </c>
      <c r="C3112">
        <v>0.005796666409758001</v>
      </c>
      <c r="D3112">
        <v>0.017909375481089</v>
      </c>
      <c r="E3112">
        <v>0.029605037777099</v>
      </c>
      <c r="F3112">
        <v>0.044996596754378</v>
      </c>
      <c r="G3112">
        <v>0.05322402514654601</v>
      </c>
      <c r="H3112">
        <v>0.051314938678595</v>
      </c>
      <c r="I3112">
        <v>0.051314938678595</v>
      </c>
    </row>
    <row r="3113" spans="1:9">
      <c r="A3113" s="1" t="s">
        <v>3125</v>
      </c>
      <c r="B3113">
        <f>HYPERLINK("https://www.suredividend.com/sure-analysis-research-database/","Xperi Inc")</f>
        <v>0</v>
      </c>
      <c r="C3113">
        <v>-0.122026887280248</v>
      </c>
      <c r="D3113">
        <v>-0.356330553449583</v>
      </c>
      <c r="E3113">
        <v>-0.059800664451827</v>
      </c>
      <c r="F3113">
        <v>-0.013937282229965</v>
      </c>
      <c r="G3113">
        <v>-0.34083850931677</v>
      </c>
      <c r="H3113">
        <v>-0.630869565217391</v>
      </c>
      <c r="I3113">
        <v>-0.630869565217391</v>
      </c>
    </row>
    <row r="3114" spans="1:9">
      <c r="A3114" s="1" t="s">
        <v>3126</v>
      </c>
      <c r="B3114">
        <f>HYPERLINK("https://www.suredividend.com/sure-analysis-research-database/","Solitario Resources Corp")</f>
        <v>0</v>
      </c>
      <c r="C3114">
        <v>-0.039066839474171</v>
      </c>
      <c r="D3114">
        <v>-0.149180327868852</v>
      </c>
      <c r="E3114">
        <v>-0.158833063209076</v>
      </c>
      <c r="F3114">
        <v>-0.163038219641993</v>
      </c>
      <c r="G3114">
        <v>-0.006127920337035001</v>
      </c>
      <c r="H3114">
        <v>-0.06486486486486401</v>
      </c>
      <c r="I3114">
        <v>0.620861961274203</v>
      </c>
    </row>
    <row r="3115" spans="1:9">
      <c r="A3115" s="1" t="s">
        <v>3127</v>
      </c>
      <c r="B3115">
        <f>HYPERLINK("https://www.suredividend.com/sure-analysis-research-database/","XPO Inc")</f>
        <v>0</v>
      </c>
      <c r="C3115">
        <v>0.065640746288982</v>
      </c>
      <c r="D3115">
        <v>0.145848586908771</v>
      </c>
      <c r="E3115">
        <v>0.77598729005901</v>
      </c>
      <c r="F3115">
        <v>1.350555722439171</v>
      </c>
      <c r="G3115">
        <v>1.452978056426332</v>
      </c>
      <c r="H3115">
        <v>0.495309600747559</v>
      </c>
      <c r="I3115">
        <v>0.472375784169467</v>
      </c>
    </row>
    <row r="3116" spans="1:9">
      <c r="A3116" s="1" t="s">
        <v>3128</v>
      </c>
      <c r="B3116">
        <f>HYPERLINK("https://www.suredividend.com/sure-analysis-research-database/","DENTSPLY Sirona Inc")</f>
        <v>0</v>
      </c>
      <c r="C3116">
        <v>-0.155121373593842</v>
      </c>
      <c r="D3116">
        <v>-0.292459261866925</v>
      </c>
      <c r="E3116">
        <v>-0.311628983941225</v>
      </c>
      <c r="F3116">
        <v>-0.08641888366405501</v>
      </c>
      <c r="G3116">
        <v>0.036416193367517</v>
      </c>
      <c r="H3116">
        <v>-0.497623657806724</v>
      </c>
      <c r="I3116">
        <v>-0.135533975877339</v>
      </c>
    </row>
    <row r="3117" spans="1:9">
      <c r="A3117" s="1" t="s">
        <v>3129</v>
      </c>
      <c r="B3117">
        <f>HYPERLINK("https://www.suredividend.com/sure-analysis-XRX/","Xerox Holdings Corp")</f>
        <v>0</v>
      </c>
      <c r="C3117">
        <v>-0.13023855577047</v>
      </c>
      <c r="D3117">
        <v>-0.116915422885572</v>
      </c>
      <c r="E3117">
        <v>-0.051436205744822</v>
      </c>
      <c r="F3117">
        <v>0.005066309044851</v>
      </c>
      <c r="G3117">
        <v>0.015905051661294</v>
      </c>
      <c r="H3117">
        <v>-0.177263440368371</v>
      </c>
      <c r="I3117">
        <v>-0.447208175909914</v>
      </c>
    </row>
    <row r="3118" spans="1:9">
      <c r="A3118" s="1" t="s">
        <v>3130</v>
      </c>
      <c r="B3118">
        <f>HYPERLINK("https://www.suredividend.com/sure-analysis-research-database/","Xtant Medical Holdings Inc")</f>
        <v>0</v>
      </c>
      <c r="C3118">
        <v>0.034782608695652</v>
      </c>
      <c r="D3118">
        <v>0.09174311926605401</v>
      </c>
      <c r="E3118">
        <v>0.8237547892720301</v>
      </c>
      <c r="F3118">
        <v>0.8030303030303021</v>
      </c>
      <c r="G3118">
        <v>0.7632241813602011</v>
      </c>
      <c r="H3118">
        <v>-0.032520325203252</v>
      </c>
      <c r="I3118">
        <v>-0.6281249999999999</v>
      </c>
    </row>
    <row r="3119" spans="1:9">
      <c r="A3119" s="1" t="s">
        <v>3131</v>
      </c>
      <c r="B3119">
        <f>HYPERLINK("https://www.suredividend.com/sure-analysis-research-database/","22nd Century Group Inc")</f>
        <v>0</v>
      </c>
      <c r="C3119">
        <v>-0.464894342194955</v>
      </c>
      <c r="D3119">
        <v>-0.8550769230769231</v>
      </c>
      <c r="E3119">
        <v>-0.9577218257708361</v>
      </c>
      <c r="F3119">
        <v>-0.965888104291146</v>
      </c>
      <c r="G3119">
        <v>-0.9729310344827581</v>
      </c>
      <c r="H3119">
        <v>-0.9893197278911561</v>
      </c>
      <c r="I3119">
        <v>-0.9880608365019011</v>
      </c>
    </row>
    <row r="3120" spans="1:9">
      <c r="A3120" s="1" t="s">
        <v>3132</v>
      </c>
      <c r="B3120">
        <f>HYPERLINK("https://www.suredividend.com/sure-analysis-XYL/","Xylem Inc")</f>
        <v>0</v>
      </c>
      <c r="C3120">
        <v>0.027118274885646</v>
      </c>
      <c r="D3120">
        <v>-0.155823928735105</v>
      </c>
      <c r="E3120">
        <v>-0.09173294964804701</v>
      </c>
      <c r="F3120">
        <v>-0.138781235274994</v>
      </c>
      <c r="G3120">
        <v>-0.08430758953755101</v>
      </c>
      <c r="H3120">
        <v>-0.250884267934176</v>
      </c>
      <c r="I3120">
        <v>0.469039726846775</v>
      </c>
    </row>
    <row r="3121" spans="1:9">
      <c r="A3121" s="1" t="s">
        <v>3133</v>
      </c>
      <c r="B3121">
        <f>HYPERLINK("https://www.suredividend.com/sure-analysis-research-database/","Alleghany Corp.")</f>
        <v>0</v>
      </c>
      <c r="C3121">
        <v>0.005682087781731001</v>
      </c>
      <c r="D3121">
        <v>0.016120526404103</v>
      </c>
      <c r="E3121">
        <v>0.010103537429555</v>
      </c>
      <c r="F3121">
        <v>0.269926152279093</v>
      </c>
      <c r="G3121">
        <v>0.299534013918268</v>
      </c>
      <c r="H3121">
        <v>0.548814352004092</v>
      </c>
      <c r="I3121">
        <v>0.572164460949666</v>
      </c>
    </row>
    <row r="3122" spans="1:9">
      <c r="A3122" s="1" t="s">
        <v>3134</v>
      </c>
      <c r="B3122">
        <f>HYPERLINK("https://www.suredividend.com/sure-analysis-research-database/","Yelp Inc")</f>
        <v>0</v>
      </c>
      <c r="C3122">
        <v>0.017840152235965</v>
      </c>
      <c r="D3122">
        <v>-0.024395804833561</v>
      </c>
      <c r="E3122">
        <v>0.491980474198047</v>
      </c>
      <c r="F3122">
        <v>0.5651060716898311</v>
      </c>
      <c r="G3122">
        <v>0.162771739130434</v>
      </c>
      <c r="H3122">
        <v>0.09381390593047001</v>
      </c>
      <c r="I3122">
        <v>-0.007192575406032</v>
      </c>
    </row>
    <row r="3123" spans="1:9">
      <c r="A3123" s="1" t="s">
        <v>3135</v>
      </c>
      <c r="B3123">
        <f>HYPERLINK("https://www.suredividend.com/sure-analysis-research-database/","YETI Holdings Inc")</f>
        <v>0</v>
      </c>
      <c r="C3123">
        <v>-0.060376541874053</v>
      </c>
      <c r="D3123">
        <v>0.07130520602023101</v>
      </c>
      <c r="E3123">
        <v>0.03380952380952301</v>
      </c>
      <c r="F3123">
        <v>0.051077221011861</v>
      </c>
      <c r="G3123">
        <v>0.414332247557003</v>
      </c>
      <c r="H3123">
        <v>-0.572848007870142</v>
      </c>
      <c r="I3123">
        <v>1.631515151515151</v>
      </c>
    </row>
    <row r="3124" spans="1:9">
      <c r="A3124" s="1" t="s">
        <v>3136</v>
      </c>
      <c r="B3124">
        <f>HYPERLINK("https://www.suredividend.com/sure-analysis-research-database/","Yext Inc")</f>
        <v>0</v>
      </c>
      <c r="C3124">
        <v>-0.032</v>
      </c>
      <c r="D3124">
        <v>-0.35501066098081</v>
      </c>
      <c r="E3124">
        <v>-0.29569266589057</v>
      </c>
      <c r="F3124">
        <v>-0.073506891271056</v>
      </c>
      <c r="G3124">
        <v>0.156787762906309</v>
      </c>
      <c r="H3124">
        <v>-0.524744697564807</v>
      </c>
      <c r="I3124">
        <v>-0.6886258363355631</v>
      </c>
    </row>
    <row r="3125" spans="1:9">
      <c r="A3125" s="1" t="s">
        <v>3137</v>
      </c>
      <c r="B3125">
        <f>HYPERLINK("https://www.suredividend.com/sure-analysis-research-database/","Y-Mabs Therapeutics Inc")</f>
        <v>0</v>
      </c>
      <c r="C3125">
        <v>-0.006542056074766001</v>
      </c>
      <c r="D3125">
        <v>-0.049194991055456</v>
      </c>
      <c r="E3125">
        <v>-0.09762308998302101</v>
      </c>
      <c r="F3125">
        <v>0.089139344262295</v>
      </c>
      <c r="G3125">
        <v>0.6204268292682921</v>
      </c>
      <c r="H3125">
        <v>-0.797831875237732</v>
      </c>
      <c r="I3125">
        <v>-0.7905831363278171</v>
      </c>
    </row>
    <row r="3126" spans="1:9">
      <c r="A3126" s="1" t="s">
        <v>3138</v>
      </c>
      <c r="B3126">
        <f>HYPERLINK("https://www.suredividend.com/sure-analysis-YORW/","York Water Co.")</f>
        <v>0</v>
      </c>
      <c r="C3126">
        <v>-0.007590132827324</v>
      </c>
      <c r="D3126">
        <v>-0.09778697816550801</v>
      </c>
      <c r="E3126">
        <v>-0.105325281831089</v>
      </c>
      <c r="F3126">
        <v>-0.165618276629107</v>
      </c>
      <c r="G3126">
        <v>-0.108128189824232</v>
      </c>
      <c r="H3126">
        <v>-0.191044703563513</v>
      </c>
      <c r="I3126">
        <v>0.271741358168359</v>
      </c>
    </row>
    <row r="3127" spans="1:9">
      <c r="A3127" s="1" t="s">
        <v>3139</v>
      </c>
      <c r="B3127">
        <f>HYPERLINK("https://www.suredividend.com/sure-analysis-research-database/","Yield10 Bioscience Inc")</f>
        <v>0</v>
      </c>
      <c r="C3127">
        <v>-0.068509615384615</v>
      </c>
      <c r="D3127">
        <v>-0.8472906403940881</v>
      </c>
      <c r="E3127">
        <v>-0.8959731543624161</v>
      </c>
      <c r="F3127">
        <v>-0.814315663372267</v>
      </c>
      <c r="G3127">
        <v>-0.8845437616387331</v>
      </c>
      <c r="H3127">
        <v>-0.949263502454991</v>
      </c>
      <c r="I3127">
        <v>-0.9945422535211261</v>
      </c>
    </row>
    <row r="3128" spans="1:9">
      <c r="A3128" s="1" t="s">
        <v>3140</v>
      </c>
      <c r="B3128">
        <f>HYPERLINK("https://www.suredividend.com/sure-analysis-YUM/","Yum Brands Inc.")</f>
        <v>0</v>
      </c>
      <c r="C3128">
        <v>-0.006316967855429001</v>
      </c>
      <c r="D3128">
        <v>-0.07516902891631701</v>
      </c>
      <c r="E3128">
        <v>-0.122219632274515</v>
      </c>
      <c r="F3128">
        <v>-0.016144508871879</v>
      </c>
      <c r="G3128">
        <v>0.07855288007554201</v>
      </c>
      <c r="H3128">
        <v>0.036357146669513</v>
      </c>
      <c r="I3128">
        <v>0.5636914543702071</v>
      </c>
    </row>
    <row r="3129" spans="1:9">
      <c r="A3129" s="1" t="s">
        <v>3141</v>
      </c>
      <c r="B3129">
        <f>HYPERLINK("https://www.suredividend.com/sure-analysis-research-database/","Zillow Group Inc")</f>
        <v>0</v>
      </c>
      <c r="C3129">
        <v>-0.222173531989482</v>
      </c>
      <c r="D3129">
        <v>-0.345380785543057</v>
      </c>
      <c r="E3129">
        <v>-0.171141723091291</v>
      </c>
      <c r="F3129">
        <v>0.10214219186588</v>
      </c>
      <c r="G3129">
        <v>0.203389830508474</v>
      </c>
      <c r="H3129">
        <v>-0.59288990825688</v>
      </c>
      <c r="I3129">
        <v>-0.146224146224146</v>
      </c>
    </row>
    <row r="3130" spans="1:9">
      <c r="A3130" s="1" t="s">
        <v>3142</v>
      </c>
      <c r="B3130">
        <f>HYPERLINK("https://www.suredividend.com/sure-analysis-research-database/","Zagg Inc")</f>
        <v>0</v>
      </c>
      <c r="C3130">
        <v>0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v>0</v>
      </c>
    </row>
    <row r="3131" spans="1:9">
      <c r="A3131" s="1" t="s">
        <v>3143</v>
      </c>
      <c r="B3131">
        <f>HYPERLINK("https://www.suredividend.com/sure-analysis-research-database/","Zimmer Biomet Holdings Inc")</f>
        <v>0</v>
      </c>
      <c r="C3131">
        <v>-0.010949560222581</v>
      </c>
      <c r="D3131">
        <v>-0.139746670226335</v>
      </c>
      <c r="E3131">
        <v>-0.226466905137607</v>
      </c>
      <c r="F3131">
        <v>-0.130713272635768</v>
      </c>
      <c r="G3131">
        <v>0.031146809293046</v>
      </c>
      <c r="H3131">
        <v>-0.23134494407023</v>
      </c>
      <c r="I3131">
        <v>-0.005694250079625001</v>
      </c>
    </row>
    <row r="3132" spans="1:9">
      <c r="A3132" s="1" t="s">
        <v>3144</v>
      </c>
      <c r="B3132">
        <f>HYPERLINK("https://www.suredividend.com/sure-analysis-research-database/","Zebra Technologies Corp.")</f>
        <v>0</v>
      </c>
      <c r="C3132">
        <v>-0.113983649360099</v>
      </c>
      <c r="D3132">
        <v>-0.141613103877254</v>
      </c>
      <c r="E3132">
        <v>-0.189633573441904</v>
      </c>
      <c r="F3132">
        <v>-0.192699192699192</v>
      </c>
      <c r="G3132">
        <v>-0.122992839893233</v>
      </c>
      <c r="H3132">
        <v>-0.6464862095465801</v>
      </c>
      <c r="I3132">
        <v>0.231702963227418</v>
      </c>
    </row>
    <row r="3133" spans="1:9">
      <c r="A3133" s="1" t="s">
        <v>3145</v>
      </c>
      <c r="B3133">
        <f>HYPERLINK("https://www.suredividend.com/sure-analysis-research-database/","Zedge Inc")</f>
        <v>0</v>
      </c>
      <c r="C3133">
        <v>-0.106976744186046</v>
      </c>
      <c r="D3133">
        <v>-0.05418719211822601</v>
      </c>
      <c r="E3133">
        <v>-0.035175879396984</v>
      </c>
      <c r="F3133">
        <v>0.09090909090909001</v>
      </c>
      <c r="G3133">
        <v>-0.058823529411764</v>
      </c>
      <c r="H3133">
        <v>-0.838519764507989</v>
      </c>
      <c r="I3133">
        <v>0.07262569832402201</v>
      </c>
    </row>
    <row r="3134" spans="1:9">
      <c r="A3134" s="1" t="s">
        <v>3146</v>
      </c>
      <c r="B3134">
        <f>HYPERLINK("https://www.suredividend.com/sure-analysis-research-database/","Zendesk Inc")</f>
        <v>0</v>
      </c>
      <c r="C3134">
        <v>0.01413612565445</v>
      </c>
      <c r="D3134">
        <v>0.012545739675901</v>
      </c>
      <c r="E3134">
        <v>-0.217057396928051</v>
      </c>
      <c r="F3134">
        <v>-0.257071627193403</v>
      </c>
      <c r="G3134">
        <v>-0.183131259884027</v>
      </c>
      <c r="H3134">
        <v>-0.387751876728565</v>
      </c>
      <c r="I3134">
        <v>1.203013932328689</v>
      </c>
    </row>
    <row r="3135" spans="1:9">
      <c r="A3135" s="1" t="s">
        <v>3147</v>
      </c>
      <c r="B3135">
        <f>HYPERLINK("https://www.suredividend.com/sure-analysis-research-database/","Olympic Steel Inc.")</f>
        <v>0</v>
      </c>
      <c r="C3135">
        <v>-0.002223045572434</v>
      </c>
      <c r="D3135">
        <v>0.057814491626453</v>
      </c>
      <c r="E3135">
        <v>0.145630820149148</v>
      </c>
      <c r="F3135">
        <v>0.6252900687112041</v>
      </c>
      <c r="G3135">
        <v>1.029619022496891</v>
      </c>
      <c r="H3135">
        <v>1.147930433534194</v>
      </c>
      <c r="I3135">
        <v>1.810155377696152</v>
      </c>
    </row>
    <row r="3136" spans="1:9">
      <c r="A3136" s="1" t="s">
        <v>3148</v>
      </c>
      <c r="B3136">
        <f>HYPERLINK("https://www.suredividend.com/sure-analysis-research-database/","Zillow Group Inc")</f>
        <v>0</v>
      </c>
      <c r="C3136">
        <v>-0.217038539553752</v>
      </c>
      <c r="D3136">
        <v>-0.3448991137092211</v>
      </c>
      <c r="E3136">
        <v>-0.175213675213675</v>
      </c>
      <c r="F3136">
        <v>0.113104774110861</v>
      </c>
      <c r="G3136">
        <v>0.180428134556575</v>
      </c>
      <c r="H3136">
        <v>-0.593589143659335</v>
      </c>
      <c r="I3136">
        <v>-0.16289156626506</v>
      </c>
    </row>
    <row r="3137" spans="1:9">
      <c r="A3137" s="1" t="s">
        <v>3149</v>
      </c>
      <c r="B3137">
        <f>HYPERLINK("https://www.suredividend.com/sure-analysis-research-database/","Zogenix Inc")</f>
        <v>0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0</v>
      </c>
    </row>
    <row r="3138" spans="1:9">
      <c r="A3138" s="1" t="s">
        <v>3150</v>
      </c>
      <c r="B3138">
        <f>HYPERLINK("https://www.suredividend.com/sure-analysis-ZION/","Zions Bancorporation N.A")</f>
        <v>0</v>
      </c>
      <c r="C3138">
        <v>-0.007763511495969001</v>
      </c>
      <c r="D3138">
        <v>-0.082290104585235</v>
      </c>
      <c r="E3138">
        <v>0.430016137708445</v>
      </c>
      <c r="F3138">
        <v>-0.298738023888912</v>
      </c>
      <c r="G3138">
        <v>-0.297736187191452</v>
      </c>
      <c r="H3138">
        <v>-0.4426638087043731</v>
      </c>
      <c r="I3138">
        <v>-0.190601921315692</v>
      </c>
    </row>
    <row r="3139" spans="1:9">
      <c r="A3139" s="1" t="s">
        <v>3151</v>
      </c>
      <c r="B3139">
        <f>HYPERLINK("https://www.suredividend.com/sure-analysis-research-database/","Alaunos Therapeutics Inc")</f>
        <v>0</v>
      </c>
      <c r="C3139">
        <v>-0.312936507936508</v>
      </c>
      <c r="D3139">
        <v>-0.415067567567567</v>
      </c>
      <c r="E3139">
        <v>-0.611793721973094</v>
      </c>
      <c r="F3139">
        <v>-0.205779816513761</v>
      </c>
      <c r="G3139">
        <v>-0.756140845070422</v>
      </c>
      <c r="H3139">
        <v>-0.8041402714932121</v>
      </c>
      <c r="I3139">
        <v>-0.842025547445255</v>
      </c>
    </row>
    <row r="3140" spans="1:9">
      <c r="A3140" s="1" t="s">
        <v>3152</v>
      </c>
      <c r="B3140">
        <f>HYPERLINK("https://www.suredividend.com/sure-analysis-research-database/","Zix Corp.")</f>
        <v>0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</row>
    <row r="3141" spans="1:9">
      <c r="A3141" s="1" t="s">
        <v>3153</v>
      </c>
      <c r="B3141">
        <f>HYPERLINK("https://www.suredividend.com/sure-analysis-research-database/","Zoom Video Communications Inc")</f>
        <v>0</v>
      </c>
      <c r="C3141">
        <v>-0.125944943659962</v>
      </c>
      <c r="D3141">
        <v>-0.123193589927028</v>
      </c>
      <c r="E3141">
        <v>0.001470828566759</v>
      </c>
      <c r="F3141">
        <v>-0.09536462946560301</v>
      </c>
      <c r="G3141">
        <v>-0.220356234096692</v>
      </c>
      <c r="H3141">
        <v>-0.7813692960861961</v>
      </c>
      <c r="I3141">
        <v>-0.011612903225806</v>
      </c>
    </row>
    <row r="3142" spans="1:9">
      <c r="A3142" s="1" t="s">
        <v>3154</v>
      </c>
      <c r="B3142">
        <f>HYPERLINK("https://www.suredividend.com/sure-analysis-research-database/","Zynga Inc")</f>
        <v>0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v>0</v>
      </c>
    </row>
    <row r="3143" spans="1:9">
      <c r="A3143" s="1" t="s">
        <v>3155</v>
      </c>
      <c r="B3143">
        <f>HYPERLINK("https://www.suredividend.com/sure-analysis-research-database/","Zscaler Inc")</f>
        <v>0</v>
      </c>
      <c r="C3143">
        <v>-0.010566225371371</v>
      </c>
      <c r="D3143">
        <v>0.057459811345821</v>
      </c>
      <c r="E3143">
        <v>0.8297701149425281</v>
      </c>
      <c r="F3143">
        <v>0.422609472743521</v>
      </c>
      <c r="G3143">
        <v>0.152798899268592</v>
      </c>
      <c r="H3143">
        <v>-0.511492312885506</v>
      </c>
      <c r="I3143">
        <v>3.038305428716387</v>
      </c>
    </row>
    <row r="3144" spans="1:9">
      <c r="A3144" s="1" t="s">
        <v>3156</v>
      </c>
      <c r="B3144">
        <f>HYPERLINK("https://www.suredividend.com/sure-analysis-research-database/","Zosano Pharma Corp")</f>
        <v>0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</row>
    <row r="3145" spans="1:9">
      <c r="A3145" s="1" t="s">
        <v>3157</v>
      </c>
      <c r="B3145">
        <f>HYPERLINK("https://www.suredividend.com/sure-analysis-ZTS/","Zoetis Inc")</f>
        <v>0</v>
      </c>
      <c r="C3145">
        <v>-0.066199931057455</v>
      </c>
      <c r="D3145">
        <v>-0.113762376401217</v>
      </c>
      <c r="E3145">
        <v>-0.08620695529904501</v>
      </c>
      <c r="F3145">
        <v>0.108002531239391</v>
      </c>
      <c r="G3145">
        <v>0.101912716679483</v>
      </c>
      <c r="H3145">
        <v>-0.22917476046741</v>
      </c>
      <c r="I3145">
        <v>0.796857202839059</v>
      </c>
    </row>
    <row r="3146" spans="1:9">
      <c r="A3146" s="1" t="s">
        <v>3158</v>
      </c>
      <c r="B3146">
        <f>HYPERLINK("https://www.suredividend.com/sure-analysis-research-database/","Zumiez Inc")</f>
        <v>0</v>
      </c>
      <c r="C3146">
        <v>-0.04159445407279001</v>
      </c>
      <c r="D3146">
        <v>-0.116613418530351</v>
      </c>
      <c r="E3146">
        <v>0.009124087591240001</v>
      </c>
      <c r="F3146">
        <v>-0.236890524379024</v>
      </c>
      <c r="G3146">
        <v>-0.233364140480591</v>
      </c>
      <c r="H3146">
        <v>-0.625423346127794</v>
      </c>
      <c r="I3146">
        <v>-0.277124183006536</v>
      </c>
    </row>
    <row r="3147" spans="1:9">
      <c r="A3147" s="1" t="s">
        <v>3159</v>
      </c>
      <c r="B3147">
        <f>HYPERLINK("https://www.suredividend.com/sure-analysis-research-database/","Zuora Inc")</f>
        <v>0</v>
      </c>
      <c r="C3147">
        <v>-0.08935128518971801</v>
      </c>
      <c r="D3147">
        <v>-0.303370786516853</v>
      </c>
      <c r="E3147">
        <v>-0.002680965147452</v>
      </c>
      <c r="F3147">
        <v>0.169811320754716</v>
      </c>
      <c r="G3147">
        <v>-0.021052631578947</v>
      </c>
      <c r="H3147">
        <v>-0.6618181818181811</v>
      </c>
      <c r="I3147">
        <v>-0.641963426371511</v>
      </c>
    </row>
    <row r="3148" spans="1:9">
      <c r="A3148" s="1" t="s">
        <v>3160</v>
      </c>
      <c r="B3148">
        <f>HYPERLINK("https://www.suredividend.com/sure-analysis-research-database/","Zovio Inc")</f>
        <v>0</v>
      </c>
      <c r="C3148">
        <v>0</v>
      </c>
      <c r="D3148">
        <v>0</v>
      </c>
      <c r="E3148">
        <v>0</v>
      </c>
      <c r="F3148">
        <v>0</v>
      </c>
      <c r="G3148">
        <v>0</v>
      </c>
      <c r="H3148">
        <v>0</v>
      </c>
      <c r="I3148">
        <v>0</v>
      </c>
    </row>
    <row r="3149" spans="1:9">
      <c r="A3149" s="1" t="s">
        <v>3161</v>
      </c>
      <c r="B3149">
        <f>HYPERLINK("https://www.suredividend.com/sure-analysis-research-database/","Zynerba Pharmaceuticals Inc")</f>
        <v>0</v>
      </c>
      <c r="C3149">
        <v>0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v>0</v>
      </c>
    </row>
    <row r="3150" spans="1:9">
      <c r="A3150" s="1" t="s">
        <v>3162</v>
      </c>
      <c r="B3150">
        <f>HYPERLINK("https://www.suredividend.com/sure-analysis-research-database/","Zynex Inc")</f>
        <v>0</v>
      </c>
      <c r="C3150">
        <v>0.125154894671623</v>
      </c>
      <c r="D3150">
        <v>0.095295536791314</v>
      </c>
      <c r="E3150">
        <v>-0.367247386759581</v>
      </c>
      <c r="F3150">
        <v>-0.347232207045291</v>
      </c>
      <c r="G3150">
        <v>-0.277070063694267</v>
      </c>
      <c r="H3150">
        <v>-0.194842737179998</v>
      </c>
      <c r="I3150">
        <v>47.01692226335273</v>
      </c>
    </row>
    <row r="3151" spans="1:9">
      <c r="A3151" s="1" t="s">
        <v>3163</v>
      </c>
      <c r="B3151">
        <f>HYPERLINK("https://www.suredividend.com/sure-analysis-research-database/","Truecar Inc")</f>
        <v>0</v>
      </c>
      <c r="C3151">
        <v>-0.033980582524271</v>
      </c>
      <c r="D3151">
        <v>-0.142241379310344</v>
      </c>
      <c r="E3151">
        <v>-0.21031746031746</v>
      </c>
      <c r="F3151">
        <v>-0.207171314741035</v>
      </c>
      <c r="G3151">
        <v>0</v>
      </c>
      <c r="H3151">
        <v>-0.5193236714975841</v>
      </c>
      <c r="I3151">
        <v>-0.8281519861830741</v>
      </c>
    </row>
    <row r="3152" spans="1:9">
      <c r="A3152" s="1" t="s">
        <v>3164</v>
      </c>
      <c r="B3152">
        <f>HYPERLINK("https://www.suredividend.com/sure-analysis-research-database/","Broadmark Realty Capital Inc")</f>
        <v>0</v>
      </c>
      <c r="C3152">
        <v>-0.011403724669784</v>
      </c>
      <c r="D3152">
        <v>0.001475202061127</v>
      </c>
      <c r="E3152">
        <v>0.261416869487843</v>
      </c>
      <c r="F3152">
        <v>0.406847435860015</v>
      </c>
      <c r="G3152">
        <v>-0.274588005117014</v>
      </c>
      <c r="H3152">
        <v>-0.4267364414843</v>
      </c>
      <c r="I3152">
        <v>-0.390521470841131</v>
      </c>
    </row>
    <row r="3153" spans="1:9">
      <c r="A3153" s="1" t="s">
        <v>3165</v>
      </c>
      <c r="B3153">
        <f>HYPERLINK("https://www.suredividend.com/sure-analysis-CRT/","Cross Timbers Royalty Trust")</f>
        <v>0</v>
      </c>
      <c r="C3153">
        <v>-0.023355013092321</v>
      </c>
      <c r="D3153">
        <v>-0.09688253614910701</v>
      </c>
      <c r="E3153">
        <v>-0.006919356483743</v>
      </c>
      <c r="F3153">
        <v>-0.215460100845182</v>
      </c>
      <c r="G3153">
        <v>0.010520336038978</v>
      </c>
      <c r="H3153">
        <v>0.59253488512228</v>
      </c>
      <c r="I3153">
        <v>1.029465647180139</v>
      </c>
    </row>
    <row r="3154" spans="1:9">
      <c r="A3154" s="1" t="s">
        <v>3166</v>
      </c>
      <c r="B3154">
        <f>HYPERLINK("https://www.suredividend.com/sure-analysis-DREUF/","Dream Industrial Real Estate Investment Trust")</f>
        <v>0</v>
      </c>
      <c r="C3154">
        <v>-0.113677774003273</v>
      </c>
      <c r="D3154">
        <v>-0.178278297384997</v>
      </c>
      <c r="E3154">
        <v>-0.210960410557184</v>
      </c>
      <c r="F3154">
        <v>0.019538188277086</v>
      </c>
      <c r="G3154">
        <v>0.07887976943800501</v>
      </c>
      <c r="H3154">
        <v>-0.308794605226187</v>
      </c>
      <c r="I3154">
        <v>0.2902935755069</v>
      </c>
    </row>
    <row r="3155" spans="1:9">
      <c r="A3155" s="1" t="s">
        <v>3167</v>
      </c>
      <c r="B3155">
        <f>HYPERLINK("https://www.suredividend.com/sure-analysis-GAIN/","Gladstone Investment Corporation")</f>
        <v>0</v>
      </c>
      <c r="C3155">
        <v>0.14305812010903</v>
      </c>
      <c r="D3155">
        <v>0.106597020700329</v>
      </c>
      <c r="E3155">
        <v>0.153393234501782</v>
      </c>
      <c r="F3155">
        <v>0.269655239769508</v>
      </c>
      <c r="G3155">
        <v>0.224724008872825</v>
      </c>
      <c r="H3155">
        <v>0.151888129913648</v>
      </c>
      <c r="I3155">
        <v>1.239799514449056</v>
      </c>
    </row>
    <row r="3156" spans="1:9">
      <c r="A3156" s="1" t="s">
        <v>3168</v>
      </c>
      <c r="B3156">
        <f>HYPERLINK("https://www.suredividend.com/sure-analysis-GLAD/","Gladstone Capital Corp.")</f>
        <v>0</v>
      </c>
      <c r="C3156">
        <v>0.054264884052118</v>
      </c>
      <c r="D3156">
        <v>-0.07787837661975401</v>
      </c>
      <c r="E3156">
        <v>0.135479144727805</v>
      </c>
      <c r="F3156">
        <v>0.146979927851262</v>
      </c>
      <c r="G3156">
        <v>0.19037619247615</v>
      </c>
      <c r="H3156">
        <v>0.037092794714172</v>
      </c>
      <c r="I3156">
        <v>0.717838156094688</v>
      </c>
    </row>
    <row r="3157" spans="1:9">
      <c r="A3157" s="1" t="s">
        <v>3169</v>
      </c>
      <c r="B3157">
        <f>HYPERLINK("https://www.suredividend.com/sure-analysis-research-database/","Harvest Capital Credit Corp")</f>
        <v>0</v>
      </c>
      <c r="C3157">
        <v>0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v>0</v>
      </c>
    </row>
    <row r="3158" spans="1:9">
      <c r="A3158" s="1" t="s">
        <v>3170</v>
      </c>
      <c r="B3158">
        <f>HYPERLINK("https://www.suredividend.com/sure-analysis-HRZN/","Horizon Technology Finance Corp")</f>
        <v>0</v>
      </c>
      <c r="C3158">
        <v>0.025720724220996</v>
      </c>
      <c r="D3158">
        <v>-0.06368221941992401</v>
      </c>
      <c r="E3158">
        <v>0.145060240963855</v>
      </c>
      <c r="F3158">
        <v>0.161687771964992</v>
      </c>
      <c r="G3158">
        <v>0.08878950069653201</v>
      </c>
      <c r="H3158">
        <v>-0.152209749587879</v>
      </c>
      <c r="I3158">
        <v>0.7333955877203221</v>
      </c>
    </row>
    <row r="3159" spans="1:9">
      <c r="A3159" s="1" t="s">
        <v>3171</v>
      </c>
      <c r="B3159">
        <f>HYPERLINK("https://www.suredividend.com/sure-analysis-MAIN/","Main Street Capital Corporation")</f>
        <v>0</v>
      </c>
      <c r="C3159">
        <v>0.004677160905834</v>
      </c>
      <c r="D3159">
        <v>-0.031353863136254</v>
      </c>
      <c r="E3159">
        <v>0.043259309252793</v>
      </c>
      <c r="F3159">
        <v>0.170989528399191</v>
      </c>
      <c r="G3159">
        <v>0.176766833855982</v>
      </c>
      <c r="H3159">
        <v>0.06983900506835801</v>
      </c>
      <c r="I3159">
        <v>0.570283776339078</v>
      </c>
    </row>
    <row r="3160" spans="1:9">
      <c r="A3160" s="1" t="s">
        <v>3172</v>
      </c>
      <c r="B3160">
        <f>HYPERLINK("https://www.suredividend.com/sure-analysis-OXSQ/","Oxford Square Capital Corp")</f>
        <v>0</v>
      </c>
      <c r="C3160">
        <v>0.016204339467179</v>
      </c>
      <c r="D3160">
        <v>0.048604222757545</v>
      </c>
      <c r="E3160">
        <v>0.123382291548066</v>
      </c>
      <c r="F3160">
        <v>0.154536235275762</v>
      </c>
      <c r="G3160">
        <v>0.219662944497095</v>
      </c>
      <c r="H3160">
        <v>-0.030525350451984</v>
      </c>
      <c r="I3160">
        <v>-0.022037202233455</v>
      </c>
    </row>
    <row r="3161" spans="1:9">
      <c r="A3161" s="1" t="s">
        <v>3173</v>
      </c>
      <c r="B3161">
        <f>HYPERLINK("https://www.suredividend.com/sure-analysis-PBA/","Pembina Pipeline Corporation")</f>
        <v>0</v>
      </c>
      <c r="C3161">
        <v>0.08764121876069801</v>
      </c>
      <c r="D3161">
        <v>0.05369988955553501</v>
      </c>
      <c r="E3161">
        <v>0.032328083418088</v>
      </c>
      <c r="F3161">
        <v>-0.019247688579499</v>
      </c>
      <c r="G3161">
        <v>0.026086563336703</v>
      </c>
      <c r="H3161">
        <v>0.06797813619830601</v>
      </c>
      <c r="I3161">
        <v>0.302070525746323</v>
      </c>
    </row>
    <row r="3162" spans="1:9">
      <c r="A3162" s="1" t="s">
        <v>3174</v>
      </c>
      <c r="B3162">
        <f>HYPERLINK("https://www.suredividend.com/sure-analysis-PBT/","Permian Basin Royalty Trust")</f>
        <v>0</v>
      </c>
      <c r="C3162">
        <v>-0.063446439939041</v>
      </c>
      <c r="D3162">
        <v>-0.164680884010219</v>
      </c>
      <c r="E3162">
        <v>-0.156612901824877</v>
      </c>
      <c r="F3162">
        <v>-0.217998123517639</v>
      </c>
      <c r="G3162">
        <v>-0.065654378722708</v>
      </c>
      <c r="H3162">
        <v>1.622233624542594</v>
      </c>
      <c r="I3162">
        <v>2.5144868523445</v>
      </c>
    </row>
    <row r="3163" spans="1:9">
      <c r="A3163" s="1" t="s">
        <v>3175</v>
      </c>
      <c r="B3163">
        <f>HYPERLINK("https://www.suredividend.com/sure-analysis-PFLT/","PennantPark Floating Rate Capital Ltd")</f>
        <v>0</v>
      </c>
      <c r="C3163">
        <v>0.015518359681307</v>
      </c>
      <c r="D3163">
        <v>-0.044643995555636</v>
      </c>
      <c r="E3163">
        <v>0.054546916782274</v>
      </c>
      <c r="F3163">
        <v>0.047700850944828</v>
      </c>
      <c r="G3163">
        <v>0.054716563775664</v>
      </c>
      <c r="H3163">
        <v>-0.04592996816734801</v>
      </c>
      <c r="I3163">
        <v>0.3502207462897891</v>
      </c>
    </row>
    <row r="3164" spans="1:9">
      <c r="A3164" s="1" t="s">
        <v>3176</v>
      </c>
      <c r="B3164">
        <f>HYPERLINK("https://www.suredividend.com/sure-analysis-PRT/","PermRock Royalty Trust")</f>
        <v>0</v>
      </c>
      <c r="C3164">
        <v>-0.135493516201371</v>
      </c>
      <c r="D3164">
        <v>-0.117700714795097</v>
      </c>
      <c r="E3164">
        <v>-0.07573098907208201</v>
      </c>
      <c r="F3164">
        <v>-0.260330348701407</v>
      </c>
      <c r="G3164">
        <v>-0.222449576147325</v>
      </c>
      <c r="H3164">
        <v>-0.077493974232256</v>
      </c>
      <c r="I3164">
        <v>-0.3391632713902411</v>
      </c>
    </row>
    <row r="3165" spans="1:9">
      <c r="A3165" s="1" t="s">
        <v>3177</v>
      </c>
      <c r="B3165">
        <f>HYPERLINK("https://www.suredividend.com/sure-analysis-PSEC/","Prospect Capital Corp")</f>
        <v>0</v>
      </c>
      <c r="C3165">
        <v>-0.08796351854074101</v>
      </c>
      <c r="D3165">
        <v>-0.125201433880356</v>
      </c>
      <c r="E3165">
        <v>-0.05603463572163601</v>
      </c>
      <c r="F3165">
        <v>-0.131542002677201</v>
      </c>
      <c r="G3165">
        <v>-0.145518792161901</v>
      </c>
      <c r="H3165">
        <v>-0.170732467694417</v>
      </c>
      <c r="I3165">
        <v>0.420446960190105</v>
      </c>
    </row>
    <row r="3166" spans="1:9">
      <c r="A3166" s="1" t="s">
        <v>3178</v>
      </c>
      <c r="B3166">
        <f>HYPERLINK("https://www.suredividend.com/sure-analysis-SBR/","Sabine Royalty Trust")</f>
        <v>0</v>
      </c>
      <c r="C3166">
        <v>-0.096624559429658</v>
      </c>
      <c r="D3166">
        <v>-0.119315918797526</v>
      </c>
      <c r="E3166">
        <v>-0.178148382171724</v>
      </c>
      <c r="F3166">
        <v>-0.281301333386672</v>
      </c>
      <c r="G3166">
        <v>-0.266371377636896</v>
      </c>
      <c r="H3166">
        <v>0.642158542994904</v>
      </c>
      <c r="I3166">
        <v>1.435872448244595</v>
      </c>
    </row>
    <row r="3167" spans="1:9">
      <c r="A3167" s="1" t="s">
        <v>3179</v>
      </c>
      <c r="B3167">
        <f>HYPERLINK("https://www.suredividend.com/sure-analysis-research-database/","SLR Senior Investment Corp")</f>
        <v>0</v>
      </c>
      <c r="C3167">
        <v>0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v>0</v>
      </c>
    </row>
  </sheetData>
  <autoFilter ref="A1:I3167"/>
  <conditionalFormatting sqref="A1:I1">
    <cfRule type="cellIs" dxfId="7" priority="10" operator="notEqual">
      <formula>-13.345</formula>
    </cfRule>
  </conditionalFormatting>
  <conditionalFormatting sqref="A2:A3167">
    <cfRule type="cellIs" dxfId="0" priority="1" operator="notEqual">
      <formula>"None"</formula>
    </cfRule>
  </conditionalFormatting>
  <conditionalFormatting sqref="B2:B3167">
    <cfRule type="cellIs" dxfId="0" priority="2" operator="notEqual">
      <formula>"None"</formula>
    </cfRule>
  </conditionalFormatting>
  <conditionalFormatting sqref="C2:C3167">
    <cfRule type="cellIs" dxfId="3" priority="3" operator="notEqual">
      <formula>"None"</formula>
    </cfRule>
  </conditionalFormatting>
  <conditionalFormatting sqref="D2:D3167">
    <cfRule type="cellIs" dxfId="3" priority="4" operator="notEqual">
      <formula>"None"</formula>
    </cfRule>
  </conditionalFormatting>
  <conditionalFormatting sqref="E2:E3167">
    <cfRule type="cellIs" dxfId="3" priority="5" operator="notEqual">
      <formula>"None"</formula>
    </cfRule>
  </conditionalFormatting>
  <conditionalFormatting sqref="F2:F3167">
    <cfRule type="cellIs" dxfId="3" priority="6" operator="notEqual">
      <formula>"None"</formula>
    </cfRule>
  </conditionalFormatting>
  <conditionalFormatting sqref="G2:G3167">
    <cfRule type="cellIs" dxfId="3" priority="7" operator="notEqual">
      <formula>"None"</formula>
    </cfRule>
  </conditionalFormatting>
  <conditionalFormatting sqref="H2:H3167">
    <cfRule type="cellIs" dxfId="3" priority="8" operator="notEqual">
      <formula>"None"</formula>
    </cfRule>
  </conditionalFormatting>
  <conditionalFormatting sqref="I2:I3167">
    <cfRule type="cellIs" dxfId="3" priority="9" operator="notEqual">
      <formula>"None"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25.7109375" customWidth="1"/>
    <col min="2" max="2" width="0" customWidth="1"/>
  </cols>
  <sheetData>
    <row r="1" spans="1:2">
      <c r="A1" s="1" t="s">
        <v>3199</v>
      </c>
      <c r="B1" s="1"/>
    </row>
    <row r="2" spans="1:2">
      <c r="A2" s="1" t="s">
        <v>3200</v>
      </c>
    </row>
    <row r="3" spans="1:2">
      <c r="A3" s="1" t="s">
        <v>3201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Characteristics</vt:lpstr>
      <vt:lpstr>Performance</vt:lpstr>
      <vt:lpstr>Notes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2023-11-03T13:00:28Z</dcterms:created>
  <dcterms:modified xsi:type="dcterms:W3CDTF">2023-11-03T13:00:28Z</dcterms:modified>
</cp:coreProperties>
</file>