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Tavmiranda/Desktop/"/>
    </mc:Choice>
  </mc:AlternateContent>
  <xr:revisionPtr revIDLastSave="0" documentId="12_ncr:500000_{5F608A0F-86E0-1743-B833-60F44749D71E}" xr6:coauthVersionLast="31" xr6:coauthVersionMax="31" xr10:uidLastSave="{00000000-0000-0000-0000-000000000000}"/>
  <bookViews>
    <workbookView xWindow="0" yWindow="460" windowWidth="28800" windowHeight="16120" tabRatio="500" activeTab="2" xr2:uid="{00000000-000D-0000-FFFF-FFFF00000000}"/>
  </bookViews>
  <sheets>
    <sheet name="GERAL PARTIDOS" sheetId="1" r:id="rId1"/>
    <sheet name="SENADO" sheetId="2" r:id="rId2"/>
    <sheet name="DEM" sheetId="4" r:id="rId3"/>
    <sheet name="MDB" sheetId="5" r:id="rId4"/>
    <sheet name="PCdoB" sheetId="6" r:id="rId5"/>
    <sheet name="PDT" sheetId="7" r:id="rId6"/>
    <sheet name="PPS" sheetId="8" r:id="rId7"/>
    <sheet name="PR" sheetId="9" r:id="rId8"/>
    <sheet name="PROGRESSISTAS" sheetId="10" r:id="rId9"/>
    <sheet name="PSB" sheetId="11" r:id="rId10"/>
    <sheet name="PSC" sheetId="12" r:id="rId11"/>
    <sheet name="PSD" sheetId="13" r:id="rId12"/>
    <sheet name="PSDB" sheetId="14" r:id="rId13"/>
    <sheet name="PSOL" sheetId="15" r:id="rId14"/>
    <sheet name="PT" sheetId="16" r:id="rId15"/>
    <sheet name="PTB" sheetId="17" r:id="rId16"/>
    <sheet name="PV" sheetId="18" r:id="rId17"/>
    <sheet name="SD" sheetId="19" r:id="rId18"/>
  </sheets>
  <externalReferences>
    <externalReference r:id="rId19"/>
  </externalReferences>
  <definedNames>
    <definedName name="_xlnm._FilterDatabase" localSheetId="1" hidden="1">SENADO!$R$34:$W$61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3" i="4" l="1"/>
  <c r="W43" i="5"/>
  <c r="W43" i="6"/>
  <c r="W43" i="7"/>
  <c r="W43" i="8"/>
  <c r="W43" i="9"/>
  <c r="W43" i="10"/>
  <c r="W43" i="11"/>
  <c r="W43" i="12"/>
  <c r="W43" i="13"/>
  <c r="W43" i="14"/>
  <c r="W43" i="15"/>
  <c r="W43" i="16"/>
  <c r="W38" i="16"/>
  <c r="W38" i="15"/>
  <c r="W38" i="14"/>
  <c r="W38" i="13"/>
  <c r="W38" i="12"/>
  <c r="W38" i="11"/>
  <c r="W38" i="10"/>
  <c r="W38" i="9"/>
  <c r="W38" i="8"/>
  <c r="W38" i="7"/>
  <c r="W38" i="6"/>
  <c r="W38" i="4"/>
  <c r="W38" i="5"/>
  <c r="B34" i="19"/>
  <c r="R34" i="19"/>
  <c r="X43" i="19"/>
  <c r="X44" i="19"/>
  <c r="B30" i="19"/>
  <c r="R30" i="19"/>
  <c r="W43" i="19"/>
  <c r="W44" i="19"/>
  <c r="B25" i="19"/>
  <c r="R25" i="19"/>
  <c r="V43" i="19"/>
  <c r="V44" i="19"/>
  <c r="B19" i="19"/>
  <c r="R19" i="19"/>
  <c r="U43" i="19"/>
  <c r="U44" i="19"/>
  <c r="B9" i="19"/>
  <c r="R9" i="19"/>
  <c r="T43" i="19"/>
  <c r="T44" i="19"/>
  <c r="D34" i="19"/>
  <c r="X38" i="19"/>
  <c r="X39" i="19"/>
  <c r="D30" i="19"/>
  <c r="W38" i="19"/>
  <c r="W39" i="19"/>
  <c r="D25" i="19"/>
  <c r="V38" i="19"/>
  <c r="V39" i="19"/>
  <c r="D19" i="19"/>
  <c r="U38" i="19"/>
  <c r="U39" i="19"/>
  <c r="D9" i="19"/>
  <c r="T38" i="19"/>
  <c r="T39" i="19"/>
  <c r="R35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P9" i="19"/>
  <c r="P19" i="19"/>
  <c r="P25" i="19"/>
  <c r="P30" i="19"/>
  <c r="P34" i="19"/>
  <c r="P35" i="19"/>
  <c r="N9" i="19"/>
  <c r="N19" i="19"/>
  <c r="N25" i="19"/>
  <c r="N30" i="19"/>
  <c r="N34" i="19"/>
  <c r="N35" i="19"/>
  <c r="O35" i="19"/>
  <c r="L9" i="19"/>
  <c r="L19" i="19"/>
  <c r="L25" i="19"/>
  <c r="L30" i="19"/>
  <c r="L34" i="19"/>
  <c r="L35" i="19"/>
  <c r="M35" i="19"/>
  <c r="J9" i="19"/>
  <c r="J19" i="19"/>
  <c r="J25" i="19"/>
  <c r="J30" i="19"/>
  <c r="J34" i="19"/>
  <c r="J35" i="19"/>
  <c r="K35" i="19"/>
  <c r="H9" i="19"/>
  <c r="H19" i="19"/>
  <c r="H25" i="19"/>
  <c r="H30" i="19"/>
  <c r="H34" i="19"/>
  <c r="H35" i="19"/>
  <c r="I35" i="19"/>
  <c r="F9" i="19"/>
  <c r="F19" i="19"/>
  <c r="F25" i="19"/>
  <c r="F30" i="19"/>
  <c r="F34" i="19"/>
  <c r="F35" i="19"/>
  <c r="G35" i="19"/>
  <c r="D35" i="19"/>
  <c r="E35" i="19"/>
  <c r="B35" i="19"/>
  <c r="C35" i="19"/>
  <c r="X33" i="19"/>
  <c r="X34" i="19"/>
  <c r="W33" i="19"/>
  <c r="W34" i="19"/>
  <c r="V33" i="19"/>
  <c r="V34" i="19"/>
  <c r="U33" i="19"/>
  <c r="U34" i="19"/>
  <c r="T33" i="19"/>
  <c r="T34" i="19"/>
  <c r="O34" i="19"/>
  <c r="M34" i="19"/>
  <c r="K34" i="19"/>
  <c r="I34" i="19"/>
  <c r="G34" i="19"/>
  <c r="E34" i="19"/>
  <c r="C34" i="19"/>
  <c r="O33" i="19"/>
  <c r="M33" i="19"/>
  <c r="K33" i="19"/>
  <c r="I33" i="19"/>
  <c r="G33" i="19"/>
  <c r="E33" i="19"/>
  <c r="C33" i="19"/>
  <c r="O32" i="19"/>
  <c r="M32" i="19"/>
  <c r="K32" i="19"/>
  <c r="I32" i="19"/>
  <c r="G32" i="19"/>
  <c r="E32" i="19"/>
  <c r="C32" i="19"/>
  <c r="O31" i="19"/>
  <c r="M31" i="19"/>
  <c r="K31" i="19"/>
  <c r="I31" i="19"/>
  <c r="G31" i="19"/>
  <c r="E31" i="19"/>
  <c r="C31" i="19"/>
  <c r="O30" i="19"/>
  <c r="M30" i="19"/>
  <c r="K30" i="19"/>
  <c r="I30" i="19"/>
  <c r="G30" i="19"/>
  <c r="E30" i="19"/>
  <c r="C30" i="19"/>
  <c r="X28" i="19"/>
  <c r="X29" i="19"/>
  <c r="W28" i="19"/>
  <c r="W29" i="19"/>
  <c r="V28" i="19"/>
  <c r="V29" i="19"/>
  <c r="U28" i="19"/>
  <c r="U29" i="19"/>
  <c r="T28" i="19"/>
  <c r="T29" i="19"/>
  <c r="O29" i="19"/>
  <c r="M29" i="19"/>
  <c r="K29" i="19"/>
  <c r="I29" i="19"/>
  <c r="G29" i="19"/>
  <c r="E29" i="19"/>
  <c r="C29" i="19"/>
  <c r="O28" i="19"/>
  <c r="M28" i="19"/>
  <c r="K28" i="19"/>
  <c r="I28" i="19"/>
  <c r="G28" i="19"/>
  <c r="E28" i="19"/>
  <c r="C28" i="19"/>
  <c r="O27" i="19"/>
  <c r="M27" i="19"/>
  <c r="K27" i="19"/>
  <c r="I27" i="19"/>
  <c r="G27" i="19"/>
  <c r="E27" i="19"/>
  <c r="C27" i="19"/>
  <c r="O26" i="19"/>
  <c r="M26" i="19"/>
  <c r="K26" i="19"/>
  <c r="I26" i="19"/>
  <c r="G26" i="19"/>
  <c r="E26" i="19"/>
  <c r="C26" i="19"/>
  <c r="O25" i="19"/>
  <c r="M25" i="19"/>
  <c r="K25" i="19"/>
  <c r="I25" i="19"/>
  <c r="G25" i="19"/>
  <c r="E25" i="19"/>
  <c r="C25" i="19"/>
  <c r="X23" i="19"/>
  <c r="X24" i="19"/>
  <c r="W23" i="19"/>
  <c r="W24" i="19"/>
  <c r="V23" i="19"/>
  <c r="V24" i="19"/>
  <c r="U23" i="19"/>
  <c r="U24" i="19"/>
  <c r="T23" i="19"/>
  <c r="T24" i="19"/>
  <c r="O24" i="19"/>
  <c r="M24" i="19"/>
  <c r="K24" i="19"/>
  <c r="I24" i="19"/>
  <c r="G24" i="19"/>
  <c r="E24" i="19"/>
  <c r="C24" i="19"/>
  <c r="O23" i="19"/>
  <c r="M23" i="19"/>
  <c r="K23" i="19"/>
  <c r="I23" i="19"/>
  <c r="G23" i="19"/>
  <c r="E23" i="19"/>
  <c r="C23" i="19"/>
  <c r="O22" i="19"/>
  <c r="M22" i="19"/>
  <c r="K22" i="19"/>
  <c r="I22" i="19"/>
  <c r="G22" i="19"/>
  <c r="E22" i="19"/>
  <c r="C22" i="19"/>
  <c r="O21" i="19"/>
  <c r="M21" i="19"/>
  <c r="K21" i="19"/>
  <c r="I21" i="19"/>
  <c r="G21" i="19"/>
  <c r="E21" i="19"/>
  <c r="C21" i="19"/>
  <c r="O20" i="19"/>
  <c r="M20" i="19"/>
  <c r="K20" i="19"/>
  <c r="I20" i="19"/>
  <c r="G20" i="19"/>
  <c r="E20" i="19"/>
  <c r="C20" i="19"/>
  <c r="X18" i="19"/>
  <c r="X19" i="19"/>
  <c r="W18" i="19"/>
  <c r="W19" i="19"/>
  <c r="V18" i="19"/>
  <c r="V19" i="19"/>
  <c r="U18" i="19"/>
  <c r="U19" i="19"/>
  <c r="T18" i="19"/>
  <c r="T19" i="19"/>
  <c r="O19" i="19"/>
  <c r="M19" i="19"/>
  <c r="K19" i="19"/>
  <c r="I19" i="19"/>
  <c r="G19" i="19"/>
  <c r="E19" i="19"/>
  <c r="C19" i="19"/>
  <c r="O18" i="19"/>
  <c r="M18" i="19"/>
  <c r="K18" i="19"/>
  <c r="I18" i="19"/>
  <c r="G18" i="19"/>
  <c r="E18" i="19"/>
  <c r="C18" i="19"/>
  <c r="O17" i="19"/>
  <c r="M17" i="19"/>
  <c r="K17" i="19"/>
  <c r="I17" i="19"/>
  <c r="G17" i="19"/>
  <c r="E17" i="19"/>
  <c r="C17" i="19"/>
  <c r="O16" i="19"/>
  <c r="M16" i="19"/>
  <c r="K16" i="19"/>
  <c r="I16" i="19"/>
  <c r="G16" i="19"/>
  <c r="E16" i="19"/>
  <c r="C16" i="19"/>
  <c r="O15" i="19"/>
  <c r="M15" i="19"/>
  <c r="K15" i="19"/>
  <c r="I15" i="19"/>
  <c r="G15" i="19"/>
  <c r="E15" i="19"/>
  <c r="C15" i="19"/>
  <c r="X13" i="19"/>
  <c r="X14" i="19"/>
  <c r="W13" i="19"/>
  <c r="W14" i="19"/>
  <c r="V13" i="19"/>
  <c r="V14" i="19"/>
  <c r="U13" i="19"/>
  <c r="U14" i="19"/>
  <c r="T13" i="19"/>
  <c r="T14" i="19"/>
  <c r="O14" i="19"/>
  <c r="M14" i="19"/>
  <c r="K14" i="19"/>
  <c r="I14" i="19"/>
  <c r="G14" i="19"/>
  <c r="E14" i="19"/>
  <c r="C14" i="19"/>
  <c r="O13" i="19"/>
  <c r="M13" i="19"/>
  <c r="K13" i="19"/>
  <c r="I13" i="19"/>
  <c r="G13" i="19"/>
  <c r="E13" i="19"/>
  <c r="C13" i="19"/>
  <c r="O12" i="19"/>
  <c r="M12" i="19"/>
  <c r="K12" i="19"/>
  <c r="I12" i="19"/>
  <c r="G12" i="19"/>
  <c r="E12" i="19"/>
  <c r="C12" i="19"/>
  <c r="O11" i="19"/>
  <c r="M11" i="19"/>
  <c r="K11" i="19"/>
  <c r="I11" i="19"/>
  <c r="G11" i="19"/>
  <c r="E11" i="19"/>
  <c r="C11" i="19"/>
  <c r="O10" i="19"/>
  <c r="M10" i="19"/>
  <c r="K10" i="19"/>
  <c r="I10" i="19"/>
  <c r="G10" i="19"/>
  <c r="E10" i="19"/>
  <c r="C10" i="19"/>
  <c r="X8" i="19"/>
  <c r="X9" i="19"/>
  <c r="W8" i="19"/>
  <c r="W9" i="19"/>
  <c r="V8" i="19"/>
  <c r="V9" i="19"/>
  <c r="U8" i="19"/>
  <c r="U9" i="19"/>
  <c r="T8" i="19"/>
  <c r="T9" i="19"/>
  <c r="O9" i="19"/>
  <c r="M9" i="19"/>
  <c r="K9" i="19"/>
  <c r="I9" i="19"/>
  <c r="G9" i="19"/>
  <c r="E9" i="19"/>
  <c r="C9" i="19"/>
  <c r="O8" i="19"/>
  <c r="M8" i="19"/>
  <c r="K8" i="19"/>
  <c r="I8" i="19"/>
  <c r="G8" i="19"/>
  <c r="E8" i="19"/>
  <c r="C8" i="19"/>
  <c r="O7" i="19"/>
  <c r="M7" i="19"/>
  <c r="K7" i="19"/>
  <c r="I7" i="19"/>
  <c r="G7" i="19"/>
  <c r="E7" i="19"/>
  <c r="C7" i="19"/>
  <c r="O6" i="19"/>
  <c r="M6" i="19"/>
  <c r="K6" i="19"/>
  <c r="I6" i="19"/>
  <c r="G6" i="19"/>
  <c r="E6" i="19"/>
  <c r="C6" i="19"/>
  <c r="O5" i="19"/>
  <c r="M5" i="19"/>
  <c r="K5" i="19"/>
  <c r="I5" i="19"/>
  <c r="G5" i="19"/>
  <c r="E5" i="19"/>
  <c r="C5" i="19"/>
  <c r="X3" i="19"/>
  <c r="X4" i="19"/>
  <c r="W3" i="19"/>
  <c r="W4" i="19"/>
  <c r="V3" i="19"/>
  <c r="V4" i="19"/>
  <c r="U3" i="19"/>
  <c r="U4" i="19"/>
  <c r="T3" i="19"/>
  <c r="T4" i="19"/>
  <c r="O4" i="19"/>
  <c r="M4" i="19"/>
  <c r="K4" i="19"/>
  <c r="I4" i="19"/>
  <c r="G4" i="19"/>
  <c r="E4" i="19"/>
  <c r="C4" i="19"/>
  <c r="O3" i="19"/>
  <c r="M3" i="19"/>
  <c r="K3" i="19"/>
  <c r="I3" i="19"/>
  <c r="G3" i="19"/>
  <c r="E3" i="19"/>
  <c r="C3" i="19"/>
  <c r="B34" i="18"/>
  <c r="X43" i="18"/>
  <c r="X44" i="18"/>
  <c r="B30" i="18"/>
  <c r="W43" i="18"/>
  <c r="W44" i="18"/>
  <c r="B25" i="18"/>
  <c r="V43" i="18"/>
  <c r="V44" i="18"/>
  <c r="B19" i="18"/>
  <c r="U43" i="18"/>
  <c r="U44" i="18"/>
  <c r="B9" i="18"/>
  <c r="T43" i="18"/>
  <c r="T44" i="18"/>
  <c r="D34" i="18"/>
  <c r="X38" i="18"/>
  <c r="X39" i="18"/>
  <c r="D30" i="18"/>
  <c r="W38" i="18"/>
  <c r="W39" i="18"/>
  <c r="D25" i="18"/>
  <c r="V38" i="18"/>
  <c r="V39" i="18"/>
  <c r="D19" i="18"/>
  <c r="U38" i="18"/>
  <c r="U39" i="18"/>
  <c r="D9" i="18"/>
  <c r="T38" i="18"/>
  <c r="T39" i="18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P9" i="18"/>
  <c r="P19" i="18"/>
  <c r="P25" i="18"/>
  <c r="P30" i="18"/>
  <c r="P34" i="18"/>
  <c r="P35" i="18"/>
  <c r="N9" i="18"/>
  <c r="N19" i="18"/>
  <c r="N25" i="18"/>
  <c r="N30" i="18"/>
  <c r="N34" i="18"/>
  <c r="N35" i="18"/>
  <c r="O35" i="18"/>
  <c r="L9" i="18"/>
  <c r="L19" i="18"/>
  <c r="L25" i="18"/>
  <c r="L30" i="18"/>
  <c r="L34" i="18"/>
  <c r="L35" i="18"/>
  <c r="M35" i="18"/>
  <c r="J9" i="18"/>
  <c r="J19" i="18"/>
  <c r="J25" i="18"/>
  <c r="J30" i="18"/>
  <c r="J34" i="18"/>
  <c r="J35" i="18"/>
  <c r="K35" i="18"/>
  <c r="H9" i="18"/>
  <c r="H19" i="18"/>
  <c r="H25" i="18"/>
  <c r="H30" i="18"/>
  <c r="H34" i="18"/>
  <c r="H35" i="18"/>
  <c r="I35" i="18"/>
  <c r="F9" i="18"/>
  <c r="F19" i="18"/>
  <c r="F25" i="18"/>
  <c r="F30" i="18"/>
  <c r="F34" i="18"/>
  <c r="F35" i="18"/>
  <c r="G35" i="18"/>
  <c r="D35" i="18"/>
  <c r="E35" i="18"/>
  <c r="B35" i="18"/>
  <c r="C35" i="18"/>
  <c r="X33" i="18"/>
  <c r="X34" i="18"/>
  <c r="W33" i="18"/>
  <c r="W34" i="18"/>
  <c r="V33" i="18"/>
  <c r="V34" i="18"/>
  <c r="U33" i="18"/>
  <c r="U34" i="18"/>
  <c r="T33" i="18"/>
  <c r="T34" i="18"/>
  <c r="O34" i="18"/>
  <c r="M34" i="18"/>
  <c r="K34" i="18"/>
  <c r="I34" i="18"/>
  <c r="G34" i="18"/>
  <c r="E34" i="18"/>
  <c r="C34" i="18"/>
  <c r="O33" i="18"/>
  <c r="M33" i="18"/>
  <c r="K33" i="18"/>
  <c r="I33" i="18"/>
  <c r="G33" i="18"/>
  <c r="E33" i="18"/>
  <c r="C33" i="18"/>
  <c r="O32" i="18"/>
  <c r="M32" i="18"/>
  <c r="K32" i="18"/>
  <c r="I32" i="18"/>
  <c r="G32" i="18"/>
  <c r="E32" i="18"/>
  <c r="C32" i="18"/>
  <c r="O31" i="18"/>
  <c r="M31" i="18"/>
  <c r="K31" i="18"/>
  <c r="I31" i="18"/>
  <c r="G31" i="18"/>
  <c r="E31" i="18"/>
  <c r="C31" i="18"/>
  <c r="O30" i="18"/>
  <c r="M30" i="18"/>
  <c r="K30" i="18"/>
  <c r="I30" i="18"/>
  <c r="G30" i="18"/>
  <c r="E30" i="18"/>
  <c r="C30" i="18"/>
  <c r="X28" i="18"/>
  <c r="X29" i="18"/>
  <c r="W28" i="18"/>
  <c r="W29" i="18"/>
  <c r="V28" i="18"/>
  <c r="V29" i="18"/>
  <c r="U28" i="18"/>
  <c r="U29" i="18"/>
  <c r="T28" i="18"/>
  <c r="T29" i="18"/>
  <c r="O29" i="18"/>
  <c r="M29" i="18"/>
  <c r="K29" i="18"/>
  <c r="I29" i="18"/>
  <c r="G29" i="18"/>
  <c r="E29" i="18"/>
  <c r="C29" i="18"/>
  <c r="O28" i="18"/>
  <c r="M28" i="18"/>
  <c r="K28" i="18"/>
  <c r="I28" i="18"/>
  <c r="G28" i="18"/>
  <c r="E28" i="18"/>
  <c r="C28" i="18"/>
  <c r="O27" i="18"/>
  <c r="M27" i="18"/>
  <c r="K27" i="18"/>
  <c r="I27" i="18"/>
  <c r="G27" i="18"/>
  <c r="E27" i="18"/>
  <c r="C27" i="18"/>
  <c r="O26" i="18"/>
  <c r="M26" i="18"/>
  <c r="K26" i="18"/>
  <c r="I26" i="18"/>
  <c r="G26" i="18"/>
  <c r="E26" i="18"/>
  <c r="C26" i="18"/>
  <c r="O25" i="18"/>
  <c r="M25" i="18"/>
  <c r="K25" i="18"/>
  <c r="I25" i="18"/>
  <c r="G25" i="18"/>
  <c r="E25" i="18"/>
  <c r="C25" i="18"/>
  <c r="X23" i="18"/>
  <c r="X24" i="18"/>
  <c r="W23" i="18"/>
  <c r="W24" i="18"/>
  <c r="V23" i="18"/>
  <c r="V24" i="18"/>
  <c r="U23" i="18"/>
  <c r="U24" i="18"/>
  <c r="T23" i="18"/>
  <c r="T24" i="18"/>
  <c r="O24" i="18"/>
  <c r="M24" i="18"/>
  <c r="K24" i="18"/>
  <c r="I24" i="18"/>
  <c r="G24" i="18"/>
  <c r="E24" i="18"/>
  <c r="C24" i="18"/>
  <c r="O23" i="18"/>
  <c r="M23" i="18"/>
  <c r="K23" i="18"/>
  <c r="I23" i="18"/>
  <c r="G23" i="18"/>
  <c r="E23" i="18"/>
  <c r="C23" i="18"/>
  <c r="O22" i="18"/>
  <c r="M22" i="18"/>
  <c r="K22" i="18"/>
  <c r="I22" i="18"/>
  <c r="G22" i="18"/>
  <c r="E22" i="18"/>
  <c r="C22" i="18"/>
  <c r="O21" i="18"/>
  <c r="M21" i="18"/>
  <c r="K21" i="18"/>
  <c r="I21" i="18"/>
  <c r="G21" i="18"/>
  <c r="E21" i="18"/>
  <c r="C21" i="18"/>
  <c r="O20" i="18"/>
  <c r="M20" i="18"/>
  <c r="K20" i="18"/>
  <c r="I20" i="18"/>
  <c r="G20" i="18"/>
  <c r="E20" i="18"/>
  <c r="C20" i="18"/>
  <c r="X18" i="18"/>
  <c r="X19" i="18"/>
  <c r="W18" i="18"/>
  <c r="W19" i="18"/>
  <c r="V18" i="18"/>
  <c r="V19" i="18"/>
  <c r="U18" i="18"/>
  <c r="U19" i="18"/>
  <c r="T18" i="18"/>
  <c r="T19" i="18"/>
  <c r="O19" i="18"/>
  <c r="M19" i="18"/>
  <c r="K19" i="18"/>
  <c r="I19" i="18"/>
  <c r="G19" i="18"/>
  <c r="E19" i="18"/>
  <c r="C19" i="18"/>
  <c r="O18" i="18"/>
  <c r="M18" i="18"/>
  <c r="K18" i="18"/>
  <c r="I18" i="18"/>
  <c r="G18" i="18"/>
  <c r="E18" i="18"/>
  <c r="C18" i="18"/>
  <c r="O17" i="18"/>
  <c r="M17" i="18"/>
  <c r="K17" i="18"/>
  <c r="I17" i="18"/>
  <c r="G17" i="18"/>
  <c r="E17" i="18"/>
  <c r="C17" i="18"/>
  <c r="O16" i="18"/>
  <c r="M16" i="18"/>
  <c r="K16" i="18"/>
  <c r="I16" i="18"/>
  <c r="G16" i="18"/>
  <c r="E16" i="18"/>
  <c r="C16" i="18"/>
  <c r="O15" i="18"/>
  <c r="M15" i="18"/>
  <c r="K15" i="18"/>
  <c r="I15" i="18"/>
  <c r="G15" i="18"/>
  <c r="E15" i="18"/>
  <c r="C15" i="18"/>
  <c r="X13" i="18"/>
  <c r="X14" i="18"/>
  <c r="W13" i="18"/>
  <c r="W14" i="18"/>
  <c r="V13" i="18"/>
  <c r="V14" i="18"/>
  <c r="U13" i="18"/>
  <c r="U14" i="18"/>
  <c r="T13" i="18"/>
  <c r="T14" i="18"/>
  <c r="O14" i="18"/>
  <c r="M14" i="18"/>
  <c r="K14" i="18"/>
  <c r="I14" i="18"/>
  <c r="G14" i="18"/>
  <c r="E14" i="18"/>
  <c r="C14" i="18"/>
  <c r="O13" i="18"/>
  <c r="M13" i="18"/>
  <c r="K13" i="18"/>
  <c r="I13" i="18"/>
  <c r="G13" i="18"/>
  <c r="E13" i="18"/>
  <c r="C13" i="18"/>
  <c r="O12" i="18"/>
  <c r="M12" i="18"/>
  <c r="K12" i="18"/>
  <c r="I12" i="18"/>
  <c r="G12" i="18"/>
  <c r="E12" i="18"/>
  <c r="C12" i="18"/>
  <c r="O11" i="18"/>
  <c r="M11" i="18"/>
  <c r="K11" i="18"/>
  <c r="I11" i="18"/>
  <c r="G11" i="18"/>
  <c r="E11" i="18"/>
  <c r="C11" i="18"/>
  <c r="O10" i="18"/>
  <c r="M10" i="18"/>
  <c r="K10" i="18"/>
  <c r="I10" i="18"/>
  <c r="G10" i="18"/>
  <c r="E10" i="18"/>
  <c r="C10" i="18"/>
  <c r="X8" i="18"/>
  <c r="X9" i="18"/>
  <c r="W8" i="18"/>
  <c r="W9" i="18"/>
  <c r="V8" i="18"/>
  <c r="V9" i="18"/>
  <c r="U8" i="18"/>
  <c r="U9" i="18"/>
  <c r="T8" i="18"/>
  <c r="T9" i="18"/>
  <c r="O9" i="18"/>
  <c r="M9" i="18"/>
  <c r="K9" i="18"/>
  <c r="I9" i="18"/>
  <c r="G9" i="18"/>
  <c r="E9" i="18"/>
  <c r="C9" i="18"/>
  <c r="O8" i="18"/>
  <c r="M8" i="18"/>
  <c r="K8" i="18"/>
  <c r="I8" i="18"/>
  <c r="G8" i="18"/>
  <c r="E8" i="18"/>
  <c r="C8" i="18"/>
  <c r="O7" i="18"/>
  <c r="M7" i="18"/>
  <c r="K7" i="18"/>
  <c r="I7" i="18"/>
  <c r="G7" i="18"/>
  <c r="E7" i="18"/>
  <c r="C7" i="18"/>
  <c r="O6" i="18"/>
  <c r="M6" i="18"/>
  <c r="K6" i="18"/>
  <c r="I6" i="18"/>
  <c r="G6" i="18"/>
  <c r="E6" i="18"/>
  <c r="C6" i="18"/>
  <c r="O5" i="18"/>
  <c r="M5" i="18"/>
  <c r="K5" i="18"/>
  <c r="I5" i="18"/>
  <c r="G5" i="18"/>
  <c r="E5" i="18"/>
  <c r="C5" i="18"/>
  <c r="X3" i="18"/>
  <c r="X4" i="18"/>
  <c r="W3" i="18"/>
  <c r="W4" i="18"/>
  <c r="V3" i="18"/>
  <c r="V4" i="18"/>
  <c r="U3" i="18"/>
  <c r="U4" i="18"/>
  <c r="T3" i="18"/>
  <c r="T4" i="18"/>
  <c r="O4" i="18"/>
  <c r="M4" i="18"/>
  <c r="K4" i="18"/>
  <c r="I4" i="18"/>
  <c r="G4" i="18"/>
  <c r="E4" i="18"/>
  <c r="C4" i="18"/>
  <c r="O3" i="18"/>
  <c r="M3" i="18"/>
  <c r="K3" i="18"/>
  <c r="I3" i="18"/>
  <c r="G3" i="18"/>
  <c r="E3" i="18"/>
  <c r="C3" i="18"/>
  <c r="B34" i="17"/>
  <c r="X43" i="17"/>
  <c r="X44" i="17"/>
  <c r="B30" i="17"/>
  <c r="W43" i="17"/>
  <c r="W44" i="17"/>
  <c r="B25" i="17"/>
  <c r="V43" i="17"/>
  <c r="V44" i="17"/>
  <c r="B19" i="17"/>
  <c r="U43" i="17"/>
  <c r="U44" i="17"/>
  <c r="B9" i="17"/>
  <c r="T43" i="17"/>
  <c r="T44" i="17"/>
  <c r="D34" i="17"/>
  <c r="X38" i="17"/>
  <c r="X39" i="17"/>
  <c r="D30" i="17"/>
  <c r="W38" i="17"/>
  <c r="W39" i="17"/>
  <c r="D25" i="17"/>
  <c r="V38" i="17"/>
  <c r="V39" i="17"/>
  <c r="D19" i="17"/>
  <c r="U38" i="17"/>
  <c r="U39" i="17"/>
  <c r="D9" i="17"/>
  <c r="T38" i="17"/>
  <c r="T39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P9" i="17"/>
  <c r="P19" i="17"/>
  <c r="P25" i="17"/>
  <c r="P30" i="17"/>
  <c r="P34" i="17"/>
  <c r="P35" i="17"/>
  <c r="N9" i="17"/>
  <c r="N19" i="17"/>
  <c r="N25" i="17"/>
  <c r="N30" i="17"/>
  <c r="N34" i="17"/>
  <c r="N35" i="17"/>
  <c r="O35" i="17"/>
  <c r="L9" i="17"/>
  <c r="L19" i="17"/>
  <c r="L25" i="17"/>
  <c r="L30" i="17"/>
  <c r="L34" i="17"/>
  <c r="L35" i="17"/>
  <c r="M35" i="17"/>
  <c r="J9" i="17"/>
  <c r="J19" i="17"/>
  <c r="J25" i="17"/>
  <c r="J30" i="17"/>
  <c r="J34" i="17"/>
  <c r="J35" i="17"/>
  <c r="K35" i="17"/>
  <c r="H9" i="17"/>
  <c r="H19" i="17"/>
  <c r="H25" i="17"/>
  <c r="H30" i="17"/>
  <c r="H34" i="17"/>
  <c r="H35" i="17"/>
  <c r="I35" i="17"/>
  <c r="F9" i="17"/>
  <c r="F19" i="17"/>
  <c r="F25" i="17"/>
  <c r="F30" i="17"/>
  <c r="F34" i="17"/>
  <c r="F35" i="17"/>
  <c r="G35" i="17"/>
  <c r="D35" i="17"/>
  <c r="E35" i="17"/>
  <c r="B35" i="17"/>
  <c r="C35" i="17"/>
  <c r="X33" i="17"/>
  <c r="X34" i="17"/>
  <c r="W33" i="17"/>
  <c r="W34" i="17"/>
  <c r="V33" i="17"/>
  <c r="V34" i="17"/>
  <c r="U33" i="17"/>
  <c r="U34" i="17"/>
  <c r="T33" i="17"/>
  <c r="T34" i="17"/>
  <c r="O34" i="17"/>
  <c r="M34" i="17"/>
  <c r="K34" i="17"/>
  <c r="I34" i="17"/>
  <c r="G34" i="17"/>
  <c r="E34" i="17"/>
  <c r="C34" i="17"/>
  <c r="O33" i="17"/>
  <c r="M33" i="17"/>
  <c r="K33" i="17"/>
  <c r="I33" i="17"/>
  <c r="G33" i="17"/>
  <c r="E33" i="17"/>
  <c r="C33" i="17"/>
  <c r="O32" i="17"/>
  <c r="M32" i="17"/>
  <c r="K32" i="17"/>
  <c r="I32" i="17"/>
  <c r="G32" i="17"/>
  <c r="E32" i="17"/>
  <c r="C32" i="17"/>
  <c r="O31" i="17"/>
  <c r="M31" i="17"/>
  <c r="K31" i="17"/>
  <c r="I31" i="17"/>
  <c r="G31" i="17"/>
  <c r="E31" i="17"/>
  <c r="C31" i="17"/>
  <c r="O30" i="17"/>
  <c r="M30" i="17"/>
  <c r="K30" i="17"/>
  <c r="I30" i="17"/>
  <c r="G30" i="17"/>
  <c r="E30" i="17"/>
  <c r="C30" i="17"/>
  <c r="X28" i="17"/>
  <c r="X29" i="17"/>
  <c r="W28" i="17"/>
  <c r="W29" i="17"/>
  <c r="V28" i="17"/>
  <c r="V29" i="17"/>
  <c r="U28" i="17"/>
  <c r="U29" i="17"/>
  <c r="T28" i="17"/>
  <c r="T29" i="17"/>
  <c r="O29" i="17"/>
  <c r="M29" i="17"/>
  <c r="K29" i="17"/>
  <c r="I29" i="17"/>
  <c r="G29" i="17"/>
  <c r="E29" i="17"/>
  <c r="C29" i="17"/>
  <c r="O28" i="17"/>
  <c r="M28" i="17"/>
  <c r="K28" i="17"/>
  <c r="I28" i="17"/>
  <c r="G28" i="17"/>
  <c r="E28" i="17"/>
  <c r="C28" i="17"/>
  <c r="O27" i="17"/>
  <c r="M27" i="17"/>
  <c r="K27" i="17"/>
  <c r="I27" i="17"/>
  <c r="G27" i="17"/>
  <c r="E27" i="17"/>
  <c r="C27" i="17"/>
  <c r="O26" i="17"/>
  <c r="M26" i="17"/>
  <c r="K26" i="17"/>
  <c r="I26" i="17"/>
  <c r="G26" i="17"/>
  <c r="E26" i="17"/>
  <c r="C26" i="17"/>
  <c r="O25" i="17"/>
  <c r="M25" i="17"/>
  <c r="K25" i="17"/>
  <c r="I25" i="17"/>
  <c r="G25" i="17"/>
  <c r="E25" i="17"/>
  <c r="C25" i="17"/>
  <c r="X23" i="17"/>
  <c r="X24" i="17"/>
  <c r="W23" i="17"/>
  <c r="W24" i="17"/>
  <c r="V23" i="17"/>
  <c r="V24" i="17"/>
  <c r="U23" i="17"/>
  <c r="U24" i="17"/>
  <c r="T23" i="17"/>
  <c r="T24" i="17"/>
  <c r="O24" i="17"/>
  <c r="M24" i="17"/>
  <c r="K24" i="17"/>
  <c r="I24" i="17"/>
  <c r="G24" i="17"/>
  <c r="E24" i="17"/>
  <c r="C24" i="17"/>
  <c r="O23" i="17"/>
  <c r="M23" i="17"/>
  <c r="K23" i="17"/>
  <c r="I23" i="17"/>
  <c r="G23" i="17"/>
  <c r="E23" i="17"/>
  <c r="C23" i="17"/>
  <c r="O22" i="17"/>
  <c r="M22" i="17"/>
  <c r="K22" i="17"/>
  <c r="I22" i="17"/>
  <c r="G22" i="17"/>
  <c r="E22" i="17"/>
  <c r="C22" i="17"/>
  <c r="O21" i="17"/>
  <c r="M21" i="17"/>
  <c r="K21" i="17"/>
  <c r="I21" i="17"/>
  <c r="G21" i="17"/>
  <c r="E21" i="17"/>
  <c r="C21" i="17"/>
  <c r="O20" i="17"/>
  <c r="M20" i="17"/>
  <c r="K20" i="17"/>
  <c r="I20" i="17"/>
  <c r="G20" i="17"/>
  <c r="E20" i="17"/>
  <c r="C20" i="17"/>
  <c r="X18" i="17"/>
  <c r="X19" i="17"/>
  <c r="W18" i="17"/>
  <c r="W19" i="17"/>
  <c r="V18" i="17"/>
  <c r="V19" i="17"/>
  <c r="U18" i="17"/>
  <c r="U19" i="17"/>
  <c r="T18" i="17"/>
  <c r="T19" i="17"/>
  <c r="O19" i="17"/>
  <c r="M19" i="17"/>
  <c r="K19" i="17"/>
  <c r="I19" i="17"/>
  <c r="G19" i="17"/>
  <c r="E19" i="17"/>
  <c r="C19" i="17"/>
  <c r="O18" i="17"/>
  <c r="M18" i="17"/>
  <c r="K18" i="17"/>
  <c r="I18" i="17"/>
  <c r="G18" i="17"/>
  <c r="E18" i="17"/>
  <c r="C18" i="17"/>
  <c r="O17" i="17"/>
  <c r="M17" i="17"/>
  <c r="K17" i="17"/>
  <c r="I17" i="17"/>
  <c r="G17" i="17"/>
  <c r="E17" i="17"/>
  <c r="C17" i="17"/>
  <c r="O16" i="17"/>
  <c r="M16" i="17"/>
  <c r="K16" i="17"/>
  <c r="I16" i="17"/>
  <c r="G16" i="17"/>
  <c r="E16" i="17"/>
  <c r="C16" i="17"/>
  <c r="O15" i="17"/>
  <c r="M15" i="17"/>
  <c r="K15" i="17"/>
  <c r="I15" i="17"/>
  <c r="G15" i="17"/>
  <c r="E15" i="17"/>
  <c r="C15" i="17"/>
  <c r="X13" i="17"/>
  <c r="X14" i="17"/>
  <c r="W13" i="17"/>
  <c r="W14" i="17"/>
  <c r="V13" i="17"/>
  <c r="V14" i="17"/>
  <c r="U13" i="17"/>
  <c r="U14" i="17"/>
  <c r="T13" i="17"/>
  <c r="T14" i="17"/>
  <c r="O14" i="17"/>
  <c r="M14" i="17"/>
  <c r="K14" i="17"/>
  <c r="I14" i="17"/>
  <c r="G14" i="17"/>
  <c r="E14" i="17"/>
  <c r="C14" i="17"/>
  <c r="O13" i="17"/>
  <c r="M13" i="17"/>
  <c r="K13" i="17"/>
  <c r="I13" i="17"/>
  <c r="G13" i="17"/>
  <c r="E13" i="17"/>
  <c r="C13" i="17"/>
  <c r="O12" i="17"/>
  <c r="M12" i="17"/>
  <c r="K12" i="17"/>
  <c r="I12" i="17"/>
  <c r="G12" i="17"/>
  <c r="E12" i="17"/>
  <c r="C12" i="17"/>
  <c r="O11" i="17"/>
  <c r="M11" i="17"/>
  <c r="K11" i="17"/>
  <c r="I11" i="17"/>
  <c r="G11" i="17"/>
  <c r="E11" i="17"/>
  <c r="C11" i="17"/>
  <c r="O10" i="17"/>
  <c r="M10" i="17"/>
  <c r="K10" i="17"/>
  <c r="I10" i="17"/>
  <c r="G10" i="17"/>
  <c r="E10" i="17"/>
  <c r="C10" i="17"/>
  <c r="X8" i="17"/>
  <c r="X9" i="17"/>
  <c r="W8" i="17"/>
  <c r="W9" i="17"/>
  <c r="V8" i="17"/>
  <c r="V9" i="17"/>
  <c r="U8" i="17"/>
  <c r="U9" i="17"/>
  <c r="T8" i="17"/>
  <c r="T9" i="17"/>
  <c r="O9" i="17"/>
  <c r="M9" i="17"/>
  <c r="K9" i="17"/>
  <c r="I9" i="17"/>
  <c r="G9" i="17"/>
  <c r="E9" i="17"/>
  <c r="C9" i="17"/>
  <c r="O8" i="17"/>
  <c r="M8" i="17"/>
  <c r="K8" i="17"/>
  <c r="I8" i="17"/>
  <c r="G8" i="17"/>
  <c r="E8" i="17"/>
  <c r="C8" i="17"/>
  <c r="O7" i="17"/>
  <c r="M7" i="17"/>
  <c r="K7" i="17"/>
  <c r="I7" i="17"/>
  <c r="G7" i="17"/>
  <c r="E7" i="17"/>
  <c r="C7" i="17"/>
  <c r="O6" i="17"/>
  <c r="M6" i="17"/>
  <c r="K6" i="17"/>
  <c r="I6" i="17"/>
  <c r="G6" i="17"/>
  <c r="E6" i="17"/>
  <c r="C6" i="17"/>
  <c r="O5" i="17"/>
  <c r="M5" i="17"/>
  <c r="K5" i="17"/>
  <c r="I5" i="17"/>
  <c r="G5" i="17"/>
  <c r="E5" i="17"/>
  <c r="C5" i="17"/>
  <c r="X3" i="17"/>
  <c r="X4" i="17"/>
  <c r="W3" i="17"/>
  <c r="W4" i="17"/>
  <c r="V3" i="17"/>
  <c r="V4" i="17"/>
  <c r="U3" i="17"/>
  <c r="U4" i="17"/>
  <c r="T3" i="17"/>
  <c r="T4" i="17"/>
  <c r="O4" i="17"/>
  <c r="M4" i="17"/>
  <c r="K4" i="17"/>
  <c r="I4" i="17"/>
  <c r="G4" i="17"/>
  <c r="E4" i="17"/>
  <c r="C4" i="17"/>
  <c r="O3" i="17"/>
  <c r="M3" i="17"/>
  <c r="K3" i="17"/>
  <c r="I3" i="17"/>
  <c r="G3" i="17"/>
  <c r="E3" i="17"/>
  <c r="C3" i="17"/>
  <c r="B34" i="16"/>
  <c r="R34" i="16"/>
  <c r="X43" i="16"/>
  <c r="X44" i="16"/>
  <c r="B30" i="16"/>
  <c r="R30" i="16"/>
  <c r="W44" i="16"/>
  <c r="B25" i="16"/>
  <c r="R25" i="16"/>
  <c r="V43" i="16"/>
  <c r="V44" i="16"/>
  <c r="B19" i="16"/>
  <c r="R19" i="16"/>
  <c r="U43" i="16"/>
  <c r="U44" i="16"/>
  <c r="B9" i="16"/>
  <c r="R9" i="16"/>
  <c r="T43" i="16"/>
  <c r="T44" i="16"/>
  <c r="D34" i="16"/>
  <c r="X38" i="16"/>
  <c r="X39" i="16"/>
  <c r="D30" i="16"/>
  <c r="W39" i="16"/>
  <c r="D25" i="16"/>
  <c r="V38" i="16"/>
  <c r="V39" i="16"/>
  <c r="D19" i="16"/>
  <c r="U38" i="16"/>
  <c r="U39" i="16"/>
  <c r="D9" i="16"/>
  <c r="T38" i="16"/>
  <c r="T39" i="16"/>
  <c r="R35" i="16"/>
  <c r="B35" i="16"/>
  <c r="D35" i="16"/>
  <c r="F9" i="16"/>
  <c r="F19" i="16"/>
  <c r="F25" i="16"/>
  <c r="F30" i="16"/>
  <c r="F34" i="16"/>
  <c r="F35" i="16"/>
  <c r="H9" i="16"/>
  <c r="H19" i="16"/>
  <c r="H25" i="16"/>
  <c r="H30" i="16"/>
  <c r="H34" i="16"/>
  <c r="H35" i="16"/>
  <c r="J9" i="16"/>
  <c r="J19" i="16"/>
  <c r="J25" i="16"/>
  <c r="J30" i="16"/>
  <c r="J34" i="16"/>
  <c r="J35" i="16"/>
  <c r="L9" i="16"/>
  <c r="L19" i="16"/>
  <c r="L25" i="16"/>
  <c r="L30" i="16"/>
  <c r="L34" i="16"/>
  <c r="L35" i="16"/>
  <c r="N9" i="16"/>
  <c r="N19" i="16"/>
  <c r="N25" i="16"/>
  <c r="N30" i="16"/>
  <c r="N34" i="16"/>
  <c r="N35" i="16"/>
  <c r="P9" i="16"/>
  <c r="P19" i="16"/>
  <c r="P25" i="16"/>
  <c r="P30" i="16"/>
  <c r="P34" i="16"/>
  <c r="P35" i="16"/>
  <c r="Q35" i="16"/>
  <c r="O35" i="16"/>
  <c r="M35" i="16"/>
  <c r="K35" i="16"/>
  <c r="I35" i="16"/>
  <c r="G35" i="16"/>
  <c r="E35" i="16"/>
  <c r="C35" i="16"/>
  <c r="X33" i="16"/>
  <c r="X34" i="16"/>
  <c r="W33" i="16"/>
  <c r="W34" i="16"/>
  <c r="V33" i="16"/>
  <c r="V34" i="16"/>
  <c r="U33" i="16"/>
  <c r="U34" i="16"/>
  <c r="T33" i="16"/>
  <c r="T34" i="16"/>
  <c r="Q34" i="16"/>
  <c r="O34" i="16"/>
  <c r="M34" i="16"/>
  <c r="K34" i="16"/>
  <c r="I34" i="16"/>
  <c r="G34" i="16"/>
  <c r="E34" i="16"/>
  <c r="C34" i="16"/>
  <c r="Q33" i="16"/>
  <c r="O33" i="16"/>
  <c r="M33" i="16"/>
  <c r="K33" i="16"/>
  <c r="I33" i="16"/>
  <c r="G33" i="16"/>
  <c r="E33" i="16"/>
  <c r="C33" i="16"/>
  <c r="Q32" i="16"/>
  <c r="O32" i="16"/>
  <c r="M32" i="16"/>
  <c r="K32" i="16"/>
  <c r="I32" i="16"/>
  <c r="G32" i="16"/>
  <c r="E32" i="16"/>
  <c r="C32" i="16"/>
  <c r="Q31" i="16"/>
  <c r="O31" i="16"/>
  <c r="M31" i="16"/>
  <c r="K31" i="16"/>
  <c r="I31" i="16"/>
  <c r="G31" i="16"/>
  <c r="E31" i="16"/>
  <c r="C31" i="16"/>
  <c r="Q30" i="16"/>
  <c r="O30" i="16"/>
  <c r="M30" i="16"/>
  <c r="K30" i="16"/>
  <c r="I30" i="16"/>
  <c r="G30" i="16"/>
  <c r="E30" i="16"/>
  <c r="C30" i="16"/>
  <c r="X28" i="16"/>
  <c r="X29" i="16"/>
  <c r="W28" i="16"/>
  <c r="W29" i="16"/>
  <c r="V28" i="16"/>
  <c r="V29" i="16"/>
  <c r="U28" i="16"/>
  <c r="U29" i="16"/>
  <c r="T28" i="16"/>
  <c r="T29" i="16"/>
  <c r="Q29" i="16"/>
  <c r="O29" i="16"/>
  <c r="M29" i="16"/>
  <c r="K29" i="16"/>
  <c r="I29" i="16"/>
  <c r="G29" i="16"/>
  <c r="E29" i="16"/>
  <c r="C29" i="16"/>
  <c r="Q28" i="16"/>
  <c r="O28" i="16"/>
  <c r="M28" i="16"/>
  <c r="K28" i="16"/>
  <c r="I28" i="16"/>
  <c r="G28" i="16"/>
  <c r="E28" i="16"/>
  <c r="C28" i="16"/>
  <c r="Q27" i="16"/>
  <c r="O27" i="16"/>
  <c r="M27" i="16"/>
  <c r="K27" i="16"/>
  <c r="I27" i="16"/>
  <c r="G27" i="16"/>
  <c r="E27" i="16"/>
  <c r="C27" i="16"/>
  <c r="Q26" i="16"/>
  <c r="O26" i="16"/>
  <c r="M26" i="16"/>
  <c r="K26" i="16"/>
  <c r="I26" i="16"/>
  <c r="G26" i="16"/>
  <c r="E26" i="16"/>
  <c r="C26" i="16"/>
  <c r="Q25" i="16"/>
  <c r="O25" i="16"/>
  <c r="M25" i="16"/>
  <c r="K25" i="16"/>
  <c r="I25" i="16"/>
  <c r="G25" i="16"/>
  <c r="E25" i="16"/>
  <c r="C25" i="16"/>
  <c r="X23" i="16"/>
  <c r="X24" i="16"/>
  <c r="W23" i="16"/>
  <c r="W24" i="16"/>
  <c r="V23" i="16"/>
  <c r="V24" i="16"/>
  <c r="U23" i="16"/>
  <c r="U24" i="16"/>
  <c r="T23" i="16"/>
  <c r="T24" i="16"/>
  <c r="Q24" i="16"/>
  <c r="O24" i="16"/>
  <c r="M24" i="16"/>
  <c r="K24" i="16"/>
  <c r="I24" i="16"/>
  <c r="G24" i="16"/>
  <c r="E24" i="16"/>
  <c r="C24" i="16"/>
  <c r="Q23" i="16"/>
  <c r="O23" i="16"/>
  <c r="M23" i="16"/>
  <c r="K23" i="16"/>
  <c r="I23" i="16"/>
  <c r="G23" i="16"/>
  <c r="E23" i="16"/>
  <c r="C23" i="16"/>
  <c r="Q22" i="16"/>
  <c r="O22" i="16"/>
  <c r="M22" i="16"/>
  <c r="K22" i="16"/>
  <c r="I22" i="16"/>
  <c r="G22" i="16"/>
  <c r="E22" i="16"/>
  <c r="C22" i="16"/>
  <c r="Q21" i="16"/>
  <c r="O21" i="16"/>
  <c r="M21" i="16"/>
  <c r="K21" i="16"/>
  <c r="I21" i="16"/>
  <c r="G21" i="16"/>
  <c r="E21" i="16"/>
  <c r="C21" i="16"/>
  <c r="Q20" i="16"/>
  <c r="O20" i="16"/>
  <c r="M20" i="16"/>
  <c r="K20" i="16"/>
  <c r="I20" i="16"/>
  <c r="G20" i="16"/>
  <c r="E20" i="16"/>
  <c r="C20" i="16"/>
  <c r="X18" i="16"/>
  <c r="X19" i="16"/>
  <c r="W18" i="16"/>
  <c r="W19" i="16"/>
  <c r="V18" i="16"/>
  <c r="V19" i="16"/>
  <c r="U18" i="16"/>
  <c r="U19" i="16"/>
  <c r="T18" i="16"/>
  <c r="T19" i="16"/>
  <c r="Q19" i="16"/>
  <c r="O19" i="16"/>
  <c r="M19" i="16"/>
  <c r="K19" i="16"/>
  <c r="I19" i="16"/>
  <c r="G19" i="16"/>
  <c r="E19" i="16"/>
  <c r="C19" i="16"/>
  <c r="Q18" i="16"/>
  <c r="O18" i="16"/>
  <c r="M18" i="16"/>
  <c r="K18" i="16"/>
  <c r="I18" i="16"/>
  <c r="G18" i="16"/>
  <c r="E18" i="16"/>
  <c r="C18" i="16"/>
  <c r="Q17" i="16"/>
  <c r="O17" i="16"/>
  <c r="M17" i="16"/>
  <c r="K17" i="16"/>
  <c r="I17" i="16"/>
  <c r="G17" i="16"/>
  <c r="E17" i="16"/>
  <c r="C17" i="16"/>
  <c r="Q16" i="16"/>
  <c r="O16" i="16"/>
  <c r="M16" i="16"/>
  <c r="K16" i="16"/>
  <c r="I16" i="16"/>
  <c r="G16" i="16"/>
  <c r="E16" i="16"/>
  <c r="C16" i="16"/>
  <c r="Q15" i="16"/>
  <c r="O15" i="16"/>
  <c r="M15" i="16"/>
  <c r="K15" i="16"/>
  <c r="I15" i="16"/>
  <c r="G15" i="16"/>
  <c r="E15" i="16"/>
  <c r="C15" i="16"/>
  <c r="X13" i="16"/>
  <c r="X14" i="16"/>
  <c r="W13" i="16"/>
  <c r="W14" i="16"/>
  <c r="V13" i="16"/>
  <c r="V14" i="16"/>
  <c r="U13" i="16"/>
  <c r="U14" i="16"/>
  <c r="T13" i="16"/>
  <c r="T14" i="16"/>
  <c r="Q14" i="16"/>
  <c r="O14" i="16"/>
  <c r="M14" i="16"/>
  <c r="K14" i="16"/>
  <c r="I14" i="16"/>
  <c r="G14" i="16"/>
  <c r="E14" i="16"/>
  <c r="C14" i="16"/>
  <c r="Q13" i="16"/>
  <c r="O13" i="16"/>
  <c r="M13" i="16"/>
  <c r="K13" i="16"/>
  <c r="I13" i="16"/>
  <c r="G13" i="16"/>
  <c r="E13" i="16"/>
  <c r="C13" i="16"/>
  <c r="Q12" i="16"/>
  <c r="O12" i="16"/>
  <c r="M12" i="16"/>
  <c r="K12" i="16"/>
  <c r="I12" i="16"/>
  <c r="G12" i="16"/>
  <c r="E12" i="16"/>
  <c r="C12" i="16"/>
  <c r="Q11" i="16"/>
  <c r="O11" i="16"/>
  <c r="M11" i="16"/>
  <c r="K11" i="16"/>
  <c r="I11" i="16"/>
  <c r="G11" i="16"/>
  <c r="E11" i="16"/>
  <c r="C11" i="16"/>
  <c r="Q10" i="16"/>
  <c r="O10" i="16"/>
  <c r="M10" i="16"/>
  <c r="K10" i="16"/>
  <c r="I10" i="16"/>
  <c r="G10" i="16"/>
  <c r="E10" i="16"/>
  <c r="C10" i="16"/>
  <c r="X8" i="16"/>
  <c r="X9" i="16"/>
  <c r="W8" i="16"/>
  <c r="W9" i="16"/>
  <c r="V8" i="16"/>
  <c r="V9" i="16"/>
  <c r="U8" i="16"/>
  <c r="U9" i="16"/>
  <c r="T8" i="16"/>
  <c r="T9" i="16"/>
  <c r="Q9" i="16"/>
  <c r="O9" i="16"/>
  <c r="M9" i="16"/>
  <c r="K9" i="16"/>
  <c r="I9" i="16"/>
  <c r="G9" i="16"/>
  <c r="E9" i="16"/>
  <c r="C9" i="16"/>
  <c r="Q8" i="16"/>
  <c r="O8" i="16"/>
  <c r="M8" i="16"/>
  <c r="K8" i="16"/>
  <c r="I8" i="16"/>
  <c r="G8" i="16"/>
  <c r="E8" i="16"/>
  <c r="C8" i="16"/>
  <c r="Q7" i="16"/>
  <c r="O7" i="16"/>
  <c r="M7" i="16"/>
  <c r="K7" i="16"/>
  <c r="I7" i="16"/>
  <c r="G7" i="16"/>
  <c r="E7" i="16"/>
  <c r="C7" i="16"/>
  <c r="Q6" i="16"/>
  <c r="O6" i="16"/>
  <c r="M6" i="16"/>
  <c r="K6" i="16"/>
  <c r="I6" i="16"/>
  <c r="G6" i="16"/>
  <c r="E6" i="16"/>
  <c r="C6" i="16"/>
  <c r="Q5" i="16"/>
  <c r="O5" i="16"/>
  <c r="M5" i="16"/>
  <c r="K5" i="16"/>
  <c r="I5" i="16"/>
  <c r="G5" i="16"/>
  <c r="E5" i="16"/>
  <c r="C5" i="16"/>
  <c r="X3" i="16"/>
  <c r="X4" i="16"/>
  <c r="W3" i="16"/>
  <c r="W4" i="16"/>
  <c r="V3" i="16"/>
  <c r="V4" i="16"/>
  <c r="U3" i="16"/>
  <c r="U4" i="16"/>
  <c r="T3" i="16"/>
  <c r="T4" i="16"/>
  <c r="Q4" i="16"/>
  <c r="O4" i="16"/>
  <c r="M4" i="16"/>
  <c r="K4" i="16"/>
  <c r="I4" i="16"/>
  <c r="G4" i="16"/>
  <c r="E4" i="16"/>
  <c r="C4" i="16"/>
  <c r="Q3" i="16"/>
  <c r="O3" i="16"/>
  <c r="M3" i="16"/>
  <c r="K3" i="16"/>
  <c r="I3" i="16"/>
  <c r="G3" i="16"/>
  <c r="E3" i="16"/>
  <c r="C3" i="16"/>
  <c r="B34" i="15"/>
  <c r="X43" i="15"/>
  <c r="X44" i="15"/>
  <c r="B30" i="15"/>
  <c r="W44" i="15"/>
  <c r="B25" i="15"/>
  <c r="V43" i="15"/>
  <c r="V44" i="15"/>
  <c r="B19" i="15"/>
  <c r="U43" i="15"/>
  <c r="U44" i="15"/>
  <c r="B9" i="15"/>
  <c r="T43" i="15"/>
  <c r="T44" i="15"/>
  <c r="D34" i="15"/>
  <c r="X38" i="15"/>
  <c r="X39" i="15"/>
  <c r="W39" i="15"/>
  <c r="D25" i="15"/>
  <c r="V38" i="15"/>
  <c r="V39" i="15"/>
  <c r="D19" i="15"/>
  <c r="U38" i="15"/>
  <c r="U39" i="15"/>
  <c r="D9" i="15"/>
  <c r="T38" i="15"/>
  <c r="T39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4" i="15"/>
  <c r="Q35" i="15"/>
  <c r="P9" i="15"/>
  <c r="P19" i="15"/>
  <c r="P25" i="15"/>
  <c r="P30" i="15"/>
  <c r="P34" i="15"/>
  <c r="P35" i="15"/>
  <c r="N9" i="15"/>
  <c r="N19" i="15"/>
  <c r="N25" i="15"/>
  <c r="N34" i="15"/>
  <c r="N35" i="15"/>
  <c r="O35" i="15"/>
  <c r="L9" i="15"/>
  <c r="L19" i="15"/>
  <c r="L25" i="15"/>
  <c r="L34" i="15"/>
  <c r="L35" i="15"/>
  <c r="M35" i="15"/>
  <c r="J9" i="15"/>
  <c r="J19" i="15"/>
  <c r="J25" i="15"/>
  <c r="J34" i="15"/>
  <c r="J35" i="15"/>
  <c r="K35" i="15"/>
  <c r="H9" i="15"/>
  <c r="H19" i="15"/>
  <c r="H25" i="15"/>
  <c r="H34" i="15"/>
  <c r="H35" i="15"/>
  <c r="I35" i="15"/>
  <c r="F9" i="15"/>
  <c r="F19" i="15"/>
  <c r="F25" i="15"/>
  <c r="F34" i="15"/>
  <c r="F35" i="15"/>
  <c r="G35" i="15"/>
  <c r="D35" i="15"/>
  <c r="E35" i="15"/>
  <c r="B35" i="15"/>
  <c r="C35" i="15"/>
  <c r="X33" i="15"/>
  <c r="X34" i="15"/>
  <c r="W33" i="15"/>
  <c r="W34" i="15"/>
  <c r="V33" i="15"/>
  <c r="V34" i="15"/>
  <c r="U33" i="15"/>
  <c r="U34" i="15"/>
  <c r="T33" i="15"/>
  <c r="T34" i="15"/>
  <c r="O34" i="15"/>
  <c r="M34" i="15"/>
  <c r="K34" i="15"/>
  <c r="I34" i="15"/>
  <c r="G34" i="15"/>
  <c r="E34" i="15"/>
  <c r="C34" i="15"/>
  <c r="O33" i="15"/>
  <c r="M33" i="15"/>
  <c r="K33" i="15"/>
  <c r="I33" i="15"/>
  <c r="G33" i="15"/>
  <c r="E33" i="15"/>
  <c r="C33" i="15"/>
  <c r="O32" i="15"/>
  <c r="M32" i="15"/>
  <c r="K32" i="15"/>
  <c r="I32" i="15"/>
  <c r="G32" i="15"/>
  <c r="E32" i="15"/>
  <c r="C32" i="15"/>
  <c r="O31" i="15"/>
  <c r="M31" i="15"/>
  <c r="K31" i="15"/>
  <c r="I31" i="15"/>
  <c r="G31" i="15"/>
  <c r="E31" i="15"/>
  <c r="C31" i="15"/>
  <c r="O30" i="15"/>
  <c r="M26" i="15"/>
  <c r="M27" i="15"/>
  <c r="M28" i="15"/>
  <c r="M29" i="15"/>
  <c r="M30" i="15"/>
  <c r="K30" i="15"/>
  <c r="I30" i="15"/>
  <c r="G30" i="15"/>
  <c r="E30" i="15"/>
  <c r="C30" i="15"/>
  <c r="X28" i="15"/>
  <c r="X29" i="15"/>
  <c r="W28" i="15"/>
  <c r="W29" i="15"/>
  <c r="V28" i="15"/>
  <c r="V29" i="15"/>
  <c r="U28" i="15"/>
  <c r="U29" i="15"/>
  <c r="T28" i="15"/>
  <c r="T29" i="15"/>
  <c r="O29" i="15"/>
  <c r="K29" i="15"/>
  <c r="I29" i="15"/>
  <c r="G29" i="15"/>
  <c r="E29" i="15"/>
  <c r="C29" i="15"/>
  <c r="O28" i="15"/>
  <c r="K28" i="15"/>
  <c r="I28" i="15"/>
  <c r="G28" i="15"/>
  <c r="E28" i="15"/>
  <c r="C28" i="15"/>
  <c r="O27" i="15"/>
  <c r="K27" i="15"/>
  <c r="I27" i="15"/>
  <c r="G27" i="15"/>
  <c r="E27" i="15"/>
  <c r="C27" i="15"/>
  <c r="O26" i="15"/>
  <c r="K26" i="15"/>
  <c r="I26" i="15"/>
  <c r="G26" i="15"/>
  <c r="E26" i="15"/>
  <c r="C26" i="15"/>
  <c r="O25" i="15"/>
  <c r="M25" i="15"/>
  <c r="K25" i="15"/>
  <c r="I25" i="15"/>
  <c r="G25" i="15"/>
  <c r="E25" i="15"/>
  <c r="C25" i="15"/>
  <c r="X23" i="15"/>
  <c r="X24" i="15"/>
  <c r="W23" i="15"/>
  <c r="W24" i="15"/>
  <c r="V23" i="15"/>
  <c r="V24" i="15"/>
  <c r="U23" i="15"/>
  <c r="U24" i="15"/>
  <c r="T23" i="15"/>
  <c r="T24" i="15"/>
  <c r="O24" i="15"/>
  <c r="M24" i="15"/>
  <c r="K24" i="15"/>
  <c r="I24" i="15"/>
  <c r="G24" i="15"/>
  <c r="E24" i="15"/>
  <c r="C24" i="15"/>
  <c r="O23" i="15"/>
  <c r="M23" i="15"/>
  <c r="K23" i="15"/>
  <c r="I23" i="15"/>
  <c r="G23" i="15"/>
  <c r="E23" i="15"/>
  <c r="C23" i="15"/>
  <c r="O22" i="15"/>
  <c r="M22" i="15"/>
  <c r="K22" i="15"/>
  <c r="I22" i="15"/>
  <c r="G22" i="15"/>
  <c r="E22" i="15"/>
  <c r="C22" i="15"/>
  <c r="O21" i="15"/>
  <c r="M21" i="15"/>
  <c r="K21" i="15"/>
  <c r="I21" i="15"/>
  <c r="G21" i="15"/>
  <c r="E21" i="15"/>
  <c r="C21" i="15"/>
  <c r="O20" i="15"/>
  <c r="M20" i="15"/>
  <c r="K20" i="15"/>
  <c r="I20" i="15"/>
  <c r="G20" i="15"/>
  <c r="E20" i="15"/>
  <c r="C20" i="15"/>
  <c r="X18" i="15"/>
  <c r="X19" i="15"/>
  <c r="W18" i="15"/>
  <c r="W19" i="15"/>
  <c r="V18" i="15"/>
  <c r="V19" i="15"/>
  <c r="U18" i="15"/>
  <c r="U19" i="15"/>
  <c r="T18" i="15"/>
  <c r="T19" i="15"/>
  <c r="O19" i="15"/>
  <c r="M19" i="15"/>
  <c r="K19" i="15"/>
  <c r="I19" i="15"/>
  <c r="G19" i="15"/>
  <c r="E19" i="15"/>
  <c r="C19" i="15"/>
  <c r="O18" i="15"/>
  <c r="M18" i="15"/>
  <c r="K18" i="15"/>
  <c r="I18" i="15"/>
  <c r="G18" i="15"/>
  <c r="E18" i="15"/>
  <c r="C18" i="15"/>
  <c r="O17" i="15"/>
  <c r="M17" i="15"/>
  <c r="K17" i="15"/>
  <c r="I17" i="15"/>
  <c r="G17" i="15"/>
  <c r="E17" i="15"/>
  <c r="C17" i="15"/>
  <c r="O16" i="15"/>
  <c r="M16" i="15"/>
  <c r="K16" i="15"/>
  <c r="I16" i="15"/>
  <c r="G16" i="15"/>
  <c r="E16" i="15"/>
  <c r="C16" i="15"/>
  <c r="O15" i="15"/>
  <c r="M15" i="15"/>
  <c r="K15" i="15"/>
  <c r="I15" i="15"/>
  <c r="G15" i="15"/>
  <c r="E15" i="15"/>
  <c r="C15" i="15"/>
  <c r="X13" i="15"/>
  <c r="X14" i="15"/>
  <c r="W13" i="15"/>
  <c r="W14" i="15"/>
  <c r="V13" i="15"/>
  <c r="V14" i="15"/>
  <c r="U13" i="15"/>
  <c r="U14" i="15"/>
  <c r="T13" i="15"/>
  <c r="T14" i="15"/>
  <c r="O14" i="15"/>
  <c r="M14" i="15"/>
  <c r="K14" i="15"/>
  <c r="I14" i="15"/>
  <c r="G14" i="15"/>
  <c r="E14" i="15"/>
  <c r="C14" i="15"/>
  <c r="O13" i="15"/>
  <c r="M13" i="15"/>
  <c r="K13" i="15"/>
  <c r="I13" i="15"/>
  <c r="G13" i="15"/>
  <c r="E13" i="15"/>
  <c r="C13" i="15"/>
  <c r="O12" i="15"/>
  <c r="M12" i="15"/>
  <c r="K12" i="15"/>
  <c r="I12" i="15"/>
  <c r="G12" i="15"/>
  <c r="E12" i="15"/>
  <c r="C12" i="15"/>
  <c r="O11" i="15"/>
  <c r="M11" i="15"/>
  <c r="K11" i="15"/>
  <c r="I11" i="15"/>
  <c r="G11" i="15"/>
  <c r="E11" i="15"/>
  <c r="C11" i="15"/>
  <c r="O10" i="15"/>
  <c r="M10" i="15"/>
  <c r="K10" i="15"/>
  <c r="I10" i="15"/>
  <c r="G10" i="15"/>
  <c r="E10" i="15"/>
  <c r="C10" i="15"/>
  <c r="X8" i="15"/>
  <c r="X9" i="15"/>
  <c r="W8" i="15"/>
  <c r="W9" i="15"/>
  <c r="V8" i="15"/>
  <c r="V9" i="15"/>
  <c r="U8" i="15"/>
  <c r="U9" i="15"/>
  <c r="T8" i="15"/>
  <c r="T9" i="15"/>
  <c r="O9" i="15"/>
  <c r="M9" i="15"/>
  <c r="K9" i="15"/>
  <c r="I9" i="15"/>
  <c r="G9" i="15"/>
  <c r="E9" i="15"/>
  <c r="C9" i="15"/>
  <c r="O8" i="15"/>
  <c r="M8" i="15"/>
  <c r="K8" i="15"/>
  <c r="I8" i="15"/>
  <c r="G8" i="15"/>
  <c r="E8" i="15"/>
  <c r="C8" i="15"/>
  <c r="O7" i="15"/>
  <c r="M7" i="15"/>
  <c r="K7" i="15"/>
  <c r="I7" i="15"/>
  <c r="G7" i="15"/>
  <c r="E7" i="15"/>
  <c r="C7" i="15"/>
  <c r="O6" i="15"/>
  <c r="M6" i="15"/>
  <c r="K6" i="15"/>
  <c r="I6" i="15"/>
  <c r="G6" i="15"/>
  <c r="E6" i="15"/>
  <c r="C6" i="15"/>
  <c r="O5" i="15"/>
  <c r="M5" i="15"/>
  <c r="K5" i="15"/>
  <c r="I5" i="15"/>
  <c r="G5" i="15"/>
  <c r="E5" i="15"/>
  <c r="C5" i="15"/>
  <c r="X3" i="15"/>
  <c r="X4" i="15"/>
  <c r="W3" i="15"/>
  <c r="W4" i="15"/>
  <c r="V3" i="15"/>
  <c r="V4" i="15"/>
  <c r="U3" i="15"/>
  <c r="U4" i="15"/>
  <c r="T3" i="15"/>
  <c r="T4" i="15"/>
  <c r="O4" i="15"/>
  <c r="M4" i="15"/>
  <c r="K4" i="15"/>
  <c r="I4" i="15"/>
  <c r="G4" i="15"/>
  <c r="E4" i="15"/>
  <c r="C4" i="15"/>
  <c r="O3" i="15"/>
  <c r="M3" i="15"/>
  <c r="K3" i="15"/>
  <c r="I3" i="15"/>
  <c r="G3" i="15"/>
  <c r="E3" i="15"/>
  <c r="C3" i="15"/>
  <c r="B34" i="13"/>
  <c r="X43" i="13"/>
  <c r="X44" i="13"/>
  <c r="B30" i="13"/>
  <c r="W44" i="13"/>
  <c r="B25" i="13"/>
  <c r="V43" i="13"/>
  <c r="V44" i="13"/>
  <c r="B19" i="13"/>
  <c r="U43" i="13"/>
  <c r="U44" i="13"/>
  <c r="B9" i="13"/>
  <c r="T43" i="13"/>
  <c r="T44" i="13"/>
  <c r="D34" i="13"/>
  <c r="X38" i="13"/>
  <c r="X39" i="13"/>
  <c r="D30" i="13"/>
  <c r="W39" i="13"/>
  <c r="D25" i="13"/>
  <c r="V38" i="13"/>
  <c r="V39" i="13"/>
  <c r="D19" i="13"/>
  <c r="U38" i="13"/>
  <c r="U39" i="13"/>
  <c r="D9" i="13"/>
  <c r="T38" i="13"/>
  <c r="T39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P9" i="13"/>
  <c r="P19" i="13"/>
  <c r="P25" i="13"/>
  <c r="P30" i="13"/>
  <c r="P34" i="13"/>
  <c r="P35" i="13"/>
  <c r="N9" i="13"/>
  <c r="N19" i="13"/>
  <c r="N25" i="13"/>
  <c r="N30" i="13"/>
  <c r="N34" i="13"/>
  <c r="N35" i="13"/>
  <c r="O35" i="13"/>
  <c r="L9" i="13"/>
  <c r="L19" i="13"/>
  <c r="L25" i="13"/>
  <c r="L30" i="13"/>
  <c r="L34" i="13"/>
  <c r="L35" i="13"/>
  <c r="M35" i="13"/>
  <c r="J9" i="13"/>
  <c r="J19" i="13"/>
  <c r="J25" i="13"/>
  <c r="J30" i="13"/>
  <c r="J34" i="13"/>
  <c r="J35" i="13"/>
  <c r="K35" i="13"/>
  <c r="H9" i="13"/>
  <c r="H19" i="13"/>
  <c r="H25" i="13"/>
  <c r="H30" i="13"/>
  <c r="H34" i="13"/>
  <c r="H35" i="13"/>
  <c r="I35" i="13"/>
  <c r="F9" i="13"/>
  <c r="F19" i="13"/>
  <c r="F25" i="13"/>
  <c r="F30" i="13"/>
  <c r="F34" i="13"/>
  <c r="F35" i="13"/>
  <c r="G35" i="13"/>
  <c r="D35" i="13"/>
  <c r="E35" i="13"/>
  <c r="B35" i="13"/>
  <c r="C35" i="13"/>
  <c r="X33" i="13"/>
  <c r="X34" i="13"/>
  <c r="W33" i="13"/>
  <c r="W34" i="13"/>
  <c r="V33" i="13"/>
  <c r="V34" i="13"/>
  <c r="U33" i="13"/>
  <c r="U34" i="13"/>
  <c r="T33" i="13"/>
  <c r="T34" i="13"/>
  <c r="O34" i="13"/>
  <c r="M34" i="13"/>
  <c r="K34" i="13"/>
  <c r="I34" i="13"/>
  <c r="G34" i="13"/>
  <c r="E34" i="13"/>
  <c r="C34" i="13"/>
  <c r="O33" i="13"/>
  <c r="M33" i="13"/>
  <c r="K33" i="13"/>
  <c r="I33" i="13"/>
  <c r="G33" i="13"/>
  <c r="E33" i="13"/>
  <c r="C33" i="13"/>
  <c r="O32" i="13"/>
  <c r="M32" i="13"/>
  <c r="K32" i="13"/>
  <c r="I32" i="13"/>
  <c r="G32" i="13"/>
  <c r="E32" i="13"/>
  <c r="C32" i="13"/>
  <c r="O31" i="13"/>
  <c r="M31" i="13"/>
  <c r="K31" i="13"/>
  <c r="I31" i="13"/>
  <c r="G31" i="13"/>
  <c r="E31" i="13"/>
  <c r="C31" i="13"/>
  <c r="O30" i="13"/>
  <c r="M30" i="13"/>
  <c r="K30" i="13"/>
  <c r="I30" i="13"/>
  <c r="G30" i="13"/>
  <c r="E30" i="13"/>
  <c r="C30" i="13"/>
  <c r="X28" i="13"/>
  <c r="X29" i="13"/>
  <c r="W28" i="13"/>
  <c r="W29" i="13"/>
  <c r="V28" i="13"/>
  <c r="V29" i="13"/>
  <c r="U28" i="13"/>
  <c r="U29" i="13"/>
  <c r="T28" i="13"/>
  <c r="T29" i="13"/>
  <c r="O29" i="13"/>
  <c r="M29" i="13"/>
  <c r="K29" i="13"/>
  <c r="I29" i="13"/>
  <c r="G29" i="13"/>
  <c r="E29" i="13"/>
  <c r="C29" i="13"/>
  <c r="O28" i="13"/>
  <c r="M28" i="13"/>
  <c r="K28" i="13"/>
  <c r="I28" i="13"/>
  <c r="G28" i="13"/>
  <c r="E28" i="13"/>
  <c r="C28" i="13"/>
  <c r="O27" i="13"/>
  <c r="M27" i="13"/>
  <c r="K27" i="13"/>
  <c r="I27" i="13"/>
  <c r="G27" i="13"/>
  <c r="E27" i="13"/>
  <c r="C27" i="13"/>
  <c r="O26" i="13"/>
  <c r="M26" i="13"/>
  <c r="K26" i="13"/>
  <c r="I26" i="13"/>
  <c r="G26" i="13"/>
  <c r="E26" i="13"/>
  <c r="C26" i="13"/>
  <c r="O25" i="13"/>
  <c r="M25" i="13"/>
  <c r="K25" i="13"/>
  <c r="I25" i="13"/>
  <c r="G25" i="13"/>
  <c r="E25" i="13"/>
  <c r="C25" i="13"/>
  <c r="X23" i="13"/>
  <c r="X24" i="13"/>
  <c r="W23" i="13"/>
  <c r="W24" i="13"/>
  <c r="V23" i="13"/>
  <c r="V24" i="13"/>
  <c r="U23" i="13"/>
  <c r="U24" i="13"/>
  <c r="T23" i="13"/>
  <c r="T24" i="13"/>
  <c r="O24" i="13"/>
  <c r="M24" i="13"/>
  <c r="K24" i="13"/>
  <c r="I24" i="13"/>
  <c r="G24" i="13"/>
  <c r="E24" i="13"/>
  <c r="C24" i="13"/>
  <c r="O23" i="13"/>
  <c r="M23" i="13"/>
  <c r="K23" i="13"/>
  <c r="I23" i="13"/>
  <c r="G23" i="13"/>
  <c r="E23" i="13"/>
  <c r="C23" i="13"/>
  <c r="O22" i="13"/>
  <c r="M22" i="13"/>
  <c r="K22" i="13"/>
  <c r="I22" i="13"/>
  <c r="G22" i="13"/>
  <c r="E22" i="13"/>
  <c r="C22" i="13"/>
  <c r="O21" i="13"/>
  <c r="M21" i="13"/>
  <c r="K21" i="13"/>
  <c r="I21" i="13"/>
  <c r="G21" i="13"/>
  <c r="E21" i="13"/>
  <c r="C21" i="13"/>
  <c r="O20" i="13"/>
  <c r="M20" i="13"/>
  <c r="K20" i="13"/>
  <c r="I20" i="13"/>
  <c r="G20" i="13"/>
  <c r="E20" i="13"/>
  <c r="C20" i="13"/>
  <c r="X18" i="13"/>
  <c r="X19" i="13"/>
  <c r="W18" i="13"/>
  <c r="W19" i="13"/>
  <c r="V18" i="13"/>
  <c r="V19" i="13"/>
  <c r="U18" i="13"/>
  <c r="U19" i="13"/>
  <c r="T18" i="13"/>
  <c r="T19" i="13"/>
  <c r="O19" i="13"/>
  <c r="M19" i="13"/>
  <c r="K19" i="13"/>
  <c r="I19" i="13"/>
  <c r="G19" i="13"/>
  <c r="E19" i="13"/>
  <c r="C19" i="13"/>
  <c r="O18" i="13"/>
  <c r="M18" i="13"/>
  <c r="K18" i="13"/>
  <c r="I18" i="13"/>
  <c r="G18" i="13"/>
  <c r="E18" i="13"/>
  <c r="C18" i="13"/>
  <c r="O17" i="13"/>
  <c r="M17" i="13"/>
  <c r="K17" i="13"/>
  <c r="I17" i="13"/>
  <c r="G17" i="13"/>
  <c r="E17" i="13"/>
  <c r="C17" i="13"/>
  <c r="O16" i="13"/>
  <c r="M16" i="13"/>
  <c r="K16" i="13"/>
  <c r="I16" i="13"/>
  <c r="G16" i="13"/>
  <c r="E16" i="13"/>
  <c r="C16" i="13"/>
  <c r="O15" i="13"/>
  <c r="M15" i="13"/>
  <c r="K15" i="13"/>
  <c r="I15" i="13"/>
  <c r="G15" i="13"/>
  <c r="E15" i="13"/>
  <c r="C15" i="13"/>
  <c r="X13" i="13"/>
  <c r="X14" i="13"/>
  <c r="W13" i="13"/>
  <c r="W14" i="13"/>
  <c r="V13" i="13"/>
  <c r="V14" i="13"/>
  <c r="U13" i="13"/>
  <c r="U14" i="13"/>
  <c r="T13" i="13"/>
  <c r="T14" i="13"/>
  <c r="O14" i="13"/>
  <c r="M14" i="13"/>
  <c r="K14" i="13"/>
  <c r="I14" i="13"/>
  <c r="G14" i="13"/>
  <c r="E14" i="13"/>
  <c r="C14" i="13"/>
  <c r="O13" i="13"/>
  <c r="M13" i="13"/>
  <c r="K13" i="13"/>
  <c r="I13" i="13"/>
  <c r="G13" i="13"/>
  <c r="E13" i="13"/>
  <c r="C13" i="13"/>
  <c r="O12" i="13"/>
  <c r="M12" i="13"/>
  <c r="K12" i="13"/>
  <c r="I12" i="13"/>
  <c r="G12" i="13"/>
  <c r="E12" i="13"/>
  <c r="C12" i="13"/>
  <c r="O11" i="13"/>
  <c r="M11" i="13"/>
  <c r="K11" i="13"/>
  <c r="I11" i="13"/>
  <c r="G11" i="13"/>
  <c r="E11" i="13"/>
  <c r="C11" i="13"/>
  <c r="O10" i="13"/>
  <c r="M10" i="13"/>
  <c r="K10" i="13"/>
  <c r="I10" i="13"/>
  <c r="G10" i="13"/>
  <c r="E10" i="13"/>
  <c r="C10" i="13"/>
  <c r="X8" i="13"/>
  <c r="X9" i="13"/>
  <c r="W8" i="13"/>
  <c r="W9" i="13"/>
  <c r="V8" i="13"/>
  <c r="V9" i="13"/>
  <c r="U8" i="13"/>
  <c r="U9" i="13"/>
  <c r="T8" i="13"/>
  <c r="T9" i="13"/>
  <c r="O9" i="13"/>
  <c r="M9" i="13"/>
  <c r="K9" i="13"/>
  <c r="I9" i="13"/>
  <c r="G9" i="13"/>
  <c r="E9" i="13"/>
  <c r="C9" i="13"/>
  <c r="O8" i="13"/>
  <c r="M8" i="13"/>
  <c r="K8" i="13"/>
  <c r="I8" i="13"/>
  <c r="G8" i="13"/>
  <c r="E8" i="13"/>
  <c r="C8" i="13"/>
  <c r="O7" i="13"/>
  <c r="M7" i="13"/>
  <c r="K7" i="13"/>
  <c r="I7" i="13"/>
  <c r="G7" i="13"/>
  <c r="E7" i="13"/>
  <c r="C7" i="13"/>
  <c r="O6" i="13"/>
  <c r="M6" i="13"/>
  <c r="K6" i="13"/>
  <c r="I6" i="13"/>
  <c r="G6" i="13"/>
  <c r="E6" i="13"/>
  <c r="C6" i="13"/>
  <c r="O5" i="13"/>
  <c r="M5" i="13"/>
  <c r="K5" i="13"/>
  <c r="I5" i="13"/>
  <c r="G5" i="13"/>
  <c r="E5" i="13"/>
  <c r="C5" i="13"/>
  <c r="X3" i="13"/>
  <c r="X4" i="13"/>
  <c r="W3" i="13"/>
  <c r="W4" i="13"/>
  <c r="V3" i="13"/>
  <c r="V4" i="13"/>
  <c r="U3" i="13"/>
  <c r="U4" i="13"/>
  <c r="T3" i="13"/>
  <c r="T4" i="13"/>
  <c r="O4" i="13"/>
  <c r="M4" i="13"/>
  <c r="K4" i="13"/>
  <c r="I4" i="13"/>
  <c r="G4" i="13"/>
  <c r="E4" i="13"/>
  <c r="C4" i="13"/>
  <c r="O3" i="13"/>
  <c r="M3" i="13"/>
  <c r="K3" i="13"/>
  <c r="I3" i="13"/>
  <c r="G3" i="13"/>
  <c r="E3" i="13"/>
  <c r="C3" i="13"/>
  <c r="B34" i="12"/>
  <c r="X43" i="12"/>
  <c r="X44" i="12"/>
  <c r="B30" i="12"/>
  <c r="W44" i="12"/>
  <c r="B25" i="12"/>
  <c r="V43" i="12"/>
  <c r="V44" i="12"/>
  <c r="B19" i="12"/>
  <c r="U43" i="12"/>
  <c r="U44" i="12"/>
  <c r="B9" i="12"/>
  <c r="T43" i="12"/>
  <c r="T44" i="12"/>
  <c r="D34" i="12"/>
  <c r="X38" i="12"/>
  <c r="X39" i="12"/>
  <c r="D30" i="12"/>
  <c r="W39" i="12"/>
  <c r="D25" i="12"/>
  <c r="V38" i="12"/>
  <c r="V39" i="12"/>
  <c r="D19" i="12"/>
  <c r="U38" i="12"/>
  <c r="U39" i="12"/>
  <c r="D9" i="12"/>
  <c r="T38" i="12"/>
  <c r="T39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P9" i="12"/>
  <c r="P19" i="12"/>
  <c r="P25" i="12"/>
  <c r="P30" i="12"/>
  <c r="P34" i="12"/>
  <c r="P35" i="12"/>
  <c r="N9" i="12"/>
  <c r="N19" i="12"/>
  <c r="N25" i="12"/>
  <c r="N30" i="12"/>
  <c r="N34" i="12"/>
  <c r="N35" i="12"/>
  <c r="O35" i="12"/>
  <c r="L9" i="12"/>
  <c r="L19" i="12"/>
  <c r="L25" i="12"/>
  <c r="L30" i="12"/>
  <c r="L34" i="12"/>
  <c r="L35" i="12"/>
  <c r="M35" i="12"/>
  <c r="J9" i="12"/>
  <c r="J19" i="12"/>
  <c r="J25" i="12"/>
  <c r="J30" i="12"/>
  <c r="J34" i="12"/>
  <c r="J35" i="12"/>
  <c r="K35" i="12"/>
  <c r="H9" i="12"/>
  <c r="H19" i="12"/>
  <c r="H25" i="12"/>
  <c r="H30" i="12"/>
  <c r="H34" i="12"/>
  <c r="H35" i="12"/>
  <c r="I35" i="12"/>
  <c r="F9" i="12"/>
  <c r="F19" i="12"/>
  <c r="F25" i="12"/>
  <c r="F30" i="12"/>
  <c r="F34" i="12"/>
  <c r="F35" i="12"/>
  <c r="G35" i="12"/>
  <c r="D35" i="12"/>
  <c r="E35" i="12"/>
  <c r="B35" i="12"/>
  <c r="C35" i="12"/>
  <c r="X33" i="12"/>
  <c r="X34" i="12"/>
  <c r="W33" i="12"/>
  <c r="W34" i="12"/>
  <c r="V33" i="12"/>
  <c r="V34" i="12"/>
  <c r="U33" i="12"/>
  <c r="U34" i="12"/>
  <c r="T33" i="12"/>
  <c r="T34" i="12"/>
  <c r="O34" i="12"/>
  <c r="M34" i="12"/>
  <c r="K34" i="12"/>
  <c r="I34" i="12"/>
  <c r="G34" i="12"/>
  <c r="E34" i="12"/>
  <c r="C34" i="12"/>
  <c r="O33" i="12"/>
  <c r="M33" i="12"/>
  <c r="K33" i="12"/>
  <c r="I33" i="12"/>
  <c r="G33" i="12"/>
  <c r="E33" i="12"/>
  <c r="C33" i="12"/>
  <c r="O32" i="12"/>
  <c r="M32" i="12"/>
  <c r="K32" i="12"/>
  <c r="I32" i="12"/>
  <c r="G32" i="12"/>
  <c r="E32" i="12"/>
  <c r="C32" i="12"/>
  <c r="O31" i="12"/>
  <c r="M31" i="12"/>
  <c r="K31" i="12"/>
  <c r="I31" i="12"/>
  <c r="G31" i="12"/>
  <c r="E31" i="12"/>
  <c r="C31" i="12"/>
  <c r="O30" i="12"/>
  <c r="M30" i="12"/>
  <c r="K30" i="12"/>
  <c r="I30" i="12"/>
  <c r="G30" i="12"/>
  <c r="E30" i="12"/>
  <c r="C30" i="12"/>
  <c r="X28" i="12"/>
  <c r="X29" i="12"/>
  <c r="W28" i="12"/>
  <c r="W29" i="12"/>
  <c r="V28" i="12"/>
  <c r="V29" i="12"/>
  <c r="U28" i="12"/>
  <c r="U29" i="12"/>
  <c r="T28" i="12"/>
  <c r="T29" i="12"/>
  <c r="O29" i="12"/>
  <c r="M29" i="12"/>
  <c r="K29" i="12"/>
  <c r="I29" i="12"/>
  <c r="G29" i="12"/>
  <c r="E29" i="12"/>
  <c r="C29" i="12"/>
  <c r="O28" i="12"/>
  <c r="M28" i="12"/>
  <c r="K28" i="12"/>
  <c r="I28" i="12"/>
  <c r="G28" i="12"/>
  <c r="E28" i="12"/>
  <c r="C28" i="12"/>
  <c r="O27" i="12"/>
  <c r="M27" i="12"/>
  <c r="K27" i="12"/>
  <c r="I27" i="12"/>
  <c r="G27" i="12"/>
  <c r="E27" i="12"/>
  <c r="C27" i="12"/>
  <c r="O26" i="12"/>
  <c r="M26" i="12"/>
  <c r="K26" i="12"/>
  <c r="I26" i="12"/>
  <c r="G26" i="12"/>
  <c r="E26" i="12"/>
  <c r="C26" i="12"/>
  <c r="O25" i="12"/>
  <c r="M25" i="12"/>
  <c r="K25" i="12"/>
  <c r="I25" i="12"/>
  <c r="G25" i="12"/>
  <c r="E25" i="12"/>
  <c r="C25" i="12"/>
  <c r="X23" i="12"/>
  <c r="X24" i="12"/>
  <c r="W23" i="12"/>
  <c r="W24" i="12"/>
  <c r="V23" i="12"/>
  <c r="V24" i="12"/>
  <c r="U23" i="12"/>
  <c r="U24" i="12"/>
  <c r="T23" i="12"/>
  <c r="T24" i="12"/>
  <c r="O24" i="12"/>
  <c r="M24" i="12"/>
  <c r="K24" i="12"/>
  <c r="I24" i="12"/>
  <c r="G24" i="12"/>
  <c r="E24" i="12"/>
  <c r="C24" i="12"/>
  <c r="O23" i="12"/>
  <c r="M23" i="12"/>
  <c r="K23" i="12"/>
  <c r="I23" i="12"/>
  <c r="G23" i="12"/>
  <c r="E23" i="12"/>
  <c r="C23" i="12"/>
  <c r="O22" i="12"/>
  <c r="M22" i="12"/>
  <c r="K22" i="12"/>
  <c r="I22" i="12"/>
  <c r="G22" i="12"/>
  <c r="E22" i="12"/>
  <c r="C22" i="12"/>
  <c r="O21" i="12"/>
  <c r="M21" i="12"/>
  <c r="K21" i="12"/>
  <c r="I21" i="12"/>
  <c r="G21" i="12"/>
  <c r="E21" i="12"/>
  <c r="C21" i="12"/>
  <c r="O20" i="12"/>
  <c r="M20" i="12"/>
  <c r="K20" i="12"/>
  <c r="I20" i="12"/>
  <c r="G20" i="12"/>
  <c r="E20" i="12"/>
  <c r="C20" i="12"/>
  <c r="X18" i="12"/>
  <c r="X19" i="12"/>
  <c r="W18" i="12"/>
  <c r="W19" i="12"/>
  <c r="V18" i="12"/>
  <c r="V19" i="12"/>
  <c r="U18" i="12"/>
  <c r="U19" i="12"/>
  <c r="T18" i="12"/>
  <c r="T19" i="12"/>
  <c r="O19" i="12"/>
  <c r="M19" i="12"/>
  <c r="K19" i="12"/>
  <c r="I19" i="12"/>
  <c r="G19" i="12"/>
  <c r="E19" i="12"/>
  <c r="C19" i="12"/>
  <c r="O18" i="12"/>
  <c r="M18" i="12"/>
  <c r="K18" i="12"/>
  <c r="I18" i="12"/>
  <c r="G18" i="12"/>
  <c r="E18" i="12"/>
  <c r="C18" i="12"/>
  <c r="O17" i="12"/>
  <c r="M17" i="12"/>
  <c r="K17" i="12"/>
  <c r="I17" i="12"/>
  <c r="G17" i="12"/>
  <c r="E17" i="12"/>
  <c r="C17" i="12"/>
  <c r="O16" i="12"/>
  <c r="M16" i="12"/>
  <c r="K16" i="12"/>
  <c r="I16" i="12"/>
  <c r="G16" i="12"/>
  <c r="E16" i="12"/>
  <c r="C16" i="12"/>
  <c r="O15" i="12"/>
  <c r="M15" i="12"/>
  <c r="K15" i="12"/>
  <c r="I15" i="12"/>
  <c r="G15" i="12"/>
  <c r="E15" i="12"/>
  <c r="C15" i="12"/>
  <c r="X13" i="12"/>
  <c r="X14" i="12"/>
  <c r="W13" i="12"/>
  <c r="W14" i="12"/>
  <c r="V13" i="12"/>
  <c r="V14" i="12"/>
  <c r="U13" i="12"/>
  <c r="U14" i="12"/>
  <c r="T13" i="12"/>
  <c r="T14" i="12"/>
  <c r="O14" i="12"/>
  <c r="M14" i="12"/>
  <c r="K14" i="12"/>
  <c r="I14" i="12"/>
  <c r="G14" i="12"/>
  <c r="E14" i="12"/>
  <c r="C14" i="12"/>
  <c r="O13" i="12"/>
  <c r="M13" i="12"/>
  <c r="K13" i="12"/>
  <c r="I13" i="12"/>
  <c r="G13" i="12"/>
  <c r="E13" i="12"/>
  <c r="C13" i="12"/>
  <c r="O12" i="12"/>
  <c r="M12" i="12"/>
  <c r="K12" i="12"/>
  <c r="I12" i="12"/>
  <c r="G12" i="12"/>
  <c r="E12" i="12"/>
  <c r="C12" i="12"/>
  <c r="O11" i="12"/>
  <c r="M11" i="12"/>
  <c r="K11" i="12"/>
  <c r="I11" i="12"/>
  <c r="G11" i="12"/>
  <c r="E11" i="12"/>
  <c r="C11" i="12"/>
  <c r="O10" i="12"/>
  <c r="M10" i="12"/>
  <c r="K10" i="12"/>
  <c r="I10" i="12"/>
  <c r="G10" i="12"/>
  <c r="E10" i="12"/>
  <c r="C10" i="12"/>
  <c r="X8" i="12"/>
  <c r="X9" i="12"/>
  <c r="W8" i="12"/>
  <c r="W9" i="12"/>
  <c r="V8" i="12"/>
  <c r="V9" i="12"/>
  <c r="U8" i="12"/>
  <c r="U9" i="12"/>
  <c r="T8" i="12"/>
  <c r="T9" i="12"/>
  <c r="O9" i="12"/>
  <c r="M9" i="12"/>
  <c r="K9" i="12"/>
  <c r="I9" i="12"/>
  <c r="G9" i="12"/>
  <c r="E9" i="12"/>
  <c r="C9" i="12"/>
  <c r="O8" i="12"/>
  <c r="M8" i="12"/>
  <c r="K8" i="12"/>
  <c r="I8" i="12"/>
  <c r="G8" i="12"/>
  <c r="E8" i="12"/>
  <c r="C8" i="12"/>
  <c r="O7" i="12"/>
  <c r="M7" i="12"/>
  <c r="K7" i="12"/>
  <c r="I7" i="12"/>
  <c r="G7" i="12"/>
  <c r="E7" i="12"/>
  <c r="C7" i="12"/>
  <c r="O6" i="12"/>
  <c r="M6" i="12"/>
  <c r="K6" i="12"/>
  <c r="I6" i="12"/>
  <c r="G6" i="12"/>
  <c r="E6" i="12"/>
  <c r="C6" i="12"/>
  <c r="O5" i="12"/>
  <c r="M5" i="12"/>
  <c r="K5" i="12"/>
  <c r="I5" i="12"/>
  <c r="G5" i="12"/>
  <c r="E5" i="12"/>
  <c r="C5" i="12"/>
  <c r="X3" i="12"/>
  <c r="X4" i="12"/>
  <c r="W3" i="12"/>
  <c r="W4" i="12"/>
  <c r="V3" i="12"/>
  <c r="V4" i="12"/>
  <c r="U3" i="12"/>
  <c r="U4" i="12"/>
  <c r="T3" i="12"/>
  <c r="T4" i="12"/>
  <c r="O4" i="12"/>
  <c r="M4" i="12"/>
  <c r="K4" i="12"/>
  <c r="I4" i="12"/>
  <c r="G4" i="12"/>
  <c r="E4" i="12"/>
  <c r="C4" i="12"/>
  <c r="O3" i="12"/>
  <c r="M3" i="12"/>
  <c r="K3" i="12"/>
  <c r="I3" i="12"/>
  <c r="G3" i="12"/>
  <c r="E3" i="12"/>
  <c r="C3" i="12"/>
  <c r="B34" i="11"/>
  <c r="X43" i="11"/>
  <c r="X44" i="11"/>
  <c r="B30" i="11"/>
  <c r="W44" i="11"/>
  <c r="B25" i="11"/>
  <c r="V43" i="11"/>
  <c r="V44" i="11"/>
  <c r="B19" i="11"/>
  <c r="U43" i="11"/>
  <c r="U44" i="11"/>
  <c r="B9" i="11"/>
  <c r="T43" i="11"/>
  <c r="T44" i="11"/>
  <c r="D34" i="11"/>
  <c r="X38" i="11"/>
  <c r="X39" i="11"/>
  <c r="D30" i="11"/>
  <c r="W39" i="11"/>
  <c r="D25" i="11"/>
  <c r="V38" i="11"/>
  <c r="V39" i="11"/>
  <c r="D19" i="11"/>
  <c r="U38" i="11"/>
  <c r="U39" i="11"/>
  <c r="D9" i="11"/>
  <c r="T38" i="11"/>
  <c r="T39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P9" i="11"/>
  <c r="P19" i="11"/>
  <c r="P25" i="11"/>
  <c r="P30" i="11"/>
  <c r="P34" i="11"/>
  <c r="P35" i="11"/>
  <c r="N9" i="11"/>
  <c r="N19" i="11"/>
  <c r="N25" i="11"/>
  <c r="N30" i="11"/>
  <c r="N34" i="11"/>
  <c r="N35" i="11"/>
  <c r="O35" i="11"/>
  <c r="L9" i="11"/>
  <c r="L19" i="11"/>
  <c r="L25" i="11"/>
  <c r="L30" i="11"/>
  <c r="L34" i="11"/>
  <c r="L35" i="11"/>
  <c r="M35" i="11"/>
  <c r="J9" i="11"/>
  <c r="J19" i="11"/>
  <c r="J25" i="11"/>
  <c r="J30" i="11"/>
  <c r="J34" i="11"/>
  <c r="J35" i="11"/>
  <c r="K35" i="11"/>
  <c r="H9" i="11"/>
  <c r="H19" i="11"/>
  <c r="H25" i="11"/>
  <c r="H30" i="11"/>
  <c r="H34" i="11"/>
  <c r="H35" i="11"/>
  <c r="I35" i="11"/>
  <c r="F9" i="11"/>
  <c r="F19" i="11"/>
  <c r="F25" i="11"/>
  <c r="F30" i="11"/>
  <c r="F34" i="11"/>
  <c r="F35" i="11"/>
  <c r="G35" i="11"/>
  <c r="D35" i="11"/>
  <c r="E35" i="11"/>
  <c r="B35" i="11"/>
  <c r="C35" i="11"/>
  <c r="X33" i="11"/>
  <c r="X34" i="11"/>
  <c r="W33" i="11"/>
  <c r="W34" i="11"/>
  <c r="V33" i="11"/>
  <c r="V34" i="11"/>
  <c r="U33" i="11"/>
  <c r="U34" i="11"/>
  <c r="T33" i="11"/>
  <c r="T34" i="11"/>
  <c r="O34" i="11"/>
  <c r="M34" i="11"/>
  <c r="K34" i="11"/>
  <c r="I34" i="11"/>
  <c r="G34" i="11"/>
  <c r="E34" i="11"/>
  <c r="C34" i="11"/>
  <c r="O33" i="11"/>
  <c r="M33" i="11"/>
  <c r="K33" i="11"/>
  <c r="I33" i="11"/>
  <c r="G33" i="11"/>
  <c r="E33" i="11"/>
  <c r="C33" i="11"/>
  <c r="O32" i="11"/>
  <c r="M32" i="11"/>
  <c r="K32" i="11"/>
  <c r="I32" i="11"/>
  <c r="G32" i="11"/>
  <c r="E32" i="11"/>
  <c r="C32" i="11"/>
  <c r="O31" i="11"/>
  <c r="M31" i="11"/>
  <c r="K31" i="11"/>
  <c r="I31" i="11"/>
  <c r="G31" i="11"/>
  <c r="E31" i="11"/>
  <c r="C31" i="11"/>
  <c r="O30" i="11"/>
  <c r="M30" i="11"/>
  <c r="K30" i="11"/>
  <c r="I30" i="11"/>
  <c r="G30" i="11"/>
  <c r="E30" i="11"/>
  <c r="C30" i="11"/>
  <c r="X28" i="11"/>
  <c r="X29" i="11"/>
  <c r="W28" i="11"/>
  <c r="W29" i="11"/>
  <c r="V28" i="11"/>
  <c r="V29" i="11"/>
  <c r="U28" i="11"/>
  <c r="U29" i="11"/>
  <c r="T28" i="11"/>
  <c r="T29" i="11"/>
  <c r="O29" i="11"/>
  <c r="M29" i="11"/>
  <c r="K29" i="11"/>
  <c r="I29" i="11"/>
  <c r="G29" i="11"/>
  <c r="E29" i="11"/>
  <c r="C29" i="11"/>
  <c r="O28" i="11"/>
  <c r="M28" i="11"/>
  <c r="K28" i="11"/>
  <c r="I28" i="11"/>
  <c r="G28" i="11"/>
  <c r="E28" i="11"/>
  <c r="C28" i="11"/>
  <c r="O27" i="11"/>
  <c r="M27" i="11"/>
  <c r="K27" i="11"/>
  <c r="I27" i="11"/>
  <c r="G27" i="11"/>
  <c r="E27" i="11"/>
  <c r="C27" i="11"/>
  <c r="O26" i="11"/>
  <c r="M26" i="11"/>
  <c r="K26" i="11"/>
  <c r="I26" i="11"/>
  <c r="G26" i="11"/>
  <c r="E26" i="11"/>
  <c r="C26" i="11"/>
  <c r="O25" i="11"/>
  <c r="M25" i="11"/>
  <c r="K25" i="11"/>
  <c r="I25" i="11"/>
  <c r="G25" i="11"/>
  <c r="E25" i="11"/>
  <c r="C25" i="11"/>
  <c r="X23" i="11"/>
  <c r="X24" i="11"/>
  <c r="W23" i="11"/>
  <c r="W24" i="11"/>
  <c r="V23" i="11"/>
  <c r="V24" i="11"/>
  <c r="U23" i="11"/>
  <c r="U24" i="11"/>
  <c r="T23" i="11"/>
  <c r="T24" i="11"/>
  <c r="O24" i="11"/>
  <c r="M24" i="11"/>
  <c r="K24" i="11"/>
  <c r="I24" i="11"/>
  <c r="G24" i="11"/>
  <c r="E24" i="11"/>
  <c r="C24" i="11"/>
  <c r="O23" i="11"/>
  <c r="M23" i="11"/>
  <c r="K23" i="11"/>
  <c r="I23" i="11"/>
  <c r="G23" i="11"/>
  <c r="E23" i="11"/>
  <c r="C23" i="11"/>
  <c r="O22" i="11"/>
  <c r="M22" i="11"/>
  <c r="K22" i="11"/>
  <c r="I22" i="11"/>
  <c r="G22" i="11"/>
  <c r="E22" i="11"/>
  <c r="C22" i="11"/>
  <c r="O21" i="11"/>
  <c r="M21" i="11"/>
  <c r="K21" i="11"/>
  <c r="I21" i="11"/>
  <c r="G21" i="11"/>
  <c r="E21" i="11"/>
  <c r="C21" i="11"/>
  <c r="O20" i="11"/>
  <c r="M20" i="11"/>
  <c r="K20" i="11"/>
  <c r="I20" i="11"/>
  <c r="G20" i="11"/>
  <c r="E20" i="11"/>
  <c r="C20" i="11"/>
  <c r="X18" i="11"/>
  <c r="X19" i="11"/>
  <c r="W18" i="11"/>
  <c r="W19" i="11"/>
  <c r="V18" i="11"/>
  <c r="V19" i="11"/>
  <c r="U18" i="11"/>
  <c r="U19" i="11"/>
  <c r="T18" i="11"/>
  <c r="T19" i="11"/>
  <c r="O19" i="11"/>
  <c r="M19" i="11"/>
  <c r="K19" i="11"/>
  <c r="I19" i="11"/>
  <c r="G19" i="11"/>
  <c r="E19" i="11"/>
  <c r="C19" i="11"/>
  <c r="O18" i="11"/>
  <c r="M18" i="11"/>
  <c r="K18" i="11"/>
  <c r="I18" i="11"/>
  <c r="G18" i="11"/>
  <c r="E18" i="11"/>
  <c r="C18" i="11"/>
  <c r="O17" i="11"/>
  <c r="M17" i="11"/>
  <c r="K17" i="11"/>
  <c r="I17" i="11"/>
  <c r="G17" i="11"/>
  <c r="E17" i="11"/>
  <c r="C17" i="11"/>
  <c r="O16" i="11"/>
  <c r="M16" i="11"/>
  <c r="K16" i="11"/>
  <c r="I16" i="11"/>
  <c r="G16" i="11"/>
  <c r="E16" i="11"/>
  <c r="C16" i="11"/>
  <c r="O15" i="11"/>
  <c r="M15" i="11"/>
  <c r="K15" i="11"/>
  <c r="I15" i="11"/>
  <c r="G15" i="11"/>
  <c r="E15" i="11"/>
  <c r="C15" i="11"/>
  <c r="X13" i="11"/>
  <c r="X14" i="11"/>
  <c r="W13" i="11"/>
  <c r="W14" i="11"/>
  <c r="V13" i="11"/>
  <c r="V14" i="11"/>
  <c r="U13" i="11"/>
  <c r="U14" i="11"/>
  <c r="T13" i="11"/>
  <c r="T14" i="11"/>
  <c r="O14" i="11"/>
  <c r="M14" i="11"/>
  <c r="K14" i="11"/>
  <c r="I14" i="11"/>
  <c r="G14" i="11"/>
  <c r="E14" i="11"/>
  <c r="C14" i="11"/>
  <c r="O13" i="11"/>
  <c r="M13" i="11"/>
  <c r="K13" i="11"/>
  <c r="I13" i="11"/>
  <c r="G13" i="11"/>
  <c r="E13" i="11"/>
  <c r="C13" i="11"/>
  <c r="O12" i="11"/>
  <c r="M12" i="11"/>
  <c r="K12" i="11"/>
  <c r="I12" i="11"/>
  <c r="G12" i="11"/>
  <c r="E12" i="11"/>
  <c r="C12" i="11"/>
  <c r="O11" i="11"/>
  <c r="M11" i="11"/>
  <c r="K11" i="11"/>
  <c r="I11" i="11"/>
  <c r="G11" i="11"/>
  <c r="E11" i="11"/>
  <c r="C11" i="11"/>
  <c r="O10" i="11"/>
  <c r="M10" i="11"/>
  <c r="K10" i="11"/>
  <c r="I10" i="11"/>
  <c r="G10" i="11"/>
  <c r="E10" i="11"/>
  <c r="C10" i="11"/>
  <c r="X8" i="11"/>
  <c r="X9" i="11"/>
  <c r="W8" i="11"/>
  <c r="W9" i="11"/>
  <c r="V8" i="11"/>
  <c r="V9" i="11"/>
  <c r="U8" i="11"/>
  <c r="U9" i="11"/>
  <c r="T8" i="11"/>
  <c r="T9" i="11"/>
  <c r="O9" i="11"/>
  <c r="M9" i="11"/>
  <c r="K9" i="11"/>
  <c r="I9" i="11"/>
  <c r="G9" i="11"/>
  <c r="E9" i="11"/>
  <c r="C9" i="11"/>
  <c r="O8" i="11"/>
  <c r="M8" i="11"/>
  <c r="K8" i="11"/>
  <c r="I8" i="11"/>
  <c r="G8" i="11"/>
  <c r="E8" i="11"/>
  <c r="C8" i="11"/>
  <c r="O7" i="11"/>
  <c r="M7" i="11"/>
  <c r="K7" i="11"/>
  <c r="I7" i="11"/>
  <c r="G7" i="11"/>
  <c r="E7" i="11"/>
  <c r="C7" i="11"/>
  <c r="O6" i="11"/>
  <c r="M6" i="11"/>
  <c r="K6" i="11"/>
  <c r="I6" i="11"/>
  <c r="G6" i="11"/>
  <c r="E6" i="11"/>
  <c r="C6" i="11"/>
  <c r="O5" i="11"/>
  <c r="M5" i="11"/>
  <c r="K5" i="11"/>
  <c r="I5" i="11"/>
  <c r="G5" i="11"/>
  <c r="E5" i="11"/>
  <c r="C5" i="11"/>
  <c r="X3" i="11"/>
  <c r="X4" i="11"/>
  <c r="W3" i="11"/>
  <c r="W4" i="11"/>
  <c r="V3" i="11"/>
  <c r="V4" i="11"/>
  <c r="U3" i="11"/>
  <c r="U4" i="11"/>
  <c r="T3" i="11"/>
  <c r="T4" i="11"/>
  <c r="O4" i="11"/>
  <c r="M4" i="11"/>
  <c r="K4" i="11"/>
  <c r="I4" i="11"/>
  <c r="G4" i="11"/>
  <c r="E4" i="11"/>
  <c r="C4" i="11"/>
  <c r="O3" i="11"/>
  <c r="M3" i="11"/>
  <c r="K3" i="11"/>
  <c r="I3" i="11"/>
  <c r="G3" i="11"/>
  <c r="E3" i="11"/>
  <c r="C3" i="11"/>
  <c r="X43" i="10"/>
  <c r="X44" i="10"/>
  <c r="W44" i="10"/>
  <c r="V43" i="10"/>
  <c r="V44" i="10"/>
  <c r="U43" i="10"/>
  <c r="U44" i="10"/>
  <c r="T43" i="10"/>
  <c r="T44" i="10"/>
  <c r="X38" i="10"/>
  <c r="X39" i="10"/>
  <c r="W39" i="10"/>
  <c r="V38" i="10"/>
  <c r="V39" i="10"/>
  <c r="U38" i="10"/>
  <c r="U39" i="10"/>
  <c r="T38" i="10"/>
  <c r="T39" i="10"/>
  <c r="X33" i="10"/>
  <c r="X34" i="10"/>
  <c r="W33" i="10"/>
  <c r="W34" i="10"/>
  <c r="V33" i="10"/>
  <c r="V34" i="10"/>
  <c r="U33" i="10"/>
  <c r="U34" i="10"/>
  <c r="T33" i="10"/>
  <c r="T34" i="10"/>
  <c r="X28" i="10"/>
  <c r="X29" i="10"/>
  <c r="W28" i="10"/>
  <c r="W29" i="10"/>
  <c r="V28" i="10"/>
  <c r="V29" i="10"/>
  <c r="U28" i="10"/>
  <c r="U29" i="10"/>
  <c r="T28" i="10"/>
  <c r="T29" i="10"/>
  <c r="X23" i="10"/>
  <c r="X24" i="10"/>
  <c r="W23" i="10"/>
  <c r="W24" i="10"/>
  <c r="V23" i="10"/>
  <c r="V24" i="10"/>
  <c r="U23" i="10"/>
  <c r="U24" i="10"/>
  <c r="T23" i="10"/>
  <c r="T24" i="10"/>
  <c r="X18" i="10"/>
  <c r="X19" i="10"/>
  <c r="W18" i="10"/>
  <c r="W19" i="10"/>
  <c r="V18" i="10"/>
  <c r="V19" i="10"/>
  <c r="U18" i="10"/>
  <c r="U19" i="10"/>
  <c r="T18" i="10"/>
  <c r="T19" i="10"/>
  <c r="X13" i="10"/>
  <c r="X14" i="10"/>
  <c r="W13" i="10"/>
  <c r="W14" i="10"/>
  <c r="V13" i="10"/>
  <c r="V14" i="10"/>
  <c r="U13" i="10"/>
  <c r="U14" i="10"/>
  <c r="T13" i="10"/>
  <c r="T14" i="10"/>
  <c r="X8" i="10"/>
  <c r="X9" i="10"/>
  <c r="W8" i="10"/>
  <c r="W9" i="10"/>
  <c r="V8" i="10"/>
  <c r="V9" i="10"/>
  <c r="U8" i="10"/>
  <c r="U9" i="10"/>
  <c r="T8" i="10"/>
  <c r="T9" i="10"/>
  <c r="X3" i="10"/>
  <c r="X4" i="10"/>
  <c r="W3" i="10"/>
  <c r="W4" i="10"/>
  <c r="V3" i="10"/>
  <c r="V4" i="10"/>
  <c r="U3" i="10"/>
  <c r="U4" i="10"/>
  <c r="T3" i="10"/>
  <c r="T4" i="10"/>
  <c r="B34" i="9"/>
  <c r="X43" i="9"/>
  <c r="X44" i="9"/>
  <c r="B30" i="9"/>
  <c r="W44" i="9"/>
  <c r="B25" i="9"/>
  <c r="V43" i="9"/>
  <c r="V44" i="9"/>
  <c r="B19" i="9"/>
  <c r="U43" i="9"/>
  <c r="U44" i="9"/>
  <c r="B9" i="9"/>
  <c r="T43" i="9"/>
  <c r="T44" i="9"/>
  <c r="D34" i="9"/>
  <c r="X38" i="9"/>
  <c r="X39" i="9"/>
  <c r="D30" i="9"/>
  <c r="W39" i="9"/>
  <c r="D25" i="9"/>
  <c r="V38" i="9"/>
  <c r="V39" i="9"/>
  <c r="D19" i="9"/>
  <c r="U38" i="9"/>
  <c r="U39" i="9"/>
  <c r="D9" i="9"/>
  <c r="T38" i="9"/>
  <c r="T39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P9" i="9"/>
  <c r="P19" i="9"/>
  <c r="P25" i="9"/>
  <c r="P30" i="9"/>
  <c r="P34" i="9"/>
  <c r="P35" i="9"/>
  <c r="N9" i="9"/>
  <c r="N19" i="9"/>
  <c r="N25" i="9"/>
  <c r="N30" i="9"/>
  <c r="N34" i="9"/>
  <c r="N35" i="9"/>
  <c r="O35" i="9"/>
  <c r="L9" i="9"/>
  <c r="L19" i="9"/>
  <c r="L25" i="9"/>
  <c r="L30" i="9"/>
  <c r="L34" i="9"/>
  <c r="L35" i="9"/>
  <c r="M35" i="9"/>
  <c r="J9" i="9"/>
  <c r="J19" i="9"/>
  <c r="J25" i="9"/>
  <c r="J30" i="9"/>
  <c r="J34" i="9"/>
  <c r="J35" i="9"/>
  <c r="K35" i="9"/>
  <c r="H9" i="9"/>
  <c r="H19" i="9"/>
  <c r="H25" i="9"/>
  <c r="H30" i="9"/>
  <c r="H34" i="9"/>
  <c r="H35" i="9"/>
  <c r="I35" i="9"/>
  <c r="F9" i="9"/>
  <c r="F19" i="9"/>
  <c r="F25" i="9"/>
  <c r="F30" i="9"/>
  <c r="F34" i="9"/>
  <c r="F35" i="9"/>
  <c r="G35" i="9"/>
  <c r="D35" i="9"/>
  <c r="E35" i="9"/>
  <c r="B35" i="9"/>
  <c r="C35" i="9"/>
  <c r="X33" i="9"/>
  <c r="X34" i="9"/>
  <c r="W33" i="9"/>
  <c r="W34" i="9"/>
  <c r="V33" i="9"/>
  <c r="V34" i="9"/>
  <c r="U33" i="9"/>
  <c r="U34" i="9"/>
  <c r="T33" i="9"/>
  <c r="T34" i="9"/>
  <c r="O34" i="9"/>
  <c r="M34" i="9"/>
  <c r="K34" i="9"/>
  <c r="I34" i="9"/>
  <c r="G34" i="9"/>
  <c r="E34" i="9"/>
  <c r="C34" i="9"/>
  <c r="O33" i="9"/>
  <c r="M33" i="9"/>
  <c r="K33" i="9"/>
  <c r="I33" i="9"/>
  <c r="G33" i="9"/>
  <c r="E33" i="9"/>
  <c r="C33" i="9"/>
  <c r="O32" i="9"/>
  <c r="M32" i="9"/>
  <c r="K32" i="9"/>
  <c r="I32" i="9"/>
  <c r="G32" i="9"/>
  <c r="E32" i="9"/>
  <c r="C32" i="9"/>
  <c r="O31" i="9"/>
  <c r="M31" i="9"/>
  <c r="K31" i="9"/>
  <c r="I31" i="9"/>
  <c r="G31" i="9"/>
  <c r="E31" i="9"/>
  <c r="C31" i="9"/>
  <c r="O30" i="9"/>
  <c r="M30" i="9"/>
  <c r="K30" i="9"/>
  <c r="I30" i="9"/>
  <c r="G30" i="9"/>
  <c r="E30" i="9"/>
  <c r="C30" i="9"/>
  <c r="X28" i="9"/>
  <c r="X29" i="9"/>
  <c r="W28" i="9"/>
  <c r="W29" i="9"/>
  <c r="V28" i="9"/>
  <c r="V29" i="9"/>
  <c r="U28" i="9"/>
  <c r="U29" i="9"/>
  <c r="T28" i="9"/>
  <c r="T29" i="9"/>
  <c r="O29" i="9"/>
  <c r="M29" i="9"/>
  <c r="K29" i="9"/>
  <c r="I29" i="9"/>
  <c r="G29" i="9"/>
  <c r="E29" i="9"/>
  <c r="C29" i="9"/>
  <c r="O28" i="9"/>
  <c r="M28" i="9"/>
  <c r="K28" i="9"/>
  <c r="I28" i="9"/>
  <c r="G28" i="9"/>
  <c r="E28" i="9"/>
  <c r="C28" i="9"/>
  <c r="O27" i="9"/>
  <c r="M27" i="9"/>
  <c r="K27" i="9"/>
  <c r="I27" i="9"/>
  <c r="G27" i="9"/>
  <c r="E27" i="9"/>
  <c r="C27" i="9"/>
  <c r="O26" i="9"/>
  <c r="M26" i="9"/>
  <c r="K26" i="9"/>
  <c r="I26" i="9"/>
  <c r="G26" i="9"/>
  <c r="E26" i="9"/>
  <c r="C26" i="9"/>
  <c r="O25" i="9"/>
  <c r="M25" i="9"/>
  <c r="K25" i="9"/>
  <c r="I25" i="9"/>
  <c r="G25" i="9"/>
  <c r="E25" i="9"/>
  <c r="C25" i="9"/>
  <c r="X23" i="9"/>
  <c r="X24" i="9"/>
  <c r="W23" i="9"/>
  <c r="W24" i="9"/>
  <c r="V23" i="9"/>
  <c r="V24" i="9"/>
  <c r="U23" i="9"/>
  <c r="U24" i="9"/>
  <c r="T23" i="9"/>
  <c r="T24" i="9"/>
  <c r="O24" i="9"/>
  <c r="M24" i="9"/>
  <c r="K24" i="9"/>
  <c r="I24" i="9"/>
  <c r="G24" i="9"/>
  <c r="E24" i="9"/>
  <c r="C24" i="9"/>
  <c r="O23" i="9"/>
  <c r="M23" i="9"/>
  <c r="K23" i="9"/>
  <c r="I23" i="9"/>
  <c r="G23" i="9"/>
  <c r="E23" i="9"/>
  <c r="C23" i="9"/>
  <c r="O22" i="9"/>
  <c r="M22" i="9"/>
  <c r="K22" i="9"/>
  <c r="I22" i="9"/>
  <c r="G22" i="9"/>
  <c r="E22" i="9"/>
  <c r="C22" i="9"/>
  <c r="O21" i="9"/>
  <c r="M21" i="9"/>
  <c r="K21" i="9"/>
  <c r="I21" i="9"/>
  <c r="G21" i="9"/>
  <c r="E21" i="9"/>
  <c r="C21" i="9"/>
  <c r="O20" i="9"/>
  <c r="M20" i="9"/>
  <c r="K20" i="9"/>
  <c r="I20" i="9"/>
  <c r="G20" i="9"/>
  <c r="E20" i="9"/>
  <c r="C20" i="9"/>
  <c r="X18" i="9"/>
  <c r="X19" i="9"/>
  <c r="W18" i="9"/>
  <c r="W19" i="9"/>
  <c r="V18" i="9"/>
  <c r="V19" i="9"/>
  <c r="U18" i="9"/>
  <c r="U19" i="9"/>
  <c r="T18" i="9"/>
  <c r="T19" i="9"/>
  <c r="O19" i="9"/>
  <c r="M19" i="9"/>
  <c r="K19" i="9"/>
  <c r="I19" i="9"/>
  <c r="G19" i="9"/>
  <c r="E19" i="9"/>
  <c r="C19" i="9"/>
  <c r="O18" i="9"/>
  <c r="M18" i="9"/>
  <c r="K18" i="9"/>
  <c r="I18" i="9"/>
  <c r="G18" i="9"/>
  <c r="E18" i="9"/>
  <c r="C18" i="9"/>
  <c r="O17" i="9"/>
  <c r="M17" i="9"/>
  <c r="K17" i="9"/>
  <c r="I17" i="9"/>
  <c r="G17" i="9"/>
  <c r="E17" i="9"/>
  <c r="C17" i="9"/>
  <c r="O16" i="9"/>
  <c r="M16" i="9"/>
  <c r="K16" i="9"/>
  <c r="I16" i="9"/>
  <c r="G16" i="9"/>
  <c r="E16" i="9"/>
  <c r="C16" i="9"/>
  <c r="O15" i="9"/>
  <c r="M15" i="9"/>
  <c r="K15" i="9"/>
  <c r="I15" i="9"/>
  <c r="G15" i="9"/>
  <c r="E15" i="9"/>
  <c r="C15" i="9"/>
  <c r="X13" i="9"/>
  <c r="X14" i="9"/>
  <c r="W13" i="9"/>
  <c r="W14" i="9"/>
  <c r="V13" i="9"/>
  <c r="V14" i="9"/>
  <c r="U13" i="9"/>
  <c r="U14" i="9"/>
  <c r="T13" i="9"/>
  <c r="T14" i="9"/>
  <c r="O14" i="9"/>
  <c r="M14" i="9"/>
  <c r="K14" i="9"/>
  <c r="I14" i="9"/>
  <c r="G14" i="9"/>
  <c r="E14" i="9"/>
  <c r="C14" i="9"/>
  <c r="O13" i="9"/>
  <c r="M13" i="9"/>
  <c r="K13" i="9"/>
  <c r="I13" i="9"/>
  <c r="G13" i="9"/>
  <c r="E13" i="9"/>
  <c r="C13" i="9"/>
  <c r="O12" i="9"/>
  <c r="M12" i="9"/>
  <c r="K12" i="9"/>
  <c r="I12" i="9"/>
  <c r="G12" i="9"/>
  <c r="E12" i="9"/>
  <c r="C12" i="9"/>
  <c r="O11" i="9"/>
  <c r="M11" i="9"/>
  <c r="K11" i="9"/>
  <c r="I11" i="9"/>
  <c r="G11" i="9"/>
  <c r="E11" i="9"/>
  <c r="C11" i="9"/>
  <c r="O10" i="9"/>
  <c r="M10" i="9"/>
  <c r="K10" i="9"/>
  <c r="I10" i="9"/>
  <c r="G10" i="9"/>
  <c r="E10" i="9"/>
  <c r="C10" i="9"/>
  <c r="X8" i="9"/>
  <c r="X9" i="9"/>
  <c r="W8" i="9"/>
  <c r="W9" i="9"/>
  <c r="V8" i="9"/>
  <c r="V9" i="9"/>
  <c r="U8" i="9"/>
  <c r="U9" i="9"/>
  <c r="T8" i="9"/>
  <c r="T9" i="9"/>
  <c r="O9" i="9"/>
  <c r="M9" i="9"/>
  <c r="K9" i="9"/>
  <c r="I9" i="9"/>
  <c r="G9" i="9"/>
  <c r="E9" i="9"/>
  <c r="C9" i="9"/>
  <c r="O8" i="9"/>
  <c r="M8" i="9"/>
  <c r="K8" i="9"/>
  <c r="I8" i="9"/>
  <c r="G8" i="9"/>
  <c r="E8" i="9"/>
  <c r="C8" i="9"/>
  <c r="O7" i="9"/>
  <c r="M7" i="9"/>
  <c r="K7" i="9"/>
  <c r="I7" i="9"/>
  <c r="G7" i="9"/>
  <c r="E7" i="9"/>
  <c r="C7" i="9"/>
  <c r="O6" i="9"/>
  <c r="M6" i="9"/>
  <c r="K6" i="9"/>
  <c r="I6" i="9"/>
  <c r="G6" i="9"/>
  <c r="E6" i="9"/>
  <c r="C6" i="9"/>
  <c r="O5" i="9"/>
  <c r="M5" i="9"/>
  <c r="K5" i="9"/>
  <c r="I5" i="9"/>
  <c r="G5" i="9"/>
  <c r="E5" i="9"/>
  <c r="C5" i="9"/>
  <c r="X3" i="9"/>
  <c r="X4" i="9"/>
  <c r="W3" i="9"/>
  <c r="W4" i="9"/>
  <c r="V3" i="9"/>
  <c r="V4" i="9"/>
  <c r="U3" i="9"/>
  <c r="U4" i="9"/>
  <c r="T3" i="9"/>
  <c r="T4" i="9"/>
  <c r="O4" i="9"/>
  <c r="M4" i="9"/>
  <c r="K4" i="9"/>
  <c r="I4" i="9"/>
  <c r="G4" i="9"/>
  <c r="E4" i="9"/>
  <c r="C4" i="9"/>
  <c r="O3" i="9"/>
  <c r="M3" i="9"/>
  <c r="K3" i="9"/>
  <c r="I3" i="9"/>
  <c r="G3" i="9"/>
  <c r="E3" i="9"/>
  <c r="C3" i="9"/>
  <c r="B34" i="8"/>
  <c r="X43" i="8"/>
  <c r="X44" i="8"/>
  <c r="B30" i="8"/>
  <c r="W44" i="8"/>
  <c r="B25" i="8"/>
  <c r="V43" i="8"/>
  <c r="V44" i="8"/>
  <c r="B19" i="8"/>
  <c r="U43" i="8"/>
  <c r="U44" i="8"/>
  <c r="B9" i="8"/>
  <c r="T43" i="8"/>
  <c r="T44" i="8"/>
  <c r="D34" i="8"/>
  <c r="X38" i="8"/>
  <c r="X39" i="8"/>
  <c r="D30" i="8"/>
  <c r="W39" i="8"/>
  <c r="D25" i="8"/>
  <c r="V38" i="8"/>
  <c r="V39" i="8"/>
  <c r="D19" i="8"/>
  <c r="U38" i="8"/>
  <c r="U39" i="8"/>
  <c r="D9" i="8"/>
  <c r="T38" i="8"/>
  <c r="T39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4" i="8"/>
  <c r="Q35" i="8"/>
  <c r="P9" i="8"/>
  <c r="P19" i="8"/>
  <c r="P25" i="8"/>
  <c r="P30" i="8"/>
  <c r="P34" i="8"/>
  <c r="P35" i="8"/>
  <c r="N9" i="8"/>
  <c r="N19" i="8"/>
  <c r="N25" i="8"/>
  <c r="N30" i="8"/>
  <c r="N34" i="8"/>
  <c r="N35" i="8"/>
  <c r="O35" i="8"/>
  <c r="L9" i="8"/>
  <c r="L19" i="8"/>
  <c r="L25" i="8"/>
  <c r="L30" i="8"/>
  <c r="L34" i="8"/>
  <c r="L35" i="8"/>
  <c r="M35" i="8"/>
  <c r="J9" i="8"/>
  <c r="J19" i="8"/>
  <c r="J25" i="8"/>
  <c r="J30" i="8"/>
  <c r="J34" i="8"/>
  <c r="J35" i="8"/>
  <c r="K35" i="8"/>
  <c r="H9" i="8"/>
  <c r="H19" i="8"/>
  <c r="H25" i="8"/>
  <c r="H30" i="8"/>
  <c r="H34" i="8"/>
  <c r="H35" i="8"/>
  <c r="I35" i="8"/>
  <c r="F9" i="8"/>
  <c r="F19" i="8"/>
  <c r="F25" i="8"/>
  <c r="F30" i="8"/>
  <c r="F34" i="8"/>
  <c r="F35" i="8"/>
  <c r="G35" i="8"/>
  <c r="D35" i="8"/>
  <c r="E35" i="8"/>
  <c r="B35" i="8"/>
  <c r="C35" i="8"/>
  <c r="X33" i="8"/>
  <c r="X34" i="8"/>
  <c r="W33" i="8"/>
  <c r="W34" i="8"/>
  <c r="V33" i="8"/>
  <c r="V34" i="8"/>
  <c r="U33" i="8"/>
  <c r="U34" i="8"/>
  <c r="T33" i="8"/>
  <c r="T34" i="8"/>
  <c r="O34" i="8"/>
  <c r="M34" i="8"/>
  <c r="K34" i="8"/>
  <c r="I34" i="8"/>
  <c r="G34" i="8"/>
  <c r="E34" i="8"/>
  <c r="C34" i="8"/>
  <c r="O33" i="8"/>
  <c r="M33" i="8"/>
  <c r="K33" i="8"/>
  <c r="I33" i="8"/>
  <c r="G33" i="8"/>
  <c r="E33" i="8"/>
  <c r="C33" i="8"/>
  <c r="O32" i="8"/>
  <c r="M32" i="8"/>
  <c r="K32" i="8"/>
  <c r="I32" i="8"/>
  <c r="G32" i="8"/>
  <c r="E32" i="8"/>
  <c r="C32" i="8"/>
  <c r="O31" i="8"/>
  <c r="M31" i="8"/>
  <c r="K31" i="8"/>
  <c r="I31" i="8"/>
  <c r="G31" i="8"/>
  <c r="E31" i="8"/>
  <c r="C31" i="8"/>
  <c r="O30" i="8"/>
  <c r="M30" i="8"/>
  <c r="K30" i="8"/>
  <c r="I30" i="8"/>
  <c r="G30" i="8"/>
  <c r="E30" i="8"/>
  <c r="C30" i="8"/>
  <c r="X28" i="8"/>
  <c r="X29" i="8"/>
  <c r="W28" i="8"/>
  <c r="W29" i="8"/>
  <c r="V28" i="8"/>
  <c r="V29" i="8"/>
  <c r="U28" i="8"/>
  <c r="U29" i="8"/>
  <c r="T28" i="8"/>
  <c r="T29" i="8"/>
  <c r="O29" i="8"/>
  <c r="M29" i="8"/>
  <c r="K29" i="8"/>
  <c r="I29" i="8"/>
  <c r="G29" i="8"/>
  <c r="E29" i="8"/>
  <c r="C29" i="8"/>
  <c r="O28" i="8"/>
  <c r="M28" i="8"/>
  <c r="K28" i="8"/>
  <c r="I28" i="8"/>
  <c r="G28" i="8"/>
  <c r="E28" i="8"/>
  <c r="C28" i="8"/>
  <c r="O27" i="8"/>
  <c r="M27" i="8"/>
  <c r="K27" i="8"/>
  <c r="I27" i="8"/>
  <c r="G27" i="8"/>
  <c r="E27" i="8"/>
  <c r="C27" i="8"/>
  <c r="O26" i="8"/>
  <c r="M26" i="8"/>
  <c r="K26" i="8"/>
  <c r="I26" i="8"/>
  <c r="G26" i="8"/>
  <c r="E26" i="8"/>
  <c r="C26" i="8"/>
  <c r="O25" i="8"/>
  <c r="M25" i="8"/>
  <c r="K25" i="8"/>
  <c r="I25" i="8"/>
  <c r="G25" i="8"/>
  <c r="E25" i="8"/>
  <c r="C25" i="8"/>
  <c r="X23" i="8"/>
  <c r="X24" i="8"/>
  <c r="W23" i="8"/>
  <c r="W24" i="8"/>
  <c r="V23" i="8"/>
  <c r="V24" i="8"/>
  <c r="U23" i="8"/>
  <c r="U24" i="8"/>
  <c r="T23" i="8"/>
  <c r="T24" i="8"/>
  <c r="O24" i="8"/>
  <c r="M24" i="8"/>
  <c r="K24" i="8"/>
  <c r="I24" i="8"/>
  <c r="G24" i="8"/>
  <c r="E24" i="8"/>
  <c r="C24" i="8"/>
  <c r="O23" i="8"/>
  <c r="M23" i="8"/>
  <c r="K23" i="8"/>
  <c r="I23" i="8"/>
  <c r="G23" i="8"/>
  <c r="E23" i="8"/>
  <c r="C23" i="8"/>
  <c r="O22" i="8"/>
  <c r="M22" i="8"/>
  <c r="K22" i="8"/>
  <c r="I22" i="8"/>
  <c r="G22" i="8"/>
  <c r="E22" i="8"/>
  <c r="C22" i="8"/>
  <c r="O21" i="8"/>
  <c r="M21" i="8"/>
  <c r="K21" i="8"/>
  <c r="I21" i="8"/>
  <c r="G21" i="8"/>
  <c r="E21" i="8"/>
  <c r="C21" i="8"/>
  <c r="O20" i="8"/>
  <c r="M20" i="8"/>
  <c r="K20" i="8"/>
  <c r="I20" i="8"/>
  <c r="G20" i="8"/>
  <c r="E20" i="8"/>
  <c r="C20" i="8"/>
  <c r="X18" i="8"/>
  <c r="X19" i="8"/>
  <c r="W18" i="8"/>
  <c r="W19" i="8"/>
  <c r="V18" i="8"/>
  <c r="V19" i="8"/>
  <c r="U18" i="8"/>
  <c r="U19" i="8"/>
  <c r="T18" i="8"/>
  <c r="T19" i="8"/>
  <c r="O19" i="8"/>
  <c r="M19" i="8"/>
  <c r="K19" i="8"/>
  <c r="I19" i="8"/>
  <c r="G19" i="8"/>
  <c r="E19" i="8"/>
  <c r="C19" i="8"/>
  <c r="O18" i="8"/>
  <c r="M18" i="8"/>
  <c r="K18" i="8"/>
  <c r="I18" i="8"/>
  <c r="G18" i="8"/>
  <c r="E18" i="8"/>
  <c r="C18" i="8"/>
  <c r="O17" i="8"/>
  <c r="M17" i="8"/>
  <c r="K17" i="8"/>
  <c r="I17" i="8"/>
  <c r="G17" i="8"/>
  <c r="E17" i="8"/>
  <c r="C17" i="8"/>
  <c r="O16" i="8"/>
  <c r="M16" i="8"/>
  <c r="K16" i="8"/>
  <c r="I16" i="8"/>
  <c r="G16" i="8"/>
  <c r="E16" i="8"/>
  <c r="C16" i="8"/>
  <c r="O15" i="8"/>
  <c r="M15" i="8"/>
  <c r="K15" i="8"/>
  <c r="I15" i="8"/>
  <c r="G15" i="8"/>
  <c r="E15" i="8"/>
  <c r="C15" i="8"/>
  <c r="X13" i="8"/>
  <c r="X14" i="8"/>
  <c r="W13" i="8"/>
  <c r="W14" i="8"/>
  <c r="V13" i="8"/>
  <c r="V14" i="8"/>
  <c r="U13" i="8"/>
  <c r="U14" i="8"/>
  <c r="T13" i="8"/>
  <c r="T14" i="8"/>
  <c r="O14" i="8"/>
  <c r="M14" i="8"/>
  <c r="K14" i="8"/>
  <c r="I14" i="8"/>
  <c r="G14" i="8"/>
  <c r="E14" i="8"/>
  <c r="C14" i="8"/>
  <c r="O13" i="8"/>
  <c r="M13" i="8"/>
  <c r="K13" i="8"/>
  <c r="I13" i="8"/>
  <c r="G13" i="8"/>
  <c r="E13" i="8"/>
  <c r="C13" i="8"/>
  <c r="O12" i="8"/>
  <c r="M12" i="8"/>
  <c r="K12" i="8"/>
  <c r="I12" i="8"/>
  <c r="G12" i="8"/>
  <c r="E12" i="8"/>
  <c r="C12" i="8"/>
  <c r="O11" i="8"/>
  <c r="M11" i="8"/>
  <c r="K11" i="8"/>
  <c r="I11" i="8"/>
  <c r="G11" i="8"/>
  <c r="E11" i="8"/>
  <c r="C11" i="8"/>
  <c r="O10" i="8"/>
  <c r="M10" i="8"/>
  <c r="K10" i="8"/>
  <c r="I10" i="8"/>
  <c r="G10" i="8"/>
  <c r="E10" i="8"/>
  <c r="C10" i="8"/>
  <c r="X8" i="8"/>
  <c r="X9" i="8"/>
  <c r="W8" i="8"/>
  <c r="W9" i="8"/>
  <c r="V8" i="8"/>
  <c r="V9" i="8"/>
  <c r="U8" i="8"/>
  <c r="U9" i="8"/>
  <c r="T8" i="8"/>
  <c r="T9" i="8"/>
  <c r="O9" i="8"/>
  <c r="M9" i="8"/>
  <c r="K9" i="8"/>
  <c r="I9" i="8"/>
  <c r="G9" i="8"/>
  <c r="E9" i="8"/>
  <c r="C9" i="8"/>
  <c r="O8" i="8"/>
  <c r="M8" i="8"/>
  <c r="K8" i="8"/>
  <c r="I8" i="8"/>
  <c r="G8" i="8"/>
  <c r="E8" i="8"/>
  <c r="C8" i="8"/>
  <c r="O7" i="8"/>
  <c r="M7" i="8"/>
  <c r="K7" i="8"/>
  <c r="I7" i="8"/>
  <c r="G7" i="8"/>
  <c r="E7" i="8"/>
  <c r="C7" i="8"/>
  <c r="O6" i="8"/>
  <c r="M6" i="8"/>
  <c r="K6" i="8"/>
  <c r="I6" i="8"/>
  <c r="G6" i="8"/>
  <c r="E6" i="8"/>
  <c r="C6" i="8"/>
  <c r="O5" i="8"/>
  <c r="M5" i="8"/>
  <c r="K5" i="8"/>
  <c r="I5" i="8"/>
  <c r="G5" i="8"/>
  <c r="E5" i="8"/>
  <c r="C5" i="8"/>
  <c r="X3" i="8"/>
  <c r="X4" i="8"/>
  <c r="W3" i="8"/>
  <c r="W4" i="8"/>
  <c r="V3" i="8"/>
  <c r="V4" i="8"/>
  <c r="U3" i="8"/>
  <c r="U4" i="8"/>
  <c r="T3" i="8"/>
  <c r="T4" i="8"/>
  <c r="O4" i="8"/>
  <c r="M4" i="8"/>
  <c r="K4" i="8"/>
  <c r="I4" i="8"/>
  <c r="G4" i="8"/>
  <c r="E4" i="8"/>
  <c r="C4" i="8"/>
  <c r="O3" i="8"/>
  <c r="M3" i="8"/>
  <c r="K3" i="8"/>
  <c r="I3" i="8"/>
  <c r="G3" i="8"/>
  <c r="E3" i="8"/>
  <c r="C3" i="8"/>
  <c r="B34" i="7"/>
  <c r="X43" i="7"/>
  <c r="X44" i="7"/>
  <c r="B30" i="7"/>
  <c r="W44" i="7"/>
  <c r="B25" i="7"/>
  <c r="V43" i="7"/>
  <c r="V44" i="7"/>
  <c r="B19" i="7"/>
  <c r="U43" i="7"/>
  <c r="U44" i="7"/>
  <c r="B9" i="7"/>
  <c r="T43" i="7"/>
  <c r="T44" i="7"/>
  <c r="D34" i="7"/>
  <c r="X38" i="7"/>
  <c r="X39" i="7"/>
  <c r="D30" i="7"/>
  <c r="W39" i="7"/>
  <c r="D25" i="7"/>
  <c r="V38" i="7"/>
  <c r="V39" i="7"/>
  <c r="D19" i="7"/>
  <c r="U38" i="7"/>
  <c r="U39" i="7"/>
  <c r="D9" i="7"/>
  <c r="T38" i="7"/>
  <c r="T39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P25" i="7"/>
  <c r="N25" i="7"/>
  <c r="L25" i="7"/>
  <c r="J25" i="7"/>
  <c r="H25" i="7"/>
  <c r="F25" i="7"/>
  <c r="Q25" i="7"/>
  <c r="P30" i="7"/>
  <c r="N30" i="7"/>
  <c r="L30" i="7"/>
  <c r="J30" i="7"/>
  <c r="H30" i="7"/>
  <c r="F30" i="7"/>
  <c r="Q30" i="7"/>
  <c r="P34" i="7"/>
  <c r="N34" i="7"/>
  <c r="L34" i="7"/>
  <c r="J34" i="7"/>
  <c r="H34" i="7"/>
  <c r="F34" i="7"/>
  <c r="Q34" i="7"/>
  <c r="Q35" i="7"/>
  <c r="P9" i="7"/>
  <c r="P19" i="7"/>
  <c r="P35" i="7"/>
  <c r="N9" i="7"/>
  <c r="N19" i="7"/>
  <c r="N35" i="7"/>
  <c r="O35" i="7"/>
  <c r="L9" i="7"/>
  <c r="L19" i="7"/>
  <c r="L35" i="7"/>
  <c r="M35" i="7"/>
  <c r="J9" i="7"/>
  <c r="J19" i="7"/>
  <c r="J35" i="7"/>
  <c r="K35" i="7"/>
  <c r="H9" i="7"/>
  <c r="H19" i="7"/>
  <c r="H35" i="7"/>
  <c r="I35" i="7"/>
  <c r="F9" i="7"/>
  <c r="F19" i="7"/>
  <c r="F35" i="7"/>
  <c r="G35" i="7"/>
  <c r="D35" i="7"/>
  <c r="E35" i="7"/>
  <c r="B35" i="7"/>
  <c r="C35" i="7"/>
  <c r="X33" i="7"/>
  <c r="X34" i="7"/>
  <c r="W33" i="7"/>
  <c r="W34" i="7"/>
  <c r="V33" i="7"/>
  <c r="V34" i="7"/>
  <c r="U33" i="7"/>
  <c r="U34" i="7"/>
  <c r="T33" i="7"/>
  <c r="T34" i="7"/>
  <c r="O34" i="7"/>
  <c r="M34" i="7"/>
  <c r="K34" i="7"/>
  <c r="I34" i="7"/>
  <c r="G34" i="7"/>
  <c r="E34" i="7"/>
  <c r="C34" i="7"/>
  <c r="Q33" i="7"/>
  <c r="O33" i="7"/>
  <c r="M33" i="7"/>
  <c r="K33" i="7"/>
  <c r="I33" i="7"/>
  <c r="G33" i="7"/>
  <c r="E33" i="7"/>
  <c r="C33" i="7"/>
  <c r="Q32" i="7"/>
  <c r="O32" i="7"/>
  <c r="M32" i="7"/>
  <c r="K32" i="7"/>
  <c r="I32" i="7"/>
  <c r="G32" i="7"/>
  <c r="E32" i="7"/>
  <c r="C32" i="7"/>
  <c r="Q31" i="7"/>
  <c r="O31" i="7"/>
  <c r="M31" i="7"/>
  <c r="K31" i="7"/>
  <c r="I31" i="7"/>
  <c r="G31" i="7"/>
  <c r="E31" i="7"/>
  <c r="C31" i="7"/>
  <c r="O30" i="7"/>
  <c r="M30" i="7"/>
  <c r="K30" i="7"/>
  <c r="I30" i="7"/>
  <c r="G30" i="7"/>
  <c r="E30" i="7"/>
  <c r="C30" i="7"/>
  <c r="X28" i="7"/>
  <c r="X29" i="7"/>
  <c r="W28" i="7"/>
  <c r="W29" i="7"/>
  <c r="V28" i="7"/>
  <c r="V29" i="7"/>
  <c r="U28" i="7"/>
  <c r="U29" i="7"/>
  <c r="T28" i="7"/>
  <c r="T29" i="7"/>
  <c r="Q29" i="7"/>
  <c r="O29" i="7"/>
  <c r="M29" i="7"/>
  <c r="K29" i="7"/>
  <c r="I29" i="7"/>
  <c r="G29" i="7"/>
  <c r="E29" i="7"/>
  <c r="C29" i="7"/>
  <c r="Q28" i="7"/>
  <c r="O28" i="7"/>
  <c r="M28" i="7"/>
  <c r="K28" i="7"/>
  <c r="I28" i="7"/>
  <c r="G28" i="7"/>
  <c r="E28" i="7"/>
  <c r="C28" i="7"/>
  <c r="Q27" i="7"/>
  <c r="O27" i="7"/>
  <c r="M27" i="7"/>
  <c r="K27" i="7"/>
  <c r="I27" i="7"/>
  <c r="G27" i="7"/>
  <c r="E27" i="7"/>
  <c r="C27" i="7"/>
  <c r="Q26" i="7"/>
  <c r="O26" i="7"/>
  <c r="M26" i="7"/>
  <c r="K26" i="7"/>
  <c r="I26" i="7"/>
  <c r="G26" i="7"/>
  <c r="E26" i="7"/>
  <c r="C26" i="7"/>
  <c r="O25" i="7"/>
  <c r="M25" i="7"/>
  <c r="K25" i="7"/>
  <c r="I25" i="7"/>
  <c r="G25" i="7"/>
  <c r="E25" i="7"/>
  <c r="C25" i="7"/>
  <c r="X23" i="7"/>
  <c r="X24" i="7"/>
  <c r="W23" i="7"/>
  <c r="W24" i="7"/>
  <c r="V23" i="7"/>
  <c r="V24" i="7"/>
  <c r="U23" i="7"/>
  <c r="U24" i="7"/>
  <c r="T23" i="7"/>
  <c r="T24" i="7"/>
  <c r="Q24" i="7"/>
  <c r="O24" i="7"/>
  <c r="M24" i="7"/>
  <c r="K24" i="7"/>
  <c r="I24" i="7"/>
  <c r="G24" i="7"/>
  <c r="E24" i="7"/>
  <c r="C24" i="7"/>
  <c r="Q23" i="7"/>
  <c r="O23" i="7"/>
  <c r="M23" i="7"/>
  <c r="K23" i="7"/>
  <c r="I23" i="7"/>
  <c r="G23" i="7"/>
  <c r="E23" i="7"/>
  <c r="C23" i="7"/>
  <c r="Q22" i="7"/>
  <c r="O22" i="7"/>
  <c r="M22" i="7"/>
  <c r="K22" i="7"/>
  <c r="I22" i="7"/>
  <c r="G22" i="7"/>
  <c r="E22" i="7"/>
  <c r="C22" i="7"/>
  <c r="Q21" i="7"/>
  <c r="O21" i="7"/>
  <c r="M21" i="7"/>
  <c r="K21" i="7"/>
  <c r="I21" i="7"/>
  <c r="G21" i="7"/>
  <c r="E21" i="7"/>
  <c r="C21" i="7"/>
  <c r="Q20" i="7"/>
  <c r="O20" i="7"/>
  <c r="M20" i="7"/>
  <c r="K20" i="7"/>
  <c r="I20" i="7"/>
  <c r="G20" i="7"/>
  <c r="E20" i="7"/>
  <c r="C20" i="7"/>
  <c r="X18" i="7"/>
  <c r="X19" i="7"/>
  <c r="W18" i="7"/>
  <c r="W19" i="7"/>
  <c r="V18" i="7"/>
  <c r="V19" i="7"/>
  <c r="U18" i="7"/>
  <c r="U19" i="7"/>
  <c r="T18" i="7"/>
  <c r="T19" i="7"/>
  <c r="O19" i="7"/>
  <c r="M19" i="7"/>
  <c r="K19" i="7"/>
  <c r="I19" i="7"/>
  <c r="G19" i="7"/>
  <c r="E19" i="7"/>
  <c r="C19" i="7"/>
  <c r="O18" i="7"/>
  <c r="M18" i="7"/>
  <c r="K18" i="7"/>
  <c r="I18" i="7"/>
  <c r="G18" i="7"/>
  <c r="E18" i="7"/>
  <c r="C18" i="7"/>
  <c r="O17" i="7"/>
  <c r="M17" i="7"/>
  <c r="K17" i="7"/>
  <c r="I17" i="7"/>
  <c r="G17" i="7"/>
  <c r="E17" i="7"/>
  <c r="C17" i="7"/>
  <c r="O16" i="7"/>
  <c r="M16" i="7"/>
  <c r="K16" i="7"/>
  <c r="I16" i="7"/>
  <c r="G16" i="7"/>
  <c r="E16" i="7"/>
  <c r="C16" i="7"/>
  <c r="O15" i="7"/>
  <c r="M15" i="7"/>
  <c r="K15" i="7"/>
  <c r="I15" i="7"/>
  <c r="G15" i="7"/>
  <c r="E15" i="7"/>
  <c r="C15" i="7"/>
  <c r="X13" i="7"/>
  <c r="X14" i="7"/>
  <c r="W13" i="7"/>
  <c r="W14" i="7"/>
  <c r="V13" i="7"/>
  <c r="V14" i="7"/>
  <c r="U13" i="7"/>
  <c r="U14" i="7"/>
  <c r="T13" i="7"/>
  <c r="T14" i="7"/>
  <c r="O14" i="7"/>
  <c r="M14" i="7"/>
  <c r="K14" i="7"/>
  <c r="I14" i="7"/>
  <c r="G14" i="7"/>
  <c r="E14" i="7"/>
  <c r="C14" i="7"/>
  <c r="O13" i="7"/>
  <c r="M13" i="7"/>
  <c r="K13" i="7"/>
  <c r="I13" i="7"/>
  <c r="G13" i="7"/>
  <c r="E13" i="7"/>
  <c r="C13" i="7"/>
  <c r="O12" i="7"/>
  <c r="M12" i="7"/>
  <c r="K12" i="7"/>
  <c r="I12" i="7"/>
  <c r="G12" i="7"/>
  <c r="E12" i="7"/>
  <c r="C12" i="7"/>
  <c r="O11" i="7"/>
  <c r="M11" i="7"/>
  <c r="K11" i="7"/>
  <c r="I11" i="7"/>
  <c r="G11" i="7"/>
  <c r="E11" i="7"/>
  <c r="C11" i="7"/>
  <c r="O10" i="7"/>
  <c r="M10" i="7"/>
  <c r="K10" i="7"/>
  <c r="I10" i="7"/>
  <c r="G10" i="7"/>
  <c r="E10" i="7"/>
  <c r="C10" i="7"/>
  <c r="X8" i="7"/>
  <c r="X9" i="7"/>
  <c r="W8" i="7"/>
  <c r="W9" i="7"/>
  <c r="V8" i="7"/>
  <c r="V9" i="7"/>
  <c r="U8" i="7"/>
  <c r="U9" i="7"/>
  <c r="T8" i="7"/>
  <c r="T9" i="7"/>
  <c r="O9" i="7"/>
  <c r="M9" i="7"/>
  <c r="K9" i="7"/>
  <c r="I9" i="7"/>
  <c r="G9" i="7"/>
  <c r="E9" i="7"/>
  <c r="C9" i="7"/>
  <c r="O8" i="7"/>
  <c r="M8" i="7"/>
  <c r="K8" i="7"/>
  <c r="I8" i="7"/>
  <c r="G8" i="7"/>
  <c r="E8" i="7"/>
  <c r="C8" i="7"/>
  <c r="O7" i="7"/>
  <c r="M7" i="7"/>
  <c r="K7" i="7"/>
  <c r="I7" i="7"/>
  <c r="G7" i="7"/>
  <c r="E7" i="7"/>
  <c r="C7" i="7"/>
  <c r="O6" i="7"/>
  <c r="M6" i="7"/>
  <c r="K6" i="7"/>
  <c r="I6" i="7"/>
  <c r="G6" i="7"/>
  <c r="E6" i="7"/>
  <c r="C6" i="7"/>
  <c r="O5" i="7"/>
  <c r="M5" i="7"/>
  <c r="K5" i="7"/>
  <c r="I5" i="7"/>
  <c r="G5" i="7"/>
  <c r="E5" i="7"/>
  <c r="C5" i="7"/>
  <c r="X3" i="7"/>
  <c r="X4" i="7"/>
  <c r="W3" i="7"/>
  <c r="W4" i="7"/>
  <c r="V3" i="7"/>
  <c r="V4" i="7"/>
  <c r="U3" i="7"/>
  <c r="U4" i="7"/>
  <c r="T3" i="7"/>
  <c r="T4" i="7"/>
  <c r="O4" i="7"/>
  <c r="M4" i="7"/>
  <c r="K4" i="7"/>
  <c r="I4" i="7"/>
  <c r="G4" i="7"/>
  <c r="E4" i="7"/>
  <c r="C4" i="7"/>
  <c r="O3" i="7"/>
  <c r="M3" i="7"/>
  <c r="K3" i="7"/>
  <c r="I3" i="7"/>
  <c r="G3" i="7"/>
  <c r="E3" i="7"/>
  <c r="C3" i="7"/>
  <c r="B34" i="6"/>
  <c r="X43" i="6"/>
  <c r="X44" i="6"/>
  <c r="B30" i="6"/>
  <c r="W44" i="6"/>
  <c r="B25" i="6"/>
  <c r="V43" i="6"/>
  <c r="V44" i="6"/>
  <c r="B19" i="6"/>
  <c r="U43" i="6"/>
  <c r="U44" i="6"/>
  <c r="B9" i="6"/>
  <c r="T43" i="6"/>
  <c r="T44" i="6"/>
  <c r="D34" i="6"/>
  <c r="X38" i="6"/>
  <c r="X39" i="6"/>
  <c r="D30" i="6"/>
  <c r="W39" i="6"/>
  <c r="D25" i="6"/>
  <c r="V38" i="6"/>
  <c r="V39" i="6"/>
  <c r="D19" i="6"/>
  <c r="U38" i="6"/>
  <c r="U39" i="6"/>
  <c r="D9" i="6"/>
  <c r="T38" i="6"/>
  <c r="T39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5" i="6"/>
  <c r="Q30" i="6"/>
  <c r="Q34" i="6"/>
  <c r="Q35" i="6"/>
  <c r="P9" i="6"/>
  <c r="P19" i="6"/>
  <c r="P25" i="6"/>
  <c r="P30" i="6"/>
  <c r="P34" i="6"/>
  <c r="P35" i="6"/>
  <c r="N9" i="6"/>
  <c r="N19" i="6"/>
  <c r="N25" i="6"/>
  <c r="N30" i="6"/>
  <c r="N34" i="6"/>
  <c r="N35" i="6"/>
  <c r="O35" i="6"/>
  <c r="L9" i="6"/>
  <c r="L19" i="6"/>
  <c r="L25" i="6"/>
  <c r="L30" i="6"/>
  <c r="L34" i="6"/>
  <c r="L35" i="6"/>
  <c r="M35" i="6"/>
  <c r="J9" i="6"/>
  <c r="J19" i="6"/>
  <c r="J25" i="6"/>
  <c r="J30" i="6"/>
  <c r="J34" i="6"/>
  <c r="J35" i="6"/>
  <c r="K35" i="6"/>
  <c r="H9" i="6"/>
  <c r="H19" i="6"/>
  <c r="H25" i="6"/>
  <c r="H30" i="6"/>
  <c r="H34" i="6"/>
  <c r="H35" i="6"/>
  <c r="I35" i="6"/>
  <c r="F9" i="6"/>
  <c r="F19" i="6"/>
  <c r="F25" i="6"/>
  <c r="F30" i="6"/>
  <c r="F34" i="6"/>
  <c r="F35" i="6"/>
  <c r="G35" i="6"/>
  <c r="D35" i="6"/>
  <c r="E35" i="6"/>
  <c r="B35" i="6"/>
  <c r="C35" i="6"/>
  <c r="X33" i="6"/>
  <c r="X34" i="6"/>
  <c r="W33" i="6"/>
  <c r="W34" i="6"/>
  <c r="V33" i="6"/>
  <c r="V34" i="6"/>
  <c r="U33" i="6"/>
  <c r="U34" i="6"/>
  <c r="T33" i="6"/>
  <c r="T34" i="6"/>
  <c r="O34" i="6"/>
  <c r="M34" i="6"/>
  <c r="K34" i="6"/>
  <c r="I34" i="6"/>
  <c r="G34" i="6"/>
  <c r="E34" i="6"/>
  <c r="C34" i="6"/>
  <c r="O33" i="6"/>
  <c r="M33" i="6"/>
  <c r="K33" i="6"/>
  <c r="I33" i="6"/>
  <c r="G33" i="6"/>
  <c r="E33" i="6"/>
  <c r="C33" i="6"/>
  <c r="O32" i="6"/>
  <c r="M32" i="6"/>
  <c r="K32" i="6"/>
  <c r="I32" i="6"/>
  <c r="G32" i="6"/>
  <c r="E32" i="6"/>
  <c r="C32" i="6"/>
  <c r="O31" i="6"/>
  <c r="M31" i="6"/>
  <c r="K31" i="6"/>
  <c r="I31" i="6"/>
  <c r="G31" i="6"/>
  <c r="E31" i="6"/>
  <c r="C31" i="6"/>
  <c r="O30" i="6"/>
  <c r="M30" i="6"/>
  <c r="K30" i="6"/>
  <c r="I30" i="6"/>
  <c r="G30" i="6"/>
  <c r="E30" i="6"/>
  <c r="C30" i="6"/>
  <c r="X28" i="6"/>
  <c r="X29" i="6"/>
  <c r="W28" i="6"/>
  <c r="W29" i="6"/>
  <c r="V28" i="6"/>
  <c r="V29" i="6"/>
  <c r="U28" i="6"/>
  <c r="U29" i="6"/>
  <c r="T28" i="6"/>
  <c r="T29" i="6"/>
  <c r="O29" i="6"/>
  <c r="M29" i="6"/>
  <c r="K29" i="6"/>
  <c r="I29" i="6"/>
  <c r="G29" i="6"/>
  <c r="E29" i="6"/>
  <c r="C29" i="6"/>
  <c r="O28" i="6"/>
  <c r="M28" i="6"/>
  <c r="K28" i="6"/>
  <c r="I28" i="6"/>
  <c r="G28" i="6"/>
  <c r="E28" i="6"/>
  <c r="C28" i="6"/>
  <c r="O27" i="6"/>
  <c r="M27" i="6"/>
  <c r="K27" i="6"/>
  <c r="I27" i="6"/>
  <c r="G27" i="6"/>
  <c r="E27" i="6"/>
  <c r="C27" i="6"/>
  <c r="O26" i="6"/>
  <c r="M26" i="6"/>
  <c r="K26" i="6"/>
  <c r="I26" i="6"/>
  <c r="G26" i="6"/>
  <c r="E26" i="6"/>
  <c r="C26" i="6"/>
  <c r="O25" i="6"/>
  <c r="M25" i="6"/>
  <c r="K25" i="6"/>
  <c r="I25" i="6"/>
  <c r="G25" i="6"/>
  <c r="E25" i="6"/>
  <c r="C25" i="6"/>
  <c r="X23" i="6"/>
  <c r="X24" i="6"/>
  <c r="W23" i="6"/>
  <c r="W24" i="6"/>
  <c r="V23" i="6"/>
  <c r="V24" i="6"/>
  <c r="U23" i="6"/>
  <c r="U24" i="6"/>
  <c r="T23" i="6"/>
  <c r="T24" i="6"/>
  <c r="O24" i="6"/>
  <c r="M24" i="6"/>
  <c r="K24" i="6"/>
  <c r="I24" i="6"/>
  <c r="G24" i="6"/>
  <c r="E24" i="6"/>
  <c r="C24" i="6"/>
  <c r="O23" i="6"/>
  <c r="M23" i="6"/>
  <c r="K23" i="6"/>
  <c r="I23" i="6"/>
  <c r="G23" i="6"/>
  <c r="E23" i="6"/>
  <c r="C23" i="6"/>
  <c r="O22" i="6"/>
  <c r="M22" i="6"/>
  <c r="K22" i="6"/>
  <c r="I22" i="6"/>
  <c r="G22" i="6"/>
  <c r="E22" i="6"/>
  <c r="C22" i="6"/>
  <c r="O21" i="6"/>
  <c r="M21" i="6"/>
  <c r="K21" i="6"/>
  <c r="I21" i="6"/>
  <c r="G21" i="6"/>
  <c r="E21" i="6"/>
  <c r="C21" i="6"/>
  <c r="O20" i="6"/>
  <c r="M20" i="6"/>
  <c r="K20" i="6"/>
  <c r="I20" i="6"/>
  <c r="G20" i="6"/>
  <c r="E20" i="6"/>
  <c r="C20" i="6"/>
  <c r="X18" i="6"/>
  <c r="X19" i="6"/>
  <c r="W18" i="6"/>
  <c r="W19" i="6"/>
  <c r="V18" i="6"/>
  <c r="V19" i="6"/>
  <c r="U18" i="6"/>
  <c r="U19" i="6"/>
  <c r="T18" i="6"/>
  <c r="T19" i="6"/>
  <c r="O19" i="6"/>
  <c r="M19" i="6"/>
  <c r="K19" i="6"/>
  <c r="I19" i="6"/>
  <c r="G19" i="6"/>
  <c r="E19" i="6"/>
  <c r="C19" i="6"/>
  <c r="O18" i="6"/>
  <c r="M18" i="6"/>
  <c r="K18" i="6"/>
  <c r="I18" i="6"/>
  <c r="G18" i="6"/>
  <c r="E18" i="6"/>
  <c r="C18" i="6"/>
  <c r="O17" i="6"/>
  <c r="M17" i="6"/>
  <c r="K17" i="6"/>
  <c r="I17" i="6"/>
  <c r="G17" i="6"/>
  <c r="E17" i="6"/>
  <c r="C17" i="6"/>
  <c r="O16" i="6"/>
  <c r="M16" i="6"/>
  <c r="K16" i="6"/>
  <c r="I16" i="6"/>
  <c r="G16" i="6"/>
  <c r="E16" i="6"/>
  <c r="C16" i="6"/>
  <c r="O15" i="6"/>
  <c r="M15" i="6"/>
  <c r="K15" i="6"/>
  <c r="I15" i="6"/>
  <c r="G15" i="6"/>
  <c r="E15" i="6"/>
  <c r="C15" i="6"/>
  <c r="X13" i="6"/>
  <c r="X14" i="6"/>
  <c r="W13" i="6"/>
  <c r="W14" i="6"/>
  <c r="V13" i="6"/>
  <c r="V14" i="6"/>
  <c r="U13" i="6"/>
  <c r="U14" i="6"/>
  <c r="T13" i="6"/>
  <c r="T14" i="6"/>
  <c r="O14" i="6"/>
  <c r="M14" i="6"/>
  <c r="K14" i="6"/>
  <c r="I14" i="6"/>
  <c r="G14" i="6"/>
  <c r="E14" i="6"/>
  <c r="C14" i="6"/>
  <c r="O13" i="6"/>
  <c r="M13" i="6"/>
  <c r="K13" i="6"/>
  <c r="I13" i="6"/>
  <c r="G13" i="6"/>
  <c r="E13" i="6"/>
  <c r="C13" i="6"/>
  <c r="O12" i="6"/>
  <c r="M12" i="6"/>
  <c r="K12" i="6"/>
  <c r="I12" i="6"/>
  <c r="G12" i="6"/>
  <c r="E12" i="6"/>
  <c r="C12" i="6"/>
  <c r="O11" i="6"/>
  <c r="M11" i="6"/>
  <c r="K11" i="6"/>
  <c r="I11" i="6"/>
  <c r="G11" i="6"/>
  <c r="E11" i="6"/>
  <c r="C11" i="6"/>
  <c r="O10" i="6"/>
  <c r="M10" i="6"/>
  <c r="K10" i="6"/>
  <c r="I10" i="6"/>
  <c r="G10" i="6"/>
  <c r="E10" i="6"/>
  <c r="C10" i="6"/>
  <c r="X8" i="6"/>
  <c r="X9" i="6"/>
  <c r="W8" i="6"/>
  <c r="W9" i="6"/>
  <c r="V8" i="6"/>
  <c r="V9" i="6"/>
  <c r="U8" i="6"/>
  <c r="U9" i="6"/>
  <c r="T8" i="6"/>
  <c r="T9" i="6"/>
  <c r="O9" i="6"/>
  <c r="M9" i="6"/>
  <c r="K9" i="6"/>
  <c r="I9" i="6"/>
  <c r="G9" i="6"/>
  <c r="E9" i="6"/>
  <c r="C9" i="6"/>
  <c r="O8" i="6"/>
  <c r="M8" i="6"/>
  <c r="K8" i="6"/>
  <c r="I8" i="6"/>
  <c r="G8" i="6"/>
  <c r="E8" i="6"/>
  <c r="C8" i="6"/>
  <c r="O7" i="6"/>
  <c r="M7" i="6"/>
  <c r="K7" i="6"/>
  <c r="I7" i="6"/>
  <c r="G7" i="6"/>
  <c r="E7" i="6"/>
  <c r="C7" i="6"/>
  <c r="O6" i="6"/>
  <c r="M6" i="6"/>
  <c r="K6" i="6"/>
  <c r="I6" i="6"/>
  <c r="G6" i="6"/>
  <c r="E6" i="6"/>
  <c r="C6" i="6"/>
  <c r="O5" i="6"/>
  <c r="M5" i="6"/>
  <c r="K5" i="6"/>
  <c r="I5" i="6"/>
  <c r="G5" i="6"/>
  <c r="E5" i="6"/>
  <c r="C5" i="6"/>
  <c r="X3" i="6"/>
  <c r="X4" i="6"/>
  <c r="W3" i="6"/>
  <c r="W4" i="6"/>
  <c r="V3" i="6"/>
  <c r="V4" i="6"/>
  <c r="U3" i="6"/>
  <c r="U4" i="6"/>
  <c r="T3" i="6"/>
  <c r="T4" i="6"/>
  <c r="O4" i="6"/>
  <c r="M4" i="6"/>
  <c r="K4" i="6"/>
  <c r="I4" i="6"/>
  <c r="G4" i="6"/>
  <c r="E4" i="6"/>
  <c r="C4" i="6"/>
  <c r="O3" i="6"/>
  <c r="M3" i="6"/>
  <c r="K3" i="6"/>
  <c r="I3" i="6"/>
  <c r="G3" i="6"/>
  <c r="E3" i="6"/>
  <c r="C3" i="6"/>
  <c r="B34" i="5"/>
  <c r="X43" i="5"/>
  <c r="X44" i="5"/>
  <c r="B30" i="5"/>
  <c r="W44" i="5"/>
  <c r="B25" i="5"/>
  <c r="V43" i="5"/>
  <c r="V44" i="5"/>
  <c r="B19" i="5"/>
  <c r="U43" i="5"/>
  <c r="U44" i="5"/>
  <c r="B9" i="5"/>
  <c r="T43" i="5"/>
  <c r="T44" i="5"/>
  <c r="D34" i="5"/>
  <c r="X38" i="5"/>
  <c r="X39" i="5"/>
  <c r="D30" i="5"/>
  <c r="W39" i="5"/>
  <c r="D25" i="5"/>
  <c r="V38" i="5"/>
  <c r="V39" i="5"/>
  <c r="D19" i="5"/>
  <c r="U38" i="5"/>
  <c r="U39" i="5"/>
  <c r="D9" i="5"/>
  <c r="T38" i="5"/>
  <c r="T39" i="5"/>
  <c r="B35" i="5"/>
  <c r="D35" i="5"/>
  <c r="F9" i="5"/>
  <c r="F19" i="5"/>
  <c r="F25" i="5"/>
  <c r="F30" i="5"/>
  <c r="F34" i="5"/>
  <c r="F35" i="5"/>
  <c r="H9" i="5"/>
  <c r="H19" i="5"/>
  <c r="H25" i="5"/>
  <c r="H30" i="5"/>
  <c r="H34" i="5"/>
  <c r="H35" i="5"/>
  <c r="J9" i="5"/>
  <c r="J19" i="5"/>
  <c r="J25" i="5"/>
  <c r="J30" i="5"/>
  <c r="J34" i="5"/>
  <c r="J35" i="5"/>
  <c r="L9" i="5"/>
  <c r="L19" i="5"/>
  <c r="L25" i="5"/>
  <c r="L30" i="5"/>
  <c r="L34" i="5"/>
  <c r="L35" i="5"/>
  <c r="N9" i="5"/>
  <c r="N19" i="5"/>
  <c r="N25" i="5"/>
  <c r="N30" i="5"/>
  <c r="N34" i="5"/>
  <c r="N35" i="5"/>
  <c r="P9" i="5"/>
  <c r="P19" i="5"/>
  <c r="P25" i="5"/>
  <c r="P30" i="5"/>
  <c r="P34" i="5"/>
  <c r="P35" i="5"/>
  <c r="Q35" i="5"/>
  <c r="O35" i="5"/>
  <c r="M35" i="5"/>
  <c r="K35" i="5"/>
  <c r="I35" i="5"/>
  <c r="G35" i="5"/>
  <c r="E35" i="5"/>
  <c r="C35" i="5"/>
  <c r="X33" i="5"/>
  <c r="X34" i="5"/>
  <c r="W33" i="5"/>
  <c r="W34" i="5"/>
  <c r="V33" i="5"/>
  <c r="V34" i="5"/>
  <c r="U33" i="5"/>
  <c r="U34" i="5"/>
  <c r="T33" i="5"/>
  <c r="T34" i="5"/>
  <c r="Q34" i="5"/>
  <c r="O34" i="5"/>
  <c r="M34" i="5"/>
  <c r="K34" i="5"/>
  <c r="I34" i="5"/>
  <c r="G34" i="5"/>
  <c r="E34" i="5"/>
  <c r="C34" i="5"/>
  <c r="Q33" i="5"/>
  <c r="O33" i="5"/>
  <c r="M33" i="5"/>
  <c r="K33" i="5"/>
  <c r="I33" i="5"/>
  <c r="G33" i="5"/>
  <c r="E33" i="5"/>
  <c r="C33" i="5"/>
  <c r="Q32" i="5"/>
  <c r="O32" i="5"/>
  <c r="M32" i="5"/>
  <c r="K32" i="5"/>
  <c r="I32" i="5"/>
  <c r="G32" i="5"/>
  <c r="E32" i="5"/>
  <c r="C32" i="5"/>
  <c r="Q31" i="5"/>
  <c r="O31" i="5"/>
  <c r="M31" i="5"/>
  <c r="K31" i="5"/>
  <c r="I31" i="5"/>
  <c r="G31" i="5"/>
  <c r="E31" i="5"/>
  <c r="C31" i="5"/>
  <c r="Q30" i="5"/>
  <c r="O30" i="5"/>
  <c r="M30" i="5"/>
  <c r="K30" i="5"/>
  <c r="I30" i="5"/>
  <c r="G30" i="5"/>
  <c r="E30" i="5"/>
  <c r="C30" i="5"/>
  <c r="X28" i="5"/>
  <c r="X29" i="5"/>
  <c r="W28" i="5"/>
  <c r="W29" i="5"/>
  <c r="V28" i="5"/>
  <c r="V29" i="5"/>
  <c r="U28" i="5"/>
  <c r="U29" i="5"/>
  <c r="T28" i="5"/>
  <c r="T29" i="5"/>
  <c r="Q29" i="5"/>
  <c r="O29" i="5"/>
  <c r="M29" i="5"/>
  <c r="K29" i="5"/>
  <c r="I29" i="5"/>
  <c r="G29" i="5"/>
  <c r="E29" i="5"/>
  <c r="C29" i="5"/>
  <c r="Q28" i="5"/>
  <c r="O28" i="5"/>
  <c r="M28" i="5"/>
  <c r="K28" i="5"/>
  <c r="I28" i="5"/>
  <c r="G28" i="5"/>
  <c r="E28" i="5"/>
  <c r="C28" i="5"/>
  <c r="Q27" i="5"/>
  <c r="O27" i="5"/>
  <c r="M27" i="5"/>
  <c r="K27" i="5"/>
  <c r="I27" i="5"/>
  <c r="G27" i="5"/>
  <c r="E27" i="5"/>
  <c r="C27" i="5"/>
  <c r="Q26" i="5"/>
  <c r="O26" i="5"/>
  <c r="M26" i="5"/>
  <c r="K26" i="5"/>
  <c r="I26" i="5"/>
  <c r="G26" i="5"/>
  <c r="E26" i="5"/>
  <c r="C26" i="5"/>
  <c r="Q25" i="5"/>
  <c r="O25" i="5"/>
  <c r="M25" i="5"/>
  <c r="K25" i="5"/>
  <c r="I25" i="5"/>
  <c r="G25" i="5"/>
  <c r="E25" i="5"/>
  <c r="C25" i="5"/>
  <c r="X23" i="5"/>
  <c r="X24" i="5"/>
  <c r="W23" i="5"/>
  <c r="W24" i="5"/>
  <c r="V23" i="5"/>
  <c r="V24" i="5"/>
  <c r="U23" i="5"/>
  <c r="U24" i="5"/>
  <c r="T23" i="5"/>
  <c r="T24" i="5"/>
  <c r="Q24" i="5"/>
  <c r="O24" i="5"/>
  <c r="M24" i="5"/>
  <c r="K24" i="5"/>
  <c r="I24" i="5"/>
  <c r="G24" i="5"/>
  <c r="E24" i="5"/>
  <c r="C24" i="5"/>
  <c r="Q23" i="5"/>
  <c r="O23" i="5"/>
  <c r="M23" i="5"/>
  <c r="K23" i="5"/>
  <c r="I23" i="5"/>
  <c r="G23" i="5"/>
  <c r="E23" i="5"/>
  <c r="C23" i="5"/>
  <c r="Q22" i="5"/>
  <c r="O22" i="5"/>
  <c r="M22" i="5"/>
  <c r="K22" i="5"/>
  <c r="I22" i="5"/>
  <c r="G22" i="5"/>
  <c r="E22" i="5"/>
  <c r="C22" i="5"/>
  <c r="Q21" i="5"/>
  <c r="O21" i="5"/>
  <c r="M21" i="5"/>
  <c r="K21" i="5"/>
  <c r="I21" i="5"/>
  <c r="G21" i="5"/>
  <c r="E21" i="5"/>
  <c r="C21" i="5"/>
  <c r="Q20" i="5"/>
  <c r="O20" i="5"/>
  <c r="M20" i="5"/>
  <c r="K20" i="5"/>
  <c r="I20" i="5"/>
  <c r="G20" i="5"/>
  <c r="E20" i="5"/>
  <c r="C20" i="5"/>
  <c r="X18" i="5"/>
  <c r="X19" i="5"/>
  <c r="W18" i="5"/>
  <c r="W19" i="5"/>
  <c r="V18" i="5"/>
  <c r="V19" i="5"/>
  <c r="U18" i="5"/>
  <c r="U19" i="5"/>
  <c r="T18" i="5"/>
  <c r="T19" i="5"/>
  <c r="Q19" i="5"/>
  <c r="O19" i="5"/>
  <c r="M19" i="5"/>
  <c r="K19" i="5"/>
  <c r="I19" i="5"/>
  <c r="G19" i="5"/>
  <c r="E19" i="5"/>
  <c r="C19" i="5"/>
  <c r="Q18" i="5"/>
  <c r="O18" i="5"/>
  <c r="M18" i="5"/>
  <c r="K18" i="5"/>
  <c r="I18" i="5"/>
  <c r="G18" i="5"/>
  <c r="E18" i="5"/>
  <c r="C18" i="5"/>
  <c r="Q17" i="5"/>
  <c r="O17" i="5"/>
  <c r="M17" i="5"/>
  <c r="K17" i="5"/>
  <c r="I17" i="5"/>
  <c r="G17" i="5"/>
  <c r="E17" i="5"/>
  <c r="C17" i="5"/>
  <c r="Q16" i="5"/>
  <c r="O16" i="5"/>
  <c r="M16" i="5"/>
  <c r="K16" i="5"/>
  <c r="I16" i="5"/>
  <c r="G16" i="5"/>
  <c r="E16" i="5"/>
  <c r="C16" i="5"/>
  <c r="Q15" i="5"/>
  <c r="O15" i="5"/>
  <c r="M15" i="5"/>
  <c r="K15" i="5"/>
  <c r="I15" i="5"/>
  <c r="G15" i="5"/>
  <c r="E15" i="5"/>
  <c r="C15" i="5"/>
  <c r="X13" i="5"/>
  <c r="X14" i="5"/>
  <c r="W13" i="5"/>
  <c r="W14" i="5"/>
  <c r="V13" i="5"/>
  <c r="V14" i="5"/>
  <c r="U13" i="5"/>
  <c r="U14" i="5"/>
  <c r="T13" i="5"/>
  <c r="T14" i="5"/>
  <c r="Q14" i="5"/>
  <c r="O14" i="5"/>
  <c r="M14" i="5"/>
  <c r="K14" i="5"/>
  <c r="I14" i="5"/>
  <c r="G14" i="5"/>
  <c r="E14" i="5"/>
  <c r="C14" i="5"/>
  <c r="Q13" i="5"/>
  <c r="O13" i="5"/>
  <c r="M13" i="5"/>
  <c r="K13" i="5"/>
  <c r="I13" i="5"/>
  <c r="G13" i="5"/>
  <c r="E13" i="5"/>
  <c r="C13" i="5"/>
  <c r="Q12" i="5"/>
  <c r="O12" i="5"/>
  <c r="M12" i="5"/>
  <c r="K12" i="5"/>
  <c r="I12" i="5"/>
  <c r="G12" i="5"/>
  <c r="E12" i="5"/>
  <c r="C12" i="5"/>
  <c r="Q11" i="5"/>
  <c r="O11" i="5"/>
  <c r="M11" i="5"/>
  <c r="K11" i="5"/>
  <c r="I11" i="5"/>
  <c r="G11" i="5"/>
  <c r="E11" i="5"/>
  <c r="C11" i="5"/>
  <c r="Q10" i="5"/>
  <c r="O10" i="5"/>
  <c r="M10" i="5"/>
  <c r="K10" i="5"/>
  <c r="I10" i="5"/>
  <c r="G10" i="5"/>
  <c r="E10" i="5"/>
  <c r="C10" i="5"/>
  <c r="X8" i="5"/>
  <c r="X9" i="5"/>
  <c r="W8" i="5"/>
  <c r="W9" i="5"/>
  <c r="V8" i="5"/>
  <c r="V9" i="5"/>
  <c r="U8" i="5"/>
  <c r="U9" i="5"/>
  <c r="T8" i="5"/>
  <c r="T9" i="5"/>
  <c r="Q9" i="5"/>
  <c r="O9" i="5"/>
  <c r="M9" i="5"/>
  <c r="K9" i="5"/>
  <c r="I9" i="5"/>
  <c r="G9" i="5"/>
  <c r="E9" i="5"/>
  <c r="C9" i="5"/>
  <c r="Q8" i="5"/>
  <c r="O8" i="5"/>
  <c r="M8" i="5"/>
  <c r="K8" i="5"/>
  <c r="I8" i="5"/>
  <c r="G8" i="5"/>
  <c r="E8" i="5"/>
  <c r="C8" i="5"/>
  <c r="Q7" i="5"/>
  <c r="O7" i="5"/>
  <c r="M7" i="5"/>
  <c r="K7" i="5"/>
  <c r="I7" i="5"/>
  <c r="G7" i="5"/>
  <c r="E7" i="5"/>
  <c r="C7" i="5"/>
  <c r="Q6" i="5"/>
  <c r="O6" i="5"/>
  <c r="M6" i="5"/>
  <c r="K6" i="5"/>
  <c r="I6" i="5"/>
  <c r="G6" i="5"/>
  <c r="E6" i="5"/>
  <c r="C6" i="5"/>
  <c r="Q5" i="5"/>
  <c r="O5" i="5"/>
  <c r="M5" i="5"/>
  <c r="K5" i="5"/>
  <c r="I5" i="5"/>
  <c r="G5" i="5"/>
  <c r="E5" i="5"/>
  <c r="C5" i="5"/>
  <c r="X3" i="5"/>
  <c r="X4" i="5"/>
  <c r="W3" i="5"/>
  <c r="W4" i="5"/>
  <c r="V3" i="5"/>
  <c r="V4" i="5"/>
  <c r="U3" i="5"/>
  <c r="U4" i="5"/>
  <c r="T3" i="5"/>
  <c r="T4" i="5"/>
  <c r="Q4" i="5"/>
  <c r="O4" i="5"/>
  <c r="M4" i="5"/>
  <c r="K4" i="5"/>
  <c r="I4" i="5"/>
  <c r="G4" i="5"/>
  <c r="E4" i="5"/>
  <c r="C4" i="5"/>
  <c r="Q3" i="5"/>
  <c r="O3" i="5"/>
  <c r="M3" i="5"/>
  <c r="K3" i="5"/>
  <c r="I3" i="5"/>
  <c r="G3" i="5"/>
  <c r="E3" i="5"/>
  <c r="C3" i="5"/>
  <c r="B34" i="4"/>
  <c r="X43" i="4"/>
  <c r="X44" i="4"/>
  <c r="B30" i="4"/>
  <c r="W44" i="4"/>
  <c r="B25" i="4"/>
  <c r="V43" i="4"/>
  <c r="V44" i="4"/>
  <c r="B19" i="4"/>
  <c r="U43" i="4"/>
  <c r="U44" i="4"/>
  <c r="B9" i="4"/>
  <c r="T43" i="4"/>
  <c r="T44" i="4"/>
  <c r="D34" i="4"/>
  <c r="X38" i="4"/>
  <c r="X39" i="4"/>
  <c r="D30" i="4"/>
  <c r="W39" i="4"/>
  <c r="D25" i="4"/>
  <c r="V38" i="4"/>
  <c r="V39" i="4"/>
  <c r="D19" i="4"/>
  <c r="U38" i="4"/>
  <c r="U39" i="4"/>
  <c r="D9" i="4"/>
  <c r="T38" i="4"/>
  <c r="T39" i="4"/>
  <c r="B35" i="4"/>
  <c r="D35" i="4"/>
  <c r="F9" i="4"/>
  <c r="F19" i="4"/>
  <c r="F25" i="4"/>
  <c r="F30" i="4"/>
  <c r="F34" i="4"/>
  <c r="F35" i="4"/>
  <c r="H9" i="4"/>
  <c r="H19" i="4"/>
  <c r="H25" i="4"/>
  <c r="H30" i="4"/>
  <c r="H34" i="4"/>
  <c r="H35" i="4"/>
  <c r="J9" i="4"/>
  <c r="J19" i="4"/>
  <c r="J25" i="4"/>
  <c r="J30" i="4"/>
  <c r="J34" i="4"/>
  <c r="J35" i="4"/>
  <c r="L9" i="4"/>
  <c r="L19" i="4"/>
  <c r="L25" i="4"/>
  <c r="L30" i="4"/>
  <c r="L34" i="4"/>
  <c r="L35" i="4"/>
  <c r="N9" i="4"/>
  <c r="N19" i="4"/>
  <c r="N25" i="4"/>
  <c r="N30" i="4"/>
  <c r="N34" i="4"/>
  <c r="N35" i="4"/>
  <c r="P9" i="4"/>
  <c r="P19" i="4"/>
  <c r="P25" i="4"/>
  <c r="P30" i="4"/>
  <c r="P34" i="4"/>
  <c r="P35" i="4"/>
  <c r="Q35" i="4"/>
  <c r="O35" i="4"/>
  <c r="M35" i="4"/>
  <c r="K35" i="4"/>
  <c r="I35" i="4"/>
  <c r="G35" i="4"/>
  <c r="E24" i="4"/>
  <c r="E13" i="4"/>
  <c r="E14" i="4"/>
  <c r="E15" i="4"/>
  <c r="E16" i="4"/>
  <c r="E17" i="4"/>
  <c r="E18" i="4"/>
  <c r="E19" i="4"/>
  <c r="E20" i="4"/>
  <c r="E21" i="4"/>
  <c r="E22" i="4"/>
  <c r="E23" i="4"/>
  <c r="E25" i="4"/>
  <c r="E30" i="4"/>
  <c r="E34" i="4"/>
  <c r="E35" i="4"/>
  <c r="C35" i="4"/>
  <c r="X33" i="4"/>
  <c r="X34" i="4"/>
  <c r="W33" i="4"/>
  <c r="W34" i="4"/>
  <c r="V33" i="4"/>
  <c r="V34" i="4"/>
  <c r="U33" i="4"/>
  <c r="U34" i="4"/>
  <c r="T33" i="4"/>
  <c r="T34" i="4"/>
  <c r="Q34" i="4"/>
  <c r="O34" i="4"/>
  <c r="M34" i="4"/>
  <c r="K34" i="4"/>
  <c r="I34" i="4"/>
  <c r="G34" i="4"/>
  <c r="C34" i="4"/>
  <c r="Q33" i="4"/>
  <c r="O33" i="4"/>
  <c r="M33" i="4"/>
  <c r="K33" i="4"/>
  <c r="I33" i="4"/>
  <c r="G33" i="4"/>
  <c r="C33" i="4"/>
  <c r="Q32" i="4"/>
  <c r="O32" i="4"/>
  <c r="M32" i="4"/>
  <c r="K32" i="4"/>
  <c r="I32" i="4"/>
  <c r="G32" i="4"/>
  <c r="C32" i="4"/>
  <c r="Q31" i="4"/>
  <c r="O31" i="4"/>
  <c r="M31" i="4"/>
  <c r="K31" i="4"/>
  <c r="I31" i="4"/>
  <c r="G31" i="4"/>
  <c r="C31" i="4"/>
  <c r="Q30" i="4"/>
  <c r="O30" i="4"/>
  <c r="M30" i="4"/>
  <c r="K30" i="4"/>
  <c r="I30" i="4"/>
  <c r="G30" i="4"/>
  <c r="C30" i="4"/>
  <c r="X28" i="4"/>
  <c r="X29" i="4"/>
  <c r="W28" i="4"/>
  <c r="W29" i="4"/>
  <c r="V28" i="4"/>
  <c r="V29" i="4"/>
  <c r="U28" i="4"/>
  <c r="U29" i="4"/>
  <c r="T28" i="4"/>
  <c r="T29" i="4"/>
  <c r="Q29" i="4"/>
  <c r="O29" i="4"/>
  <c r="M29" i="4"/>
  <c r="K29" i="4"/>
  <c r="I29" i="4"/>
  <c r="G29" i="4"/>
  <c r="C29" i="4"/>
  <c r="Q28" i="4"/>
  <c r="O28" i="4"/>
  <c r="M28" i="4"/>
  <c r="K28" i="4"/>
  <c r="I28" i="4"/>
  <c r="G28" i="4"/>
  <c r="C28" i="4"/>
  <c r="Q27" i="4"/>
  <c r="O27" i="4"/>
  <c r="M27" i="4"/>
  <c r="K27" i="4"/>
  <c r="I27" i="4"/>
  <c r="G27" i="4"/>
  <c r="C27" i="4"/>
  <c r="Q26" i="4"/>
  <c r="O26" i="4"/>
  <c r="M26" i="4"/>
  <c r="K26" i="4"/>
  <c r="I26" i="4"/>
  <c r="G26" i="4"/>
  <c r="C26" i="4"/>
  <c r="Q25" i="4"/>
  <c r="O25" i="4"/>
  <c r="M25" i="4"/>
  <c r="K25" i="4"/>
  <c r="I25" i="4"/>
  <c r="G25" i="4"/>
  <c r="C25" i="4"/>
  <c r="X23" i="4"/>
  <c r="X24" i="4"/>
  <c r="W23" i="4"/>
  <c r="W24" i="4"/>
  <c r="V23" i="4"/>
  <c r="V24" i="4"/>
  <c r="U23" i="4"/>
  <c r="U24" i="4"/>
  <c r="T23" i="4"/>
  <c r="T24" i="4"/>
  <c r="Q24" i="4"/>
  <c r="O24" i="4"/>
  <c r="M24" i="4"/>
  <c r="K24" i="4"/>
  <c r="I24" i="4"/>
  <c r="G24" i="4"/>
  <c r="C24" i="4"/>
  <c r="Q23" i="4"/>
  <c r="O23" i="4"/>
  <c r="M23" i="4"/>
  <c r="K23" i="4"/>
  <c r="I23" i="4"/>
  <c r="G23" i="4"/>
  <c r="C23" i="4"/>
  <c r="Q22" i="4"/>
  <c r="O22" i="4"/>
  <c r="M22" i="4"/>
  <c r="K22" i="4"/>
  <c r="I22" i="4"/>
  <c r="G22" i="4"/>
  <c r="C22" i="4"/>
  <c r="Q21" i="4"/>
  <c r="O21" i="4"/>
  <c r="M21" i="4"/>
  <c r="K21" i="4"/>
  <c r="I21" i="4"/>
  <c r="G21" i="4"/>
  <c r="C21" i="4"/>
  <c r="Q20" i="4"/>
  <c r="O20" i="4"/>
  <c r="M20" i="4"/>
  <c r="K20" i="4"/>
  <c r="I20" i="4"/>
  <c r="G20" i="4"/>
  <c r="C20" i="4"/>
  <c r="X18" i="4"/>
  <c r="X19" i="4"/>
  <c r="W18" i="4"/>
  <c r="W19" i="4"/>
  <c r="V18" i="4"/>
  <c r="V19" i="4"/>
  <c r="U18" i="4"/>
  <c r="U19" i="4"/>
  <c r="T18" i="4"/>
  <c r="T19" i="4"/>
  <c r="Q19" i="4"/>
  <c r="O19" i="4"/>
  <c r="M19" i="4"/>
  <c r="K19" i="4"/>
  <c r="I19" i="4"/>
  <c r="G19" i="4"/>
  <c r="C19" i="4"/>
  <c r="Q18" i="4"/>
  <c r="O18" i="4"/>
  <c r="M18" i="4"/>
  <c r="K18" i="4"/>
  <c r="I18" i="4"/>
  <c r="G18" i="4"/>
  <c r="C18" i="4"/>
  <c r="Q17" i="4"/>
  <c r="O17" i="4"/>
  <c r="M17" i="4"/>
  <c r="K17" i="4"/>
  <c r="I17" i="4"/>
  <c r="G17" i="4"/>
  <c r="C17" i="4"/>
  <c r="Q16" i="4"/>
  <c r="O16" i="4"/>
  <c r="M16" i="4"/>
  <c r="K16" i="4"/>
  <c r="I16" i="4"/>
  <c r="G16" i="4"/>
  <c r="C16" i="4"/>
  <c r="Q15" i="4"/>
  <c r="O15" i="4"/>
  <c r="M15" i="4"/>
  <c r="K15" i="4"/>
  <c r="I15" i="4"/>
  <c r="G15" i="4"/>
  <c r="C15" i="4"/>
  <c r="X13" i="4"/>
  <c r="X14" i="4"/>
  <c r="W13" i="4"/>
  <c r="W14" i="4"/>
  <c r="V13" i="4"/>
  <c r="V14" i="4"/>
  <c r="U13" i="4"/>
  <c r="U14" i="4"/>
  <c r="T13" i="4"/>
  <c r="T14" i="4"/>
  <c r="Q14" i="4"/>
  <c r="O14" i="4"/>
  <c r="M14" i="4"/>
  <c r="K14" i="4"/>
  <c r="I14" i="4"/>
  <c r="G14" i="4"/>
  <c r="C14" i="4"/>
  <c r="Q13" i="4"/>
  <c r="O13" i="4"/>
  <c r="M13" i="4"/>
  <c r="K13" i="4"/>
  <c r="I13" i="4"/>
  <c r="G13" i="4"/>
  <c r="C13" i="4"/>
  <c r="Q12" i="4"/>
  <c r="O12" i="4"/>
  <c r="M12" i="4"/>
  <c r="K12" i="4"/>
  <c r="I12" i="4"/>
  <c r="G12" i="4"/>
  <c r="E12" i="4"/>
  <c r="C12" i="4"/>
  <c r="Q11" i="4"/>
  <c r="O11" i="4"/>
  <c r="M11" i="4"/>
  <c r="K11" i="4"/>
  <c r="I11" i="4"/>
  <c r="G11" i="4"/>
  <c r="E11" i="4"/>
  <c r="C11" i="4"/>
  <c r="Q10" i="4"/>
  <c r="O10" i="4"/>
  <c r="M10" i="4"/>
  <c r="K10" i="4"/>
  <c r="I10" i="4"/>
  <c r="G10" i="4"/>
  <c r="E10" i="4"/>
  <c r="C10" i="4"/>
  <c r="X8" i="4"/>
  <c r="X9" i="4"/>
  <c r="W8" i="4"/>
  <c r="W9" i="4"/>
  <c r="V8" i="4"/>
  <c r="V9" i="4"/>
  <c r="U8" i="4"/>
  <c r="U9" i="4"/>
  <c r="T8" i="4"/>
  <c r="T9" i="4"/>
  <c r="Q9" i="4"/>
  <c r="O9" i="4"/>
  <c r="M9" i="4"/>
  <c r="K9" i="4"/>
  <c r="I9" i="4"/>
  <c r="G9" i="4"/>
  <c r="E3" i="4"/>
  <c r="E4" i="4"/>
  <c r="E5" i="4"/>
  <c r="E6" i="4"/>
  <c r="E7" i="4"/>
  <c r="E8" i="4"/>
  <c r="E9" i="4"/>
  <c r="C9" i="4"/>
  <c r="Q8" i="4"/>
  <c r="O8" i="4"/>
  <c r="M8" i="4"/>
  <c r="K8" i="4"/>
  <c r="I8" i="4"/>
  <c r="G8" i="4"/>
  <c r="C8" i="4"/>
  <c r="Q7" i="4"/>
  <c r="O7" i="4"/>
  <c r="M7" i="4"/>
  <c r="K7" i="4"/>
  <c r="I7" i="4"/>
  <c r="G7" i="4"/>
  <c r="C7" i="4"/>
  <c r="Q6" i="4"/>
  <c r="O6" i="4"/>
  <c r="M6" i="4"/>
  <c r="K6" i="4"/>
  <c r="I6" i="4"/>
  <c r="G6" i="4"/>
  <c r="C6" i="4"/>
  <c r="Q5" i="4"/>
  <c r="O5" i="4"/>
  <c r="M5" i="4"/>
  <c r="K5" i="4"/>
  <c r="I5" i="4"/>
  <c r="G5" i="4"/>
  <c r="C5" i="4"/>
  <c r="X3" i="4"/>
  <c r="X4" i="4"/>
  <c r="W3" i="4"/>
  <c r="W4" i="4"/>
  <c r="V3" i="4"/>
  <c r="V4" i="4"/>
  <c r="U3" i="4"/>
  <c r="U4" i="4"/>
  <c r="T3" i="4"/>
  <c r="T4" i="4"/>
  <c r="Q4" i="4"/>
  <c r="O4" i="4"/>
  <c r="M4" i="4"/>
  <c r="K4" i="4"/>
  <c r="I4" i="4"/>
  <c r="G4" i="4"/>
  <c r="C4" i="4"/>
  <c r="Q3" i="4"/>
  <c r="O3" i="4"/>
  <c r="M3" i="4"/>
  <c r="K3" i="4"/>
  <c r="I3" i="4"/>
  <c r="G3" i="4"/>
  <c r="C3" i="4"/>
  <c r="W42" i="2"/>
  <c r="O134" i="2"/>
  <c r="N134" i="2"/>
  <c r="M134" i="2"/>
  <c r="L134" i="2"/>
  <c r="O129" i="2"/>
  <c r="N129" i="2"/>
  <c r="M129" i="2"/>
  <c r="L129" i="2"/>
  <c r="O124" i="2"/>
  <c r="N124" i="2"/>
  <c r="M124" i="2"/>
  <c r="L124" i="2"/>
  <c r="O119" i="2"/>
  <c r="N119" i="2"/>
  <c r="M119" i="2"/>
  <c r="L119" i="2"/>
  <c r="O114" i="2"/>
  <c r="N114" i="2"/>
  <c r="M114" i="2"/>
  <c r="L114" i="2"/>
  <c r="O109" i="2"/>
  <c r="N109" i="2"/>
  <c r="M109" i="2"/>
  <c r="L109" i="2"/>
  <c r="O104" i="2"/>
  <c r="N104" i="2"/>
  <c r="M104" i="2"/>
  <c r="L104" i="2"/>
  <c r="O99" i="2"/>
  <c r="N99" i="2"/>
  <c r="M99" i="2"/>
  <c r="L99" i="2"/>
  <c r="O94" i="2"/>
  <c r="N94" i="2"/>
  <c r="M94" i="2"/>
  <c r="L94" i="2"/>
  <c r="O89" i="2"/>
  <c r="N89" i="2"/>
  <c r="M89" i="2"/>
  <c r="L89" i="2"/>
  <c r="O84" i="2"/>
  <c r="N84" i="2"/>
  <c r="M84" i="2"/>
  <c r="L84" i="2"/>
  <c r="O79" i="2"/>
  <c r="N79" i="2"/>
  <c r="M79" i="2"/>
  <c r="L79" i="2"/>
  <c r="O74" i="2"/>
  <c r="N74" i="2"/>
  <c r="M74" i="2"/>
  <c r="L74" i="2"/>
  <c r="O69" i="2"/>
  <c r="N69" i="2"/>
  <c r="M69" i="2"/>
  <c r="L69" i="2"/>
  <c r="O64" i="2"/>
  <c r="N64" i="2"/>
  <c r="M64" i="2"/>
  <c r="L64" i="2"/>
  <c r="W61" i="2"/>
  <c r="W60" i="2"/>
  <c r="W59" i="2"/>
  <c r="O59" i="2"/>
  <c r="N59" i="2"/>
  <c r="M59" i="2"/>
  <c r="L59" i="2"/>
  <c r="W58" i="2"/>
  <c r="W57" i="2"/>
  <c r="W56" i="2"/>
  <c r="W55" i="2"/>
  <c r="W54" i="2"/>
  <c r="O54" i="2"/>
  <c r="N54" i="2"/>
  <c r="M54" i="2"/>
  <c r="L54" i="2"/>
  <c r="W53" i="2"/>
  <c r="W52" i="2"/>
  <c r="W51" i="2"/>
  <c r="W50" i="2"/>
  <c r="W49" i="2"/>
  <c r="O49" i="2"/>
  <c r="N49" i="2"/>
  <c r="M49" i="2"/>
  <c r="L49" i="2"/>
  <c r="W48" i="2"/>
  <c r="W47" i="2"/>
  <c r="W46" i="2"/>
  <c r="W45" i="2"/>
  <c r="W44" i="2"/>
  <c r="O44" i="2"/>
  <c r="N44" i="2"/>
  <c r="M44" i="2"/>
  <c r="L44" i="2"/>
  <c r="W43" i="2"/>
  <c r="W41" i="2"/>
  <c r="W40" i="2"/>
  <c r="W39" i="2"/>
  <c r="O39" i="2"/>
  <c r="N39" i="2"/>
  <c r="M39" i="2"/>
  <c r="L39" i="2"/>
  <c r="W38" i="2"/>
  <c r="W37" i="2"/>
  <c r="W36" i="2"/>
  <c r="W35" i="2"/>
  <c r="O34" i="2"/>
  <c r="N34" i="2"/>
  <c r="M34" i="2"/>
  <c r="L34" i="2"/>
  <c r="W29" i="2"/>
  <c r="O29" i="2"/>
  <c r="N29" i="2"/>
  <c r="M29" i="2"/>
  <c r="L29" i="2"/>
  <c r="W28" i="2"/>
  <c r="W27" i="2"/>
  <c r="W26" i="2"/>
  <c r="W25" i="2"/>
  <c r="AO24" i="2"/>
  <c r="AM24" i="2"/>
  <c r="AK24" i="2"/>
  <c r="AI24" i="2"/>
  <c r="AG24" i="2"/>
  <c r="AE24" i="2"/>
  <c r="AC24" i="2"/>
  <c r="AA24" i="2"/>
  <c r="W24" i="2"/>
  <c r="O24" i="2"/>
  <c r="N24" i="2"/>
  <c r="M24" i="2"/>
  <c r="L24" i="2"/>
  <c r="AO23" i="2"/>
  <c r="AM23" i="2"/>
  <c r="AK23" i="2"/>
  <c r="AI23" i="2"/>
  <c r="AG23" i="2"/>
  <c r="AE23" i="2"/>
  <c r="AC23" i="2"/>
  <c r="AA23" i="2"/>
  <c r="W23" i="2"/>
  <c r="AO22" i="2"/>
  <c r="AM22" i="2"/>
  <c r="AK22" i="2"/>
  <c r="AI22" i="2"/>
  <c r="AG22" i="2"/>
  <c r="AE22" i="2"/>
  <c r="AC22" i="2"/>
  <c r="AA22" i="2"/>
  <c r="W22" i="2"/>
  <c r="AO21" i="2"/>
  <c r="AM21" i="2"/>
  <c r="AK21" i="2"/>
  <c r="AI21" i="2"/>
  <c r="AG21" i="2"/>
  <c r="AE21" i="2"/>
  <c r="AC21" i="2"/>
  <c r="AA21" i="2"/>
  <c r="W21" i="2"/>
  <c r="AO20" i="2"/>
  <c r="AM20" i="2"/>
  <c r="AK20" i="2"/>
  <c r="AI20" i="2"/>
  <c r="AG20" i="2"/>
  <c r="AE20" i="2"/>
  <c r="AC20" i="2"/>
  <c r="AA20" i="2"/>
  <c r="W20" i="2"/>
  <c r="AO19" i="2"/>
  <c r="AM19" i="2"/>
  <c r="AK19" i="2"/>
  <c r="AI19" i="2"/>
  <c r="AG19" i="2"/>
  <c r="AE19" i="2"/>
  <c r="AC19" i="2"/>
  <c r="AA19" i="2"/>
  <c r="W19" i="2"/>
  <c r="O19" i="2"/>
  <c r="N19" i="2"/>
  <c r="M19" i="2"/>
  <c r="L19" i="2"/>
  <c r="AO18" i="2"/>
  <c r="AM18" i="2"/>
  <c r="AK18" i="2"/>
  <c r="AI18" i="2"/>
  <c r="AG18" i="2"/>
  <c r="AE18" i="2"/>
  <c r="AC18" i="2"/>
  <c r="AA18" i="2"/>
  <c r="W18" i="2"/>
  <c r="AO17" i="2"/>
  <c r="AM17" i="2"/>
  <c r="AK17" i="2"/>
  <c r="AI17" i="2"/>
  <c r="AG17" i="2"/>
  <c r="AE17" i="2"/>
  <c r="AC17" i="2"/>
  <c r="AA17" i="2"/>
  <c r="W17" i="2"/>
  <c r="AO16" i="2"/>
  <c r="AM16" i="2"/>
  <c r="AK16" i="2"/>
  <c r="AI16" i="2"/>
  <c r="AG16" i="2"/>
  <c r="AE16" i="2"/>
  <c r="AC16" i="2"/>
  <c r="AA16" i="2"/>
  <c r="W16" i="2"/>
  <c r="AO15" i="2"/>
  <c r="AM15" i="2"/>
  <c r="AK15" i="2"/>
  <c r="AI15" i="2"/>
  <c r="AG15" i="2"/>
  <c r="AE15" i="2"/>
  <c r="AC15" i="2"/>
  <c r="AA15" i="2"/>
  <c r="W15" i="2"/>
  <c r="AO14" i="2"/>
  <c r="AM14" i="2"/>
  <c r="AK14" i="2"/>
  <c r="AI14" i="2"/>
  <c r="AG14" i="2"/>
  <c r="AE14" i="2"/>
  <c r="AC14" i="2"/>
  <c r="AA14" i="2"/>
  <c r="W14" i="2"/>
  <c r="O14" i="2"/>
  <c r="N14" i="2"/>
  <c r="M14" i="2"/>
  <c r="L14" i="2"/>
  <c r="AO13" i="2"/>
  <c r="AM13" i="2"/>
  <c r="AK13" i="2"/>
  <c r="AI13" i="2"/>
  <c r="AG13" i="2"/>
  <c r="AE13" i="2"/>
  <c r="AC13" i="2"/>
  <c r="AA13" i="2"/>
  <c r="W13" i="2"/>
  <c r="AO12" i="2"/>
  <c r="AM12" i="2"/>
  <c r="AK12" i="2"/>
  <c r="AI12" i="2"/>
  <c r="AG12" i="2"/>
  <c r="AE12" i="2"/>
  <c r="AC12" i="2"/>
  <c r="AA12" i="2"/>
  <c r="W12" i="2"/>
  <c r="AO11" i="2"/>
  <c r="AM11" i="2"/>
  <c r="AK11" i="2"/>
  <c r="AI11" i="2"/>
  <c r="AG11" i="2"/>
  <c r="AE11" i="2"/>
  <c r="AC11" i="2"/>
  <c r="AA11" i="2"/>
  <c r="W11" i="2"/>
  <c r="AO10" i="2"/>
  <c r="AM10" i="2"/>
  <c r="AK10" i="2"/>
  <c r="AI10" i="2"/>
  <c r="AG10" i="2"/>
  <c r="AE10" i="2"/>
  <c r="AC10" i="2"/>
  <c r="AA10" i="2"/>
  <c r="W10" i="2"/>
  <c r="AO9" i="2"/>
  <c r="AM9" i="2"/>
  <c r="AK9" i="2"/>
  <c r="AI9" i="2"/>
  <c r="AG9" i="2"/>
  <c r="AE9" i="2"/>
  <c r="AC9" i="2"/>
  <c r="AA9" i="2"/>
  <c r="W9" i="2"/>
  <c r="N9" i="2"/>
  <c r="M9" i="2"/>
  <c r="L9" i="2"/>
  <c r="AO8" i="2"/>
  <c r="AM8" i="2"/>
  <c r="AK8" i="2"/>
  <c r="AI8" i="2"/>
  <c r="AG8" i="2"/>
  <c r="AE8" i="2"/>
  <c r="AC8" i="2"/>
  <c r="AA8" i="2"/>
  <c r="W8" i="2"/>
  <c r="AO7" i="2"/>
  <c r="AM7" i="2"/>
  <c r="AK7" i="2"/>
  <c r="AI7" i="2"/>
  <c r="AG7" i="2"/>
  <c r="AE7" i="2"/>
  <c r="AC7" i="2"/>
  <c r="AA7" i="2"/>
  <c r="W7" i="2"/>
  <c r="AO6" i="2"/>
  <c r="AM6" i="2"/>
  <c r="AK6" i="2"/>
  <c r="AI6" i="2"/>
  <c r="AG6" i="2"/>
  <c r="AE6" i="2"/>
  <c r="AC6" i="2"/>
  <c r="AA6" i="2"/>
  <c r="W6" i="2"/>
  <c r="AO5" i="2"/>
  <c r="AM5" i="2"/>
  <c r="AK5" i="2"/>
  <c r="AI5" i="2"/>
  <c r="AG5" i="2"/>
  <c r="AE5" i="2"/>
  <c r="AC5" i="2"/>
  <c r="AA5" i="2"/>
  <c r="W5" i="2"/>
  <c r="AO4" i="2"/>
  <c r="AM4" i="2"/>
  <c r="AK4" i="2"/>
  <c r="AI4" i="2"/>
  <c r="AG4" i="2"/>
  <c r="AE4" i="2"/>
  <c r="AC4" i="2"/>
  <c r="AA4" i="2"/>
  <c r="W4" i="2"/>
  <c r="O4" i="2"/>
  <c r="N4" i="2"/>
  <c r="M4" i="2"/>
  <c r="L4" i="2"/>
  <c r="AO3" i="2"/>
  <c r="AM3" i="2"/>
  <c r="AK3" i="2"/>
  <c r="AI3" i="2"/>
  <c r="AG3" i="2"/>
  <c r="AE3" i="2"/>
  <c r="AC3" i="2"/>
  <c r="AA3" i="2"/>
  <c r="W3" i="2"/>
  <c r="AO2" i="2"/>
  <c r="AM2" i="2"/>
  <c r="AK2" i="2"/>
  <c r="AI2" i="2"/>
  <c r="AG2" i="2"/>
  <c r="AE2" i="2"/>
  <c r="AC2" i="2"/>
  <c r="AA2" i="2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U43" i="1"/>
  <c r="S43" i="1"/>
  <c r="Q43" i="1"/>
  <c r="O43" i="1"/>
  <c r="M43" i="1"/>
  <c r="K43" i="1"/>
  <c r="I43" i="1"/>
  <c r="G43" i="1"/>
  <c r="E43" i="1"/>
  <c r="C43" i="1"/>
  <c r="U42" i="1"/>
  <c r="S42" i="1"/>
  <c r="Q42" i="1"/>
  <c r="O42" i="1"/>
  <c r="M42" i="1"/>
  <c r="K42" i="1"/>
  <c r="I42" i="1"/>
  <c r="G42" i="1"/>
  <c r="E42" i="1"/>
  <c r="C42" i="1"/>
  <c r="U41" i="1"/>
  <c r="S41" i="1"/>
  <c r="Q41" i="1"/>
  <c r="O41" i="1"/>
  <c r="M41" i="1"/>
  <c r="K41" i="1"/>
  <c r="I41" i="1"/>
  <c r="G41" i="1"/>
  <c r="E41" i="1"/>
  <c r="C41" i="1"/>
  <c r="U40" i="1"/>
  <c r="S40" i="1"/>
  <c r="Q40" i="1"/>
  <c r="O40" i="1"/>
  <c r="M40" i="1"/>
  <c r="K40" i="1"/>
  <c r="I40" i="1"/>
  <c r="G40" i="1"/>
  <c r="E40" i="1"/>
  <c r="C40" i="1"/>
  <c r="U39" i="1"/>
  <c r="S39" i="1"/>
  <c r="Q39" i="1"/>
  <c r="O39" i="1"/>
  <c r="M39" i="1"/>
  <c r="K39" i="1"/>
  <c r="I39" i="1"/>
  <c r="G39" i="1"/>
  <c r="E39" i="1"/>
  <c r="C39" i="1"/>
  <c r="U38" i="1"/>
  <c r="S38" i="1"/>
  <c r="Q38" i="1"/>
  <c r="O38" i="1"/>
  <c r="M38" i="1"/>
  <c r="K38" i="1"/>
  <c r="I38" i="1"/>
  <c r="G38" i="1"/>
  <c r="E38" i="1"/>
  <c r="C38" i="1"/>
  <c r="U37" i="1"/>
  <c r="S37" i="1"/>
  <c r="Q37" i="1"/>
  <c r="O37" i="1"/>
  <c r="M37" i="1"/>
  <c r="K37" i="1"/>
  <c r="I37" i="1"/>
  <c r="G37" i="1"/>
  <c r="E37" i="1"/>
  <c r="C37" i="1"/>
  <c r="U36" i="1"/>
  <c r="S36" i="1"/>
  <c r="Q36" i="1"/>
  <c r="O36" i="1"/>
  <c r="M36" i="1"/>
  <c r="K36" i="1"/>
  <c r="I36" i="1"/>
  <c r="G36" i="1"/>
  <c r="E36" i="1"/>
  <c r="C36" i="1"/>
  <c r="U35" i="1"/>
  <c r="S35" i="1"/>
  <c r="Q35" i="1"/>
  <c r="O35" i="1"/>
  <c r="M35" i="1"/>
  <c r="K35" i="1"/>
  <c r="I35" i="1"/>
  <c r="G35" i="1"/>
  <c r="E35" i="1"/>
  <c r="C35" i="1"/>
  <c r="U34" i="1"/>
  <c r="S34" i="1"/>
  <c r="Q34" i="1"/>
  <c r="O34" i="1"/>
  <c r="M34" i="1"/>
  <c r="K34" i="1"/>
  <c r="I34" i="1"/>
  <c r="G34" i="1"/>
  <c r="E34" i="1"/>
  <c r="C34" i="1"/>
  <c r="U33" i="1"/>
  <c r="S33" i="1"/>
  <c r="Q33" i="1"/>
  <c r="O33" i="1"/>
  <c r="M33" i="1"/>
  <c r="K33" i="1"/>
  <c r="I33" i="1"/>
  <c r="G33" i="1"/>
  <c r="E33" i="1"/>
  <c r="C33" i="1"/>
  <c r="U32" i="1"/>
  <c r="S32" i="1"/>
  <c r="Q32" i="1"/>
  <c r="O32" i="1"/>
  <c r="M32" i="1"/>
  <c r="K32" i="1"/>
  <c r="I32" i="1"/>
  <c r="G32" i="1"/>
  <c r="E32" i="1"/>
  <c r="C32" i="1"/>
  <c r="U31" i="1"/>
  <c r="S31" i="1"/>
  <c r="Q31" i="1"/>
  <c r="O31" i="1"/>
  <c r="M31" i="1"/>
  <c r="K31" i="1"/>
  <c r="I31" i="1"/>
  <c r="G31" i="1"/>
  <c r="E31" i="1"/>
  <c r="C31" i="1"/>
  <c r="U30" i="1"/>
  <c r="S30" i="1"/>
  <c r="Q30" i="1"/>
  <c r="O30" i="1"/>
  <c r="M30" i="1"/>
  <c r="K30" i="1"/>
  <c r="I30" i="1"/>
  <c r="G30" i="1"/>
  <c r="E30" i="1"/>
  <c r="C30" i="1"/>
  <c r="U29" i="1"/>
  <c r="S29" i="1"/>
  <c r="Q29" i="1"/>
  <c r="O29" i="1"/>
  <c r="M29" i="1"/>
  <c r="K29" i="1"/>
  <c r="I29" i="1"/>
  <c r="G29" i="1"/>
  <c r="E29" i="1"/>
  <c r="C29" i="1"/>
  <c r="U28" i="1"/>
  <c r="S28" i="1"/>
  <c r="Q28" i="1"/>
  <c r="O28" i="1"/>
  <c r="M28" i="1"/>
  <c r="K28" i="1"/>
  <c r="I28" i="1"/>
  <c r="G28" i="1"/>
  <c r="E28" i="1"/>
  <c r="C28" i="1"/>
  <c r="U27" i="1"/>
  <c r="S27" i="1"/>
  <c r="Q27" i="1"/>
  <c r="O27" i="1"/>
  <c r="M27" i="1"/>
  <c r="K27" i="1"/>
  <c r="I27" i="1"/>
  <c r="G27" i="1"/>
  <c r="E27" i="1"/>
  <c r="C27" i="1"/>
  <c r="U26" i="1"/>
  <c r="S26" i="1"/>
  <c r="Q26" i="1"/>
  <c r="O26" i="1"/>
  <c r="M26" i="1"/>
  <c r="K26" i="1"/>
  <c r="I26" i="1"/>
  <c r="G26" i="1"/>
  <c r="E26" i="1"/>
  <c r="C26" i="1"/>
  <c r="U25" i="1"/>
  <c r="S25" i="1"/>
  <c r="Q25" i="1"/>
  <c r="O25" i="1"/>
  <c r="M25" i="1"/>
  <c r="K25" i="1"/>
  <c r="I25" i="1"/>
  <c r="G25" i="1"/>
  <c r="E25" i="1"/>
  <c r="C25" i="1"/>
  <c r="U24" i="1"/>
  <c r="S24" i="1"/>
  <c r="Q24" i="1"/>
  <c r="O24" i="1"/>
  <c r="M24" i="1"/>
  <c r="K24" i="1"/>
  <c r="I24" i="1"/>
  <c r="G24" i="1"/>
  <c r="E24" i="1"/>
  <c r="C24" i="1"/>
  <c r="U23" i="1"/>
  <c r="S23" i="1"/>
  <c r="Q23" i="1"/>
  <c r="O23" i="1"/>
  <c r="M23" i="1"/>
  <c r="K23" i="1"/>
  <c r="I23" i="1"/>
  <c r="G23" i="1"/>
  <c r="E23" i="1"/>
  <c r="C23" i="1"/>
  <c r="U22" i="1"/>
  <c r="S22" i="1"/>
  <c r="Q22" i="1"/>
  <c r="O22" i="1"/>
  <c r="M22" i="1"/>
  <c r="K22" i="1"/>
  <c r="I22" i="1"/>
  <c r="G22" i="1"/>
  <c r="E22" i="1"/>
  <c r="C22" i="1"/>
  <c r="U21" i="1"/>
  <c r="S21" i="1"/>
  <c r="Q21" i="1"/>
  <c r="O21" i="1"/>
  <c r="M21" i="1"/>
  <c r="K21" i="1"/>
  <c r="I21" i="1"/>
  <c r="G21" i="1"/>
  <c r="E21" i="1"/>
  <c r="C21" i="1"/>
  <c r="U20" i="1"/>
  <c r="S20" i="1"/>
  <c r="Q20" i="1"/>
  <c r="O20" i="1"/>
  <c r="M20" i="1"/>
  <c r="K20" i="1"/>
  <c r="I20" i="1"/>
  <c r="G20" i="1"/>
  <c r="E20" i="1"/>
  <c r="C20" i="1"/>
  <c r="U19" i="1"/>
  <c r="S19" i="1"/>
  <c r="Q19" i="1"/>
  <c r="O19" i="1"/>
  <c r="M19" i="1"/>
  <c r="K19" i="1"/>
  <c r="I19" i="1"/>
  <c r="G19" i="1"/>
  <c r="E19" i="1"/>
  <c r="C19" i="1"/>
  <c r="U18" i="1"/>
  <c r="S18" i="1"/>
  <c r="Q18" i="1"/>
  <c r="O18" i="1"/>
  <c r="M18" i="1"/>
  <c r="K18" i="1"/>
  <c r="I18" i="1"/>
  <c r="G18" i="1"/>
  <c r="E18" i="1"/>
  <c r="C18" i="1"/>
  <c r="U17" i="1"/>
  <c r="S17" i="1"/>
  <c r="Q17" i="1"/>
  <c r="O17" i="1"/>
  <c r="M17" i="1"/>
  <c r="K17" i="1"/>
  <c r="I17" i="1"/>
  <c r="G17" i="1"/>
  <c r="E17" i="1"/>
  <c r="C17" i="1"/>
  <c r="U16" i="1"/>
  <c r="S16" i="1"/>
  <c r="Q16" i="1"/>
  <c r="O16" i="1"/>
  <c r="M16" i="1"/>
  <c r="K16" i="1"/>
  <c r="I16" i="1"/>
  <c r="G16" i="1"/>
  <c r="E16" i="1"/>
  <c r="C16" i="1"/>
  <c r="U15" i="1"/>
  <c r="S15" i="1"/>
  <c r="Q15" i="1"/>
  <c r="O15" i="1"/>
  <c r="M15" i="1"/>
  <c r="K15" i="1"/>
  <c r="I15" i="1"/>
  <c r="G15" i="1"/>
  <c r="E15" i="1"/>
  <c r="C15" i="1"/>
  <c r="U14" i="1"/>
  <c r="S14" i="1"/>
  <c r="Q14" i="1"/>
  <c r="O14" i="1"/>
  <c r="M14" i="1"/>
  <c r="K14" i="1"/>
  <c r="I14" i="1"/>
  <c r="G14" i="1"/>
  <c r="E14" i="1"/>
  <c r="C14" i="1"/>
  <c r="U13" i="1"/>
  <c r="S13" i="1"/>
  <c r="Q13" i="1"/>
  <c r="O13" i="1"/>
  <c r="M13" i="1"/>
  <c r="K13" i="1"/>
  <c r="I13" i="1"/>
  <c r="G13" i="1"/>
  <c r="E13" i="1"/>
  <c r="C13" i="1"/>
  <c r="U12" i="1"/>
  <c r="S12" i="1"/>
  <c r="Q12" i="1"/>
  <c r="O12" i="1"/>
  <c r="M12" i="1"/>
  <c r="K12" i="1"/>
  <c r="I12" i="1"/>
  <c r="G12" i="1"/>
  <c r="E12" i="1"/>
  <c r="C12" i="1"/>
  <c r="U11" i="1"/>
  <c r="S11" i="1"/>
  <c r="Q11" i="1"/>
  <c r="O11" i="1"/>
  <c r="M11" i="1"/>
  <c r="K11" i="1"/>
  <c r="I11" i="1"/>
  <c r="G11" i="1"/>
  <c r="E11" i="1"/>
  <c r="C11" i="1"/>
  <c r="U10" i="1"/>
  <c r="S10" i="1"/>
  <c r="Q10" i="1"/>
  <c r="O10" i="1"/>
  <c r="M10" i="1"/>
  <c r="K10" i="1"/>
  <c r="I10" i="1"/>
  <c r="G10" i="1"/>
  <c r="E10" i="1"/>
  <c r="C10" i="1"/>
  <c r="U9" i="1"/>
  <c r="S9" i="1"/>
  <c r="Q9" i="1"/>
  <c r="O9" i="1"/>
  <c r="M9" i="1"/>
  <c r="K9" i="1"/>
  <c r="I9" i="1"/>
  <c r="G9" i="1"/>
  <c r="E9" i="1"/>
  <c r="C9" i="1"/>
  <c r="U8" i="1"/>
  <c r="S8" i="1"/>
  <c r="Q8" i="1"/>
  <c r="O8" i="1"/>
  <c r="M8" i="1"/>
  <c r="K8" i="1"/>
  <c r="I8" i="1"/>
  <c r="G8" i="1"/>
  <c r="E8" i="1"/>
  <c r="C8" i="1"/>
  <c r="U7" i="1"/>
  <c r="S7" i="1"/>
  <c r="Q7" i="1"/>
  <c r="O7" i="1"/>
  <c r="M7" i="1"/>
  <c r="K7" i="1"/>
  <c r="I7" i="1"/>
  <c r="G7" i="1"/>
  <c r="E7" i="1"/>
  <c r="C7" i="1"/>
  <c r="U6" i="1"/>
  <c r="S6" i="1"/>
  <c r="Q6" i="1"/>
  <c r="O6" i="1"/>
  <c r="M6" i="1"/>
  <c r="K6" i="1"/>
  <c r="I6" i="1"/>
  <c r="G6" i="1"/>
  <c r="E6" i="1"/>
  <c r="C6" i="1"/>
  <c r="U5" i="1"/>
  <c r="S5" i="1"/>
  <c r="Q5" i="1"/>
  <c r="O5" i="1"/>
  <c r="M5" i="1"/>
  <c r="K5" i="1"/>
  <c r="I5" i="1"/>
  <c r="G5" i="1"/>
  <c r="E5" i="1"/>
  <c r="C5" i="1"/>
  <c r="U4" i="1"/>
  <c r="S4" i="1"/>
  <c r="Q4" i="1"/>
  <c r="O4" i="1"/>
  <c r="M4" i="1"/>
  <c r="K4" i="1"/>
  <c r="I4" i="1"/>
  <c r="G4" i="1"/>
  <c r="E4" i="1"/>
  <c r="C4" i="1"/>
  <c r="U3" i="1"/>
  <c r="S3" i="1"/>
  <c r="Q3" i="1"/>
  <c r="O3" i="1"/>
  <c r="M3" i="1"/>
  <c r="K3" i="1"/>
  <c r="I3" i="1"/>
  <c r="G3" i="1"/>
  <c r="E3" i="1"/>
  <c r="C3" i="1"/>
  <c r="U2" i="1"/>
  <c r="S2" i="1"/>
  <c r="Q2" i="1"/>
  <c r="O2" i="1"/>
  <c r="M2" i="1"/>
  <c r="K2" i="1"/>
  <c r="I2" i="1"/>
  <c r="G2" i="1"/>
  <c r="E2" i="1"/>
  <c r="C2" i="1"/>
</calcChain>
</file>

<file path=xl/sharedStrings.xml><?xml version="1.0" encoding="utf-8"?>
<sst xmlns="http://schemas.openxmlformats.org/spreadsheetml/2006/main" count="2769" uniqueCount="429">
  <si>
    <t>2018-MAR</t>
  </si>
  <si>
    <t>TOTAL</t>
  </si>
  <si>
    <t>TOTAL 1990-2014</t>
  </si>
  <si>
    <t>PMDB</t>
  </si>
  <si>
    <t>DEM</t>
  </si>
  <si>
    <t>PT</t>
  </si>
  <si>
    <t>PSDB</t>
  </si>
  <si>
    <t>PP - PDS</t>
  </si>
  <si>
    <t>PDT</t>
  </si>
  <si>
    <t>PTB</t>
  </si>
  <si>
    <t>PSB</t>
  </si>
  <si>
    <t>PP - PPR - PPB</t>
  </si>
  <si>
    <t>PP</t>
  </si>
  <si>
    <t>PR</t>
  </si>
  <si>
    <t>PCdoB</t>
  </si>
  <si>
    <t>PR - PL</t>
  </si>
  <si>
    <t>PPS</t>
  </si>
  <si>
    <t>PSD</t>
  </si>
  <si>
    <t>PSC</t>
  </si>
  <si>
    <t>PV</t>
  </si>
  <si>
    <t>PRB</t>
  </si>
  <si>
    <t>PRN</t>
  </si>
  <si>
    <t>PDC</t>
  </si>
  <si>
    <t>PTR</t>
  </si>
  <si>
    <t>PMN</t>
  </si>
  <si>
    <t>SD</t>
  </si>
  <si>
    <t>PSOL</t>
  </si>
  <si>
    <t>PST</t>
  </si>
  <si>
    <t>PHS</t>
  </si>
  <si>
    <t>PROS</t>
  </si>
  <si>
    <t>PODE</t>
  </si>
  <si>
    <t>PR - PRONA</t>
  </si>
  <si>
    <t>AVANTE</t>
  </si>
  <si>
    <t>PTC</t>
  </si>
  <si>
    <t>PSL</t>
  </si>
  <si>
    <t>PRP</t>
  </si>
  <si>
    <t>PAN</t>
  </si>
  <si>
    <t>PMB</t>
  </si>
  <si>
    <t>PCB</t>
  </si>
  <si>
    <t>PRTB</t>
  </si>
  <si>
    <t>PEN</t>
  </si>
  <si>
    <t>PRS</t>
  </si>
  <si>
    <t>PSDC</t>
  </si>
  <si>
    <t>REDE</t>
  </si>
  <si>
    <t>S.PART.</t>
  </si>
  <si>
    <t>TOCANTINS</t>
  </si>
  <si>
    <t>REELEIÇÕES TOCANTINS</t>
  </si>
  <si>
    <t>TOTAL DE ELEITOS</t>
  </si>
  <si>
    <t>PARTIDOS</t>
  </si>
  <si>
    <t>SENADOR (A)</t>
  </si>
  <si>
    <t>JOAO DA ROCHA</t>
  </si>
  <si>
    <t>PFL</t>
  </si>
  <si>
    <t>TO</t>
  </si>
  <si>
    <t>CARLOS PATROCINIO</t>
  </si>
  <si>
    <t>SP</t>
  </si>
  <si>
    <t>MOISES ABRAO</t>
  </si>
  <si>
    <t>SE</t>
  </si>
  <si>
    <t>LEOMAR QUINTANILHA</t>
  </si>
  <si>
    <t>PPR</t>
  </si>
  <si>
    <t>REELEIÇÕES SAO PAULO</t>
  </si>
  <si>
    <t>SC</t>
  </si>
  <si>
    <t>EDUARDO SIQUEIRA CAMPOS</t>
  </si>
  <si>
    <t>RS</t>
  </si>
  <si>
    <t>JOAO RIBEIRO</t>
  </si>
  <si>
    <t>PL</t>
  </si>
  <si>
    <t>RR</t>
  </si>
  <si>
    <t>KATIA ABREU</t>
  </si>
  <si>
    <t>RO</t>
  </si>
  <si>
    <t>MARCELO MIRANDA</t>
  </si>
  <si>
    <t>RN</t>
  </si>
  <si>
    <t>SÃO PAULO</t>
  </si>
  <si>
    <t>REELEIÇÕES SERGIPE</t>
  </si>
  <si>
    <t>RJ</t>
  </si>
  <si>
    <t>PA</t>
  </si>
  <si>
    <t>FHC</t>
  </si>
  <si>
    <t>PI</t>
  </si>
  <si>
    <t>MARIO COVAS</t>
  </si>
  <si>
    <t>PE</t>
  </si>
  <si>
    <t>EDUARDO SUPLICY</t>
  </si>
  <si>
    <t>PB</t>
  </si>
  <si>
    <t>JOSE SERRA</t>
  </si>
  <si>
    <t>REELEIÇÕES SANTA CATARINA</t>
  </si>
  <si>
    <t>ROMEU TUMA</t>
  </si>
  <si>
    <t>MT</t>
  </si>
  <si>
    <t>ALOIZIO MERCADANTE</t>
  </si>
  <si>
    <t>MS</t>
  </si>
  <si>
    <t>PPB</t>
  </si>
  <si>
    <t>MARTA SUPLICY</t>
  </si>
  <si>
    <t>MG</t>
  </si>
  <si>
    <t>ALOYSIO NUNES</t>
  </si>
  <si>
    <t>MA</t>
  </si>
  <si>
    <t>PDS</t>
  </si>
  <si>
    <t>SERGIPE</t>
  </si>
  <si>
    <t>REELEIÇÕES RIO GRANDE DO SUL</t>
  </si>
  <si>
    <t>GO</t>
  </si>
  <si>
    <t>ES</t>
  </si>
  <si>
    <t>ALBANO FRANCO</t>
  </si>
  <si>
    <t>DF</t>
  </si>
  <si>
    <t>LOURIVAL BATISTA</t>
  </si>
  <si>
    <t>CE</t>
  </si>
  <si>
    <t>FRANCISCO ROLLEMBERG</t>
  </si>
  <si>
    <t>BA</t>
  </si>
  <si>
    <t>VALADARES</t>
  </si>
  <si>
    <t>REELEIÇÕES RORAIMA</t>
  </si>
  <si>
    <t>AP</t>
  </si>
  <si>
    <t>JOSE EDUARDO DUTRA</t>
  </si>
  <si>
    <t>AM</t>
  </si>
  <si>
    <t>MARIA DO CARMO</t>
  </si>
  <si>
    <t>AL</t>
  </si>
  <si>
    <t>ALMEIDA LIMA</t>
  </si>
  <si>
    <t>AC</t>
  </si>
  <si>
    <t>EDUARDO AMORIM</t>
  </si>
  <si>
    <t>SANTA CATARINA</t>
  </si>
  <si>
    <t>REELEIÇÕES RONDONIA</t>
  </si>
  <si>
    <t>ESPERIDIAO AMIN</t>
  </si>
  <si>
    <t>DIRCEU CARNEIRO</t>
  </si>
  <si>
    <t>NELSON WEDEKIN</t>
  </si>
  <si>
    <t>VILSON KLEINUBING</t>
  </si>
  <si>
    <t>REELEIÇÕES RIO GRANDE DO NORTE</t>
  </si>
  <si>
    <t>CASILDO MALDANER</t>
  </si>
  <si>
    <t>JORGE BORNHAUSEN</t>
  </si>
  <si>
    <t>LEONEL PAVAN</t>
  </si>
  <si>
    <t>IDELI SALVATI</t>
  </si>
  <si>
    <t>RAIMUNDO COLOMBO</t>
  </si>
  <si>
    <t>REELEIÇÕES RIO DE JANEIRO</t>
  </si>
  <si>
    <t>PAULO BAUER</t>
  </si>
  <si>
    <t>LUIZ HENRIQUE DA SILVEIRA</t>
  </si>
  <si>
    <t>DARIO BERGER</t>
  </si>
  <si>
    <t>RIO GRANDE DO SUL</t>
  </si>
  <si>
    <t>REELEIÇÕES PARANA</t>
  </si>
  <si>
    <t>PEDRO SIMON</t>
  </si>
  <si>
    <t>JOSE FOGAÇA</t>
  </si>
  <si>
    <t>JOSE PAULO BISOL</t>
  </si>
  <si>
    <t>EMILIA FERNANDES</t>
  </si>
  <si>
    <t>PAULO PAIM</t>
  </si>
  <si>
    <t>REELEIÇÕES PIAUI</t>
  </si>
  <si>
    <t>SERGIO ZAMBIASI</t>
  </si>
  <si>
    <t>ANA AMELIA</t>
  </si>
  <si>
    <t>LASIER MARTINS</t>
  </si>
  <si>
    <t>RORAIMA</t>
  </si>
  <si>
    <t>REELEIÇÕES PERNAMBUCO</t>
  </si>
  <si>
    <t>CESAR DIAS</t>
  </si>
  <si>
    <t>HELIO CAMPOS</t>
  </si>
  <si>
    <t>MARLUCE PINTO</t>
  </si>
  <si>
    <t>ROMERO JUCA</t>
  </si>
  <si>
    <t>MOZARILDO CAVALCANTI</t>
  </si>
  <si>
    <t>REELEIÇÕES PARAIBA</t>
  </si>
  <si>
    <t>AUGUSTO BOTELHO</t>
  </si>
  <si>
    <t>ANGELA PORTELA</t>
  </si>
  <si>
    <t>TELMARIO MOTA</t>
  </si>
  <si>
    <t>RONDONIA</t>
  </si>
  <si>
    <t>REELEIÇÕES PARA</t>
  </si>
  <si>
    <t>OLAVO PIRES</t>
  </si>
  <si>
    <t>RONALDO ARAGAO</t>
  </si>
  <si>
    <t>ODACIR SOARES</t>
  </si>
  <si>
    <t>ERNANDES AMORIM</t>
  </si>
  <si>
    <t>JOSE BIANCO</t>
  </si>
  <si>
    <t>REELEIÇÕES MATO GROSSO</t>
  </si>
  <si>
    <t>AMIR LANDO</t>
  </si>
  <si>
    <t>FATIMA CLEIDE</t>
  </si>
  <si>
    <t>VALDIR RAUPP</t>
  </si>
  <si>
    <t>EXPEDITO JUNIOR</t>
  </si>
  <si>
    <t>IVO CASSOL</t>
  </si>
  <si>
    <t>REELEIÇÕES MATO GROSSO DO SUL</t>
  </si>
  <si>
    <t>ACIR GUACACZ</t>
  </si>
  <si>
    <t>RIO GRANDE DO NORTE</t>
  </si>
  <si>
    <t>JOSE AGRIPINO MAIA</t>
  </si>
  <si>
    <t>LAVOISIER MAIA</t>
  </si>
  <si>
    <t>REELEIÇÕES MINAS GERAIS</t>
  </si>
  <si>
    <t>GARIBALDI ALVES FILHO</t>
  </si>
  <si>
    <t>GERALDO MELO</t>
  </si>
  <si>
    <t>FERNANDO BEZERRA</t>
  </si>
  <si>
    <t>ROSALBA CIARLINI</t>
  </si>
  <si>
    <t>FATIMA BEZERRA</t>
  </si>
  <si>
    <t>REELEIÇÕES MARANHAO</t>
  </si>
  <si>
    <t>RIO DE JANEIRO</t>
  </si>
  <si>
    <t>AFONSO ARINOS</t>
  </si>
  <si>
    <t>NELSON CARNEIRO</t>
  </si>
  <si>
    <t>DARCY RIBEIRO</t>
  </si>
  <si>
    <t>REELEIÇÕES GOIAS</t>
  </si>
  <si>
    <t>ARTUR DA TAVOLA</t>
  </si>
  <si>
    <t>BENEDITA DA SILVA</t>
  </si>
  <si>
    <t>SATURNINO BRAGA</t>
  </si>
  <si>
    <t>MARCELO CRIVELA</t>
  </si>
  <si>
    <t>SERGIO CABRAL</t>
  </si>
  <si>
    <t>REELEIÇÕES ESPIRITO SANTO</t>
  </si>
  <si>
    <t>FRANCISCO DORNELLES</t>
  </si>
  <si>
    <t>LINDBERG FARIAS</t>
  </si>
  <si>
    <t>ROMARIO</t>
  </si>
  <si>
    <t>PARANA</t>
  </si>
  <si>
    <t>REELEIÇÕES DISTRITO FEDERAL</t>
  </si>
  <si>
    <t>ANDRADE VIEIRA</t>
  </si>
  <si>
    <t>AFONSO CARGO</t>
  </si>
  <si>
    <t>JOSE RICHA</t>
  </si>
  <si>
    <t>ROBERTO REQUIAO</t>
  </si>
  <si>
    <t>OSMAR DIAS</t>
  </si>
  <si>
    <t>REELEIÇÕES CEARA</t>
  </si>
  <si>
    <t>ALVARO DIAS</t>
  </si>
  <si>
    <t>FLAVIO ARNS</t>
  </si>
  <si>
    <t>GLEISI HOFFMAN</t>
  </si>
  <si>
    <t>PIAUI</t>
  </si>
  <si>
    <t>REELEIÇÕES BAHIA</t>
  </si>
  <si>
    <t>LUCIDIO PORTELA</t>
  </si>
  <si>
    <t>HUGO NAPOLEAO</t>
  </si>
  <si>
    <t>HAGAS RODRIGUES</t>
  </si>
  <si>
    <t>FREITAS NETO</t>
  </si>
  <si>
    <t>ALBERTO SILVA</t>
  </si>
  <si>
    <t>REELEIÇÕES AMAPA</t>
  </si>
  <si>
    <t>HERACLITO FORTES</t>
  </si>
  <si>
    <t>MAO SANTA</t>
  </si>
  <si>
    <t>JOSE VICENTE CLAUDINO</t>
  </si>
  <si>
    <t>CIRO NOGUEIRA</t>
  </si>
  <si>
    <t>WELLINGTON DIAS</t>
  </si>
  <si>
    <t>REELEIÇÕES AMAZONAS</t>
  </si>
  <si>
    <t>ELMANO FERRER</t>
  </si>
  <si>
    <t>PERNAMBUCO</t>
  </si>
  <si>
    <t>MARCO MACIEL</t>
  </si>
  <si>
    <t>ANTONIO FARIAS</t>
  </si>
  <si>
    <t>REELEIÇÕES ALAGOAS</t>
  </si>
  <si>
    <t>MANSUETO DE LAVOR</t>
  </si>
  <si>
    <t>CARLOS WILSON</t>
  </si>
  <si>
    <t>ROBERTO FREIRE</t>
  </si>
  <si>
    <t>JOSE JORGE</t>
  </si>
  <si>
    <t>SERGIO GUERRA</t>
  </si>
  <si>
    <t>REELEIÇÕES ACRE</t>
  </si>
  <si>
    <t>JARBAS VASCONCELOS</t>
  </si>
  <si>
    <t>HUMBERTO COSTA</t>
  </si>
  <si>
    <t>ARMANDO MONTEIRO</t>
  </si>
  <si>
    <t>FERNANDO BEZERRA COELHO</t>
  </si>
  <si>
    <t>PARAIBA</t>
  </si>
  <si>
    <t>ANTONIO MARIZ</t>
  </si>
  <si>
    <t>HUMBERTO LUCENA</t>
  </si>
  <si>
    <t>RAIMUNDO LIRA</t>
  </si>
  <si>
    <t>RONALDO CUNHA LIMA</t>
  </si>
  <si>
    <t>NEY SUASSUNA</t>
  </si>
  <si>
    <t>EFRAIM MORAIS</t>
  </si>
  <si>
    <t>JOSE MARANHAO</t>
  </si>
  <si>
    <t>CICERO LUCENA</t>
  </si>
  <si>
    <t>VITALZINHO</t>
  </si>
  <si>
    <t>WILSON SANTIAGO</t>
  </si>
  <si>
    <t>PARA</t>
  </si>
  <si>
    <t>COUTINHO JORGE</t>
  </si>
  <si>
    <t>JARBAS PASSARINHO</t>
  </si>
  <si>
    <t>ALMIR GABRILE</t>
  </si>
  <si>
    <t>JADER BARBALHO</t>
  </si>
  <si>
    <t>ADEMIR ANDRADE</t>
  </si>
  <si>
    <t>LUIZ OTAVIO CAMPOS</t>
  </si>
  <si>
    <t>DUCIOMAR COSTA</t>
  </si>
  <si>
    <t>ANA JULIA CAREPA</t>
  </si>
  <si>
    <t>MARIO COUTO</t>
  </si>
  <si>
    <t>FLEXA RIBEIRO</t>
  </si>
  <si>
    <t>PAULO ROCHA</t>
  </si>
  <si>
    <t>MATO GROSSO</t>
  </si>
  <si>
    <t>JULIO CAMPOS</t>
  </si>
  <si>
    <t>LOUREMBERG ROCHA</t>
  </si>
  <si>
    <t>MARCIO LACERDA</t>
  </si>
  <si>
    <t>JONAS PINHEIRO</t>
  </si>
  <si>
    <t>CARLOS BEZERRA</t>
  </si>
  <si>
    <t>JOSE ALENCAR</t>
  </si>
  <si>
    <t>SERYS SIHESSARENKO</t>
  </si>
  <si>
    <t>JAYME CAMPOS</t>
  </si>
  <si>
    <t>PEDRO TAQUES</t>
  </si>
  <si>
    <t>BLAIRO MAGGI</t>
  </si>
  <si>
    <t>WELLINGTON FAGUNDES</t>
  </si>
  <si>
    <t>MATO GROSSO DO SUL</t>
  </si>
  <si>
    <t>LEVY DIAS</t>
  </si>
  <si>
    <t>SALDANHA DERZI</t>
  </si>
  <si>
    <t>WILSON MARTINS</t>
  </si>
  <si>
    <t>RAMEZ TEBET</t>
  </si>
  <si>
    <t>UDIIO COELHO</t>
  </si>
  <si>
    <t>JUVENCIO FONSECA</t>
  </si>
  <si>
    <t>DELCIDIO DO AMARAL</t>
  </si>
  <si>
    <t>MARISA SERRANO</t>
  </si>
  <si>
    <t>MOKA</t>
  </si>
  <si>
    <t>SIMONE TEBET</t>
  </si>
  <si>
    <t>MINAS GERAIS</t>
  </si>
  <si>
    <t>ALFREDO CAMPOS</t>
  </si>
  <si>
    <t>RENAN TITO</t>
  </si>
  <si>
    <t>JULIA MARISE</t>
  </si>
  <si>
    <t>ARLINDO PORTO</t>
  </si>
  <si>
    <t>FRANCELINO PEREIRA</t>
  </si>
  <si>
    <t>ANTERO PAES DE BARROS</t>
  </si>
  <si>
    <t>EDUARDO AZEREDO</t>
  </si>
  <si>
    <t>HELIO COSTA</t>
  </si>
  <si>
    <t>ITAMAR FRANCO</t>
  </si>
  <si>
    <t>AECIO NEVES</t>
  </si>
  <si>
    <t>ANTONIO ANASTASIA</t>
  </si>
  <si>
    <t>MARANHAO</t>
  </si>
  <si>
    <t>EPITACIO CAFETEIRA</t>
  </si>
  <si>
    <t>ALEXANDRE COSTA</t>
  </si>
  <si>
    <t>EDISON LOBAO</t>
  </si>
  <si>
    <t>JOAO ALBERTO</t>
  </si>
  <si>
    <t>ROSEANA SARNEY</t>
  </si>
  <si>
    <t>ROBERTO ROCHA</t>
  </si>
  <si>
    <t>GOIAS</t>
  </si>
  <si>
    <t>IRAN SARAIVA</t>
  </si>
  <si>
    <t>IRAPUAN COSTA JUNIOR</t>
  </si>
  <si>
    <t>ONOFRE QUINAN</t>
  </si>
  <si>
    <t>IRIS REZENDE</t>
  </si>
  <si>
    <t>MAURO MIRANDA</t>
  </si>
  <si>
    <t>MAGUITO VILELA</t>
  </si>
  <si>
    <t>DEMOSTENES TORRES</t>
  </si>
  <si>
    <t>LUCIA VANIA</t>
  </si>
  <si>
    <t>MARCONI PERILLO</t>
  </si>
  <si>
    <t>RONALDO CAIADO</t>
  </si>
  <si>
    <t>ESPIRITO SANTO</t>
  </si>
  <si>
    <t>ELCIO ALVARES</t>
  </si>
  <si>
    <t>GERSON CAMATA</t>
  </si>
  <si>
    <t>JOAO CALMON</t>
  </si>
  <si>
    <t>JOSE IGNACIO FERREIRA</t>
  </si>
  <si>
    <t>PAULO HARTUNG</t>
  </si>
  <si>
    <t>MAGNO MALTA</t>
  </si>
  <si>
    <t>RENATO CASAGRANDE</t>
  </si>
  <si>
    <t>RICARDO FERRA;O</t>
  </si>
  <si>
    <t>ROSE DE FREITAS</t>
  </si>
  <si>
    <t>DISTRITO FEDERAL</t>
  </si>
  <si>
    <t>VALMIR CAMPELO</t>
  </si>
  <si>
    <t>MAURICIO CORREA</t>
  </si>
  <si>
    <t>POMPEU DE SOUZA</t>
  </si>
  <si>
    <t>ARRUDA</t>
  </si>
  <si>
    <t>LAURO CAMPOS</t>
  </si>
  <si>
    <t>LUIZ ESTAVAO</t>
  </si>
  <si>
    <t>CRISTOVAM BUARQUE</t>
  </si>
  <si>
    <t>PAULO OCTAVIO</t>
  </si>
  <si>
    <t>JOAQUIM RORIZ</t>
  </si>
  <si>
    <t>ROLLEMBERG</t>
  </si>
  <si>
    <t>REGUFFE</t>
  </si>
  <si>
    <t>CEARA</t>
  </si>
  <si>
    <t>BENI VERAS</t>
  </si>
  <si>
    <t>CIRO SABOYA CARVALHO</t>
  </si>
  <si>
    <t>MAURO BENEVIDES</t>
  </si>
  <si>
    <t>LUCIO ALCANTARA</t>
  </si>
  <si>
    <t>SERGIO MACHADO</t>
  </si>
  <si>
    <t>LUIZ PONTES</t>
  </si>
  <si>
    <t>PATRICIA SABOYA</t>
  </si>
  <si>
    <t>TASSO JEREISSATI</t>
  </si>
  <si>
    <t>INACIO ARRUDA</t>
  </si>
  <si>
    <t>EUNICIO OLIVEIRA</t>
  </si>
  <si>
    <t>PIMENTEL</t>
  </si>
  <si>
    <t>BAHIA</t>
  </si>
  <si>
    <t>JUTAHY MAGALHAES</t>
  </si>
  <si>
    <t>RUI BACELAR</t>
  </si>
  <si>
    <t>JOSAPHAT MARINHO</t>
  </si>
  <si>
    <t>ACM</t>
  </si>
  <si>
    <t>WALDECK ORNELAS</t>
  </si>
  <si>
    <t>PAULO SOUTO</t>
  </si>
  <si>
    <t>CESAR BORGES</t>
  </si>
  <si>
    <t>JOAO DURVAL</t>
  </si>
  <si>
    <t>LIDICE DA MATA</t>
  </si>
  <si>
    <t>WALTER PINHEIRO</t>
  </si>
  <si>
    <t>OTTO ALENCAR</t>
  </si>
  <si>
    <t>AMAPA</t>
  </si>
  <si>
    <t>JOSE SARNEY</t>
  </si>
  <si>
    <t>JONAS BORGES</t>
  </si>
  <si>
    <t>HENRIQUE ALMEIDA</t>
  </si>
  <si>
    <t>SEBASTIAO ROCHA</t>
  </si>
  <si>
    <t>GILVAN BORGES</t>
  </si>
  <si>
    <t>PAPALEO PAES</t>
  </si>
  <si>
    <t>JOAO CAPIBERIBE</t>
  </si>
  <si>
    <t>RANDOLFE RODRIGUES</t>
  </si>
  <si>
    <t>DAVID ALCOLUMBRE</t>
  </si>
  <si>
    <t>AMAZONAS</t>
  </si>
  <si>
    <t>AMAZONINO MENDES</t>
  </si>
  <si>
    <t>CARLOS ALBERTO DE CARLO</t>
  </si>
  <si>
    <t>FABIO LUCENA</t>
  </si>
  <si>
    <t>BERNARDO CABRAL</t>
  </si>
  <si>
    <t>JEFFERSON PERES</t>
  </si>
  <si>
    <t>GILBERTO MESTRINHO</t>
  </si>
  <si>
    <t>ARTUR VIRGILIO NETO</t>
  </si>
  <si>
    <t>ALFREDO NASCIMENTO</t>
  </si>
  <si>
    <t>VANESSA GRAZIOTIM</t>
  </si>
  <si>
    <t>EDUARDO BRAGA</t>
  </si>
  <si>
    <t>OMAR AZIZ</t>
  </si>
  <si>
    <t>ALAGOAS</t>
  </si>
  <si>
    <t>GUILHERME PALMEIRA</t>
  </si>
  <si>
    <t>DIVALDO SURUAGY</t>
  </si>
  <si>
    <t>TEOTONIO VILELA</t>
  </si>
  <si>
    <t>RENAN CALHEIROS</t>
  </si>
  <si>
    <t>HELOISA HELENA</t>
  </si>
  <si>
    <t>FERNANDO COLLOR</t>
  </si>
  <si>
    <t>BENEDITO DE LIRA</t>
  </si>
  <si>
    <t>ACRE</t>
  </si>
  <si>
    <t>ALOIZIO BEZERRA</t>
  </si>
  <si>
    <t>NABOR JUNIOR</t>
  </si>
  <si>
    <t>FLAVIANO MELO</t>
  </si>
  <si>
    <t>MARINA SILVA</t>
  </si>
  <si>
    <t>TIAO VIANA</t>
  </si>
  <si>
    <t>GERALDO MESQUITA JUNIOR</t>
  </si>
  <si>
    <t>JORGE VIANA</t>
  </si>
  <si>
    <t>PETECAO</t>
  </si>
  <si>
    <t>GLADSON CAMELLI</t>
  </si>
  <si>
    <t xml:space="preserve">MEDIA NACIONAL DE ELEITOS </t>
  </si>
  <si>
    <t>UF</t>
  </si>
  <si>
    <t>1986</t>
  </si>
  <si>
    <t>D1</t>
  </si>
  <si>
    <t>1990</t>
  </si>
  <si>
    <t>D2</t>
  </si>
  <si>
    <t>1994</t>
  </si>
  <si>
    <t>D3</t>
  </si>
  <si>
    <t>1998</t>
  </si>
  <si>
    <t>D4</t>
  </si>
  <si>
    <t>2002</t>
  </si>
  <si>
    <t>D5</t>
  </si>
  <si>
    <t>2006</t>
  </si>
  <si>
    <t>D6</t>
  </si>
  <si>
    <t>2010</t>
  </si>
  <si>
    <t>D7</t>
  </si>
  <si>
    <t>2014</t>
  </si>
  <si>
    <t>TOTAL ELEIÇÕES</t>
  </si>
  <si>
    <t>Column1</t>
  </si>
  <si>
    <t>NORTE</t>
  </si>
  <si>
    <t>NORDESTE</t>
  </si>
  <si>
    <t>CENTRO-OESTE</t>
  </si>
  <si>
    <t>SUDESTE</t>
  </si>
  <si>
    <t>SUL</t>
  </si>
  <si>
    <t>PROPORÇÃO DE PARTIDOS X ELEITOS EM 2014</t>
  </si>
  <si>
    <t>PROPORÇÃO DE PARTIDOS X ELEITOS EM 2010</t>
  </si>
  <si>
    <t>PROPORÇÃO DE PARTIDOS X ELEITOS EM 2006</t>
  </si>
  <si>
    <t>PROPORÇÃO DE PARTIDOS X ELEITOS EM 2002</t>
  </si>
  <si>
    <t>PROPORÇÃO DE PARTIDOS X ELEITOS EM 1998</t>
  </si>
  <si>
    <t>BRASIL</t>
  </si>
  <si>
    <t>PROPORÇÃO DE PARTIDOS X ELEITOS EM 1994</t>
  </si>
  <si>
    <t>PROPORÇÃO DE PARTIDOS X ELEITOS EM 1990</t>
  </si>
  <si>
    <t>MDB</t>
  </si>
  <si>
    <t>PR (PL + PRONA + PST)</t>
  </si>
  <si>
    <t>PROGRESSISTAS (PDS-PDC-PTR-PPR-PPB-PP)</t>
  </si>
  <si>
    <t>TOTAL DIPLOMAÇÕES</t>
  </si>
  <si>
    <t>ASSENTOS/ESTADO</t>
  </si>
  <si>
    <t>PROPORÇÃO DE PARTIDOS X ELEITOS EM 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</si>
</sst>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alibri (Body)"/>
    </font>
    <font>
      <b/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Helvetica Neue"/>
      <family val="2"/>
    </font>
    <font>
      <b/>
      <sz val="14"/>
      <color theme="1"/>
      <name val="Calibri (Body)"/>
    </font>
    <font>
      <sz val="14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50505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/>
      <bottom style="thin">
        <color auto="1"/>
      </bottom>
      <diagonal/>
    </border>
    <border>
      <left/>
      <right style="thin">
        <color rgb="FF505050"/>
      </right>
      <top/>
      <bottom style="thin">
        <color auto="1"/>
      </bottom>
      <diagonal/>
    </border>
    <border>
      <left/>
      <right style="thin">
        <color auto="1"/>
      </right>
      <top style="thin">
        <color rgb="FFA5A5A5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A5A5A5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A5A5A5"/>
      </top>
      <bottom/>
      <diagonal/>
    </border>
    <border>
      <left/>
      <right style="thin">
        <color auto="1"/>
      </right>
      <top style="thin">
        <color rgb="FFA5A5A5"/>
      </top>
      <bottom/>
      <diagonal/>
    </border>
    <border>
      <left/>
      <right/>
      <top style="thin">
        <color rgb="FFA5A5A5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0">
    <xf numFmtId="0" fontId="0" fillId="0" borderId="0" xfId="0"/>
    <xf numFmtId="0" fontId="0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0" xfId="0" applyBorder="1"/>
    <xf numFmtId="0" fontId="4" fillId="6" borderId="1" xfId="0" applyFont="1" applyFill="1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7" fillId="0" borderId="0" xfId="0" applyFont="1"/>
    <xf numFmtId="0" fontId="3" fillId="3" borderId="1" xfId="0" applyFont="1" applyFill="1" applyBorder="1"/>
    <xf numFmtId="0" fontId="3" fillId="3" borderId="0" xfId="0" applyFont="1" applyFill="1" applyAlignment="1">
      <alignment horizontal="center"/>
    </xf>
    <xf numFmtId="0" fontId="6" fillId="8" borderId="1" xfId="0" applyFont="1" applyFill="1" applyBorder="1" applyAlignment="1"/>
    <xf numFmtId="0" fontId="6" fillId="8" borderId="3" xfId="0" applyFont="1" applyFill="1" applyBorder="1" applyAlignment="1"/>
    <xf numFmtId="0" fontId="6" fillId="8" borderId="3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0" borderId="7" xfId="0" applyFont="1" applyBorder="1" applyAlignment="1"/>
    <xf numFmtId="0" fontId="7" fillId="10" borderId="8" xfId="0" applyFont="1" applyFill="1" applyBorder="1" applyAlignment="1"/>
    <xf numFmtId="0" fontId="7" fillId="0" borderId="8" xfId="0" applyFont="1" applyBorder="1" applyAlignment="1"/>
    <xf numFmtId="0" fontId="7" fillId="0" borderId="8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10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2" fontId="0" fillId="0" borderId="0" xfId="0" applyNumberFormat="1" applyBorder="1" applyAlignment="1"/>
    <xf numFmtId="0" fontId="0" fillId="0" borderId="1" xfId="0" applyFill="1" applyBorder="1"/>
    <xf numFmtId="0" fontId="7" fillId="10" borderId="1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/>
    <xf numFmtId="0" fontId="7" fillId="11" borderId="7" xfId="0" applyFont="1" applyFill="1" applyBorder="1"/>
    <xf numFmtId="2" fontId="0" fillId="0" borderId="1" xfId="0" applyNumberFormat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Alignment="1"/>
    <xf numFmtId="0" fontId="7" fillId="0" borderId="1" xfId="0" applyFont="1" applyBorder="1" applyAlignment="1"/>
    <xf numFmtId="0" fontId="7" fillId="10" borderId="1" xfId="0" applyFont="1" applyFill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/>
    <xf numFmtId="0" fontId="0" fillId="4" borderId="1" xfId="0" applyFill="1" applyBorder="1" applyAlignment="1"/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0" borderId="14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13" borderId="8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3" fillId="18" borderId="8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7" fillId="10" borderId="1" xfId="0" applyFont="1" applyFill="1" applyBorder="1"/>
    <xf numFmtId="0" fontId="7" fillId="10" borderId="7" xfId="0" applyFont="1" applyFill="1" applyBorder="1"/>
    <xf numFmtId="164" fontId="0" fillId="0" borderId="1" xfId="0" applyNumberFormat="1" applyBorder="1" applyAlignment="1">
      <alignment horizontal="center"/>
    </xf>
    <xf numFmtId="0" fontId="14" fillId="18" borderId="8" xfId="0" applyFont="1" applyFill="1" applyBorder="1" applyAlignment="1">
      <alignment horizontal="center"/>
    </xf>
    <xf numFmtId="0" fontId="12" fillId="19" borderId="8" xfId="0" applyFont="1" applyFill="1" applyBorder="1" applyAlignment="1">
      <alignment horizontal="center"/>
    </xf>
    <xf numFmtId="0" fontId="13" fillId="20" borderId="8" xfId="0" applyFont="1" applyFill="1" applyBorder="1" applyAlignment="1">
      <alignment horizontal="center"/>
    </xf>
    <xf numFmtId="0" fontId="7" fillId="20" borderId="8" xfId="0" applyFont="1" applyFill="1" applyBorder="1" applyAlignment="1">
      <alignment horizontal="center"/>
    </xf>
    <xf numFmtId="0" fontId="13" fillId="19" borderId="1" xfId="0" applyFont="1" applyFill="1" applyBorder="1" applyAlignment="1">
      <alignment horizontal="center"/>
    </xf>
    <xf numFmtId="0" fontId="7" fillId="21" borderId="7" xfId="0" applyFont="1" applyFill="1" applyBorder="1"/>
    <xf numFmtId="0" fontId="12" fillId="22" borderId="8" xfId="0" applyFont="1" applyFill="1" applyBorder="1" applyAlignment="1">
      <alignment horizontal="center"/>
    </xf>
    <xf numFmtId="0" fontId="13" fillId="20" borderId="16" xfId="0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/>
    </xf>
    <xf numFmtId="0" fontId="12" fillId="9" borderId="17" xfId="0" applyFont="1" applyFill="1" applyBorder="1" applyAlignment="1">
      <alignment horizontal="center"/>
    </xf>
    <xf numFmtId="0" fontId="13" fillId="18" borderId="8" xfId="0" applyFont="1" applyFill="1" applyBorder="1"/>
    <xf numFmtId="0" fontId="12" fillId="9" borderId="18" xfId="0" applyFont="1" applyFill="1" applyBorder="1" applyAlignment="1">
      <alignment horizontal="center"/>
    </xf>
    <xf numFmtId="0" fontId="12" fillId="23" borderId="18" xfId="0" applyFont="1" applyFill="1" applyBorder="1" applyAlignment="1">
      <alignment horizontal="center"/>
    </xf>
    <xf numFmtId="0" fontId="13" fillId="23" borderId="1" xfId="0" applyFont="1" applyFill="1" applyBorder="1" applyAlignment="1">
      <alignment horizontal="center"/>
    </xf>
    <xf numFmtId="0" fontId="7" fillId="24" borderId="7" xfId="0" applyFont="1" applyFill="1" applyBorder="1"/>
    <xf numFmtId="0" fontId="1" fillId="25" borderId="16" xfId="0" applyFont="1" applyFill="1" applyBorder="1" applyAlignment="1">
      <alignment horizontal="center"/>
    </xf>
    <xf numFmtId="0" fontId="12" fillId="26" borderId="18" xfId="0" applyFont="1" applyFill="1" applyBorder="1" applyAlignment="1">
      <alignment horizontal="center"/>
    </xf>
    <xf numFmtId="0" fontId="13" fillId="26" borderId="1" xfId="0" applyFont="1" applyFill="1" applyBorder="1" applyAlignment="1">
      <alignment horizontal="center"/>
    </xf>
    <xf numFmtId="0" fontId="7" fillId="27" borderId="7" xfId="0" applyFont="1" applyFill="1" applyBorder="1"/>
    <xf numFmtId="0" fontId="12" fillId="28" borderId="18" xfId="0" applyFont="1" applyFill="1" applyBorder="1" applyAlignment="1">
      <alignment horizontal="center"/>
    </xf>
    <xf numFmtId="0" fontId="13" fillId="20" borderId="17" xfId="0" applyFont="1" applyFill="1" applyBorder="1" applyAlignment="1">
      <alignment horizontal="center"/>
    </xf>
    <xf numFmtId="0" fontId="13" fillId="28" borderId="1" xfId="0" applyFont="1" applyFill="1" applyBorder="1" applyAlignment="1">
      <alignment horizontal="center"/>
    </xf>
    <xf numFmtId="0" fontId="7" fillId="29" borderId="7" xfId="0" applyFont="1" applyFill="1" applyBorder="1"/>
    <xf numFmtId="0" fontId="12" fillId="30" borderId="18" xfId="0" applyFont="1" applyFill="1" applyBorder="1" applyAlignment="1">
      <alignment horizontal="center"/>
    </xf>
    <xf numFmtId="0" fontId="13" fillId="20" borderId="18" xfId="0" applyFont="1" applyFill="1" applyBorder="1" applyAlignment="1">
      <alignment horizontal="center"/>
    </xf>
    <xf numFmtId="0" fontId="13" fillId="30" borderId="0" xfId="0" applyFont="1" applyFill="1" applyBorder="1" applyAlignment="1">
      <alignment horizontal="center"/>
    </xf>
    <xf numFmtId="0" fontId="13" fillId="7" borderId="16" xfId="0" applyFont="1" applyFill="1" applyBorder="1" applyAlignment="1">
      <alignment horizontal="center"/>
    </xf>
    <xf numFmtId="0" fontId="13" fillId="3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1" fillId="13" borderId="3" xfId="0" applyFont="1" applyFill="1" applyBorder="1" applyAlignment="1">
      <alignment horizontal="center"/>
    </xf>
    <xf numFmtId="0" fontId="12" fillId="9" borderId="21" xfId="0" applyFont="1" applyFill="1" applyBorder="1" applyAlignment="1">
      <alignment horizontal="center"/>
    </xf>
    <xf numFmtId="0" fontId="13" fillId="33" borderId="16" xfId="0" applyFont="1" applyFill="1" applyBorder="1" applyAlignment="1">
      <alignment horizontal="center"/>
    </xf>
    <xf numFmtId="0" fontId="7" fillId="33" borderId="16" xfId="0" applyFont="1" applyFill="1" applyBorder="1" applyAlignment="1">
      <alignment horizontal="center"/>
    </xf>
    <xf numFmtId="0" fontId="2" fillId="31" borderId="16" xfId="0" applyFont="1" applyFill="1" applyBorder="1" applyAlignment="1">
      <alignment horizontal="center"/>
    </xf>
    <xf numFmtId="0" fontId="14" fillId="33" borderId="16" xfId="0" applyFont="1" applyFill="1" applyBorder="1" applyAlignment="1">
      <alignment horizontal="center"/>
    </xf>
    <xf numFmtId="0" fontId="12" fillId="21" borderId="21" xfId="0" applyFont="1" applyFill="1" applyBorder="1" applyAlignment="1">
      <alignment horizontal="center"/>
    </xf>
    <xf numFmtId="0" fontId="13" fillId="9" borderId="16" xfId="0" applyFont="1" applyFill="1" applyBorder="1" applyAlignment="1">
      <alignment horizontal="center"/>
    </xf>
    <xf numFmtId="0" fontId="16" fillId="25" borderId="16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/>
    </xf>
    <xf numFmtId="0" fontId="12" fillId="11" borderId="2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12" fillId="9" borderId="22" xfId="0" applyFont="1" applyFill="1" applyBorder="1" applyAlignment="1">
      <alignment horizontal="center"/>
    </xf>
    <xf numFmtId="0" fontId="13" fillId="33" borderId="16" xfId="0" applyFont="1" applyFill="1" applyBorder="1"/>
    <xf numFmtId="0" fontId="12" fillId="9" borderId="20" xfId="0" applyFont="1" applyFill="1" applyBorder="1" applyAlignment="1">
      <alignment horizontal="center"/>
    </xf>
    <xf numFmtId="0" fontId="12" fillId="24" borderId="20" xfId="0" applyFont="1" applyFill="1" applyBorder="1" applyAlignment="1">
      <alignment horizontal="center"/>
    </xf>
    <xf numFmtId="0" fontId="13" fillId="24" borderId="1" xfId="0" applyFont="1" applyFill="1" applyBorder="1" applyAlignment="1">
      <alignment horizontal="center"/>
    </xf>
    <xf numFmtId="0" fontId="12" fillId="27" borderId="20" xfId="0" applyFont="1" applyFill="1" applyBorder="1" applyAlignment="1">
      <alignment horizontal="center"/>
    </xf>
    <xf numFmtId="0" fontId="13" fillId="27" borderId="1" xfId="0" applyFont="1" applyFill="1" applyBorder="1" applyAlignment="1">
      <alignment horizontal="center"/>
    </xf>
    <xf numFmtId="0" fontId="12" fillId="29" borderId="20" xfId="0" applyFont="1" applyFill="1" applyBorder="1" applyAlignment="1">
      <alignment horizontal="center"/>
    </xf>
    <xf numFmtId="0" fontId="13" fillId="9" borderId="2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3" fillId="29" borderId="1" xfId="0" applyFont="1" applyFill="1" applyBorder="1" applyAlignment="1">
      <alignment horizontal="center"/>
    </xf>
    <xf numFmtId="0" fontId="12" fillId="30" borderId="1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3" fillId="30" borderId="16" xfId="0" applyFont="1" applyFill="1" applyBorder="1" applyAlignment="1">
      <alignment horizontal="center"/>
    </xf>
    <xf numFmtId="0" fontId="11" fillId="13" borderId="10" xfId="0" applyFont="1" applyFill="1" applyBorder="1" applyAlignment="1">
      <alignment horizontal="center"/>
    </xf>
    <xf numFmtId="0" fontId="6" fillId="21" borderId="7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24" borderId="8" xfId="0" applyFont="1" applyFill="1" applyBorder="1" applyAlignment="1">
      <alignment horizontal="center"/>
    </xf>
    <xf numFmtId="0" fontId="6" fillId="27" borderId="8" xfId="0" applyFont="1" applyFill="1" applyBorder="1" applyAlignment="1">
      <alignment horizontal="center"/>
    </xf>
    <xf numFmtId="0" fontId="6" fillId="29" borderId="8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7" fillId="10" borderId="21" xfId="0" applyFont="1" applyFill="1" applyBorder="1"/>
    <xf numFmtId="2" fontId="7" fillId="0" borderId="7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0" fontId="13" fillId="21" borderId="8" xfId="0" applyFont="1" applyFill="1" applyBorder="1" applyAlignment="1">
      <alignment horizontal="center"/>
    </xf>
    <xf numFmtId="0" fontId="7" fillId="21" borderId="21" xfId="0" applyFont="1" applyFill="1" applyBorder="1"/>
    <xf numFmtId="0" fontId="13" fillId="11" borderId="8" xfId="0" applyFont="1" applyFill="1" applyBorder="1" applyAlignment="1">
      <alignment horizontal="center"/>
    </xf>
    <xf numFmtId="0" fontId="7" fillId="11" borderId="21" xfId="0" applyFont="1" applyFill="1" applyBorder="1"/>
    <xf numFmtId="0" fontId="13" fillId="24" borderId="8" xfId="0" applyFont="1" applyFill="1" applyBorder="1" applyAlignment="1">
      <alignment horizontal="center"/>
    </xf>
    <xf numFmtId="0" fontId="7" fillId="24" borderId="21" xfId="0" applyFont="1" applyFill="1" applyBorder="1"/>
    <xf numFmtId="0" fontId="13" fillId="27" borderId="8" xfId="0" applyFont="1" applyFill="1" applyBorder="1" applyAlignment="1">
      <alignment horizontal="center"/>
    </xf>
    <xf numFmtId="0" fontId="7" fillId="27" borderId="21" xfId="0" applyFont="1" applyFill="1" applyBorder="1"/>
    <xf numFmtId="0" fontId="13" fillId="29" borderId="8" xfId="0" applyFont="1" applyFill="1" applyBorder="1" applyAlignment="1">
      <alignment horizontal="center"/>
    </xf>
    <xf numFmtId="0" fontId="7" fillId="29" borderId="21" xfId="0" applyFont="1" applyFill="1" applyBorder="1"/>
    <xf numFmtId="0" fontId="13" fillId="30" borderId="24" xfId="0" applyFont="1" applyFill="1" applyBorder="1" applyAlignment="1">
      <alignment horizontal="center"/>
    </xf>
    <xf numFmtId="0" fontId="7" fillId="33" borderId="8" xfId="0" applyFont="1" applyFill="1" applyBorder="1" applyAlignment="1">
      <alignment horizontal="center"/>
    </xf>
    <xf numFmtId="0" fontId="0" fillId="4" borderId="1" xfId="0" applyFill="1" applyBorder="1"/>
    <xf numFmtId="0" fontId="13" fillId="19" borderId="12" xfId="0" applyFont="1" applyFill="1" applyBorder="1" applyAlignment="1">
      <alignment horizontal="center"/>
    </xf>
    <xf numFmtId="0" fontId="0" fillId="14" borderId="1" xfId="0" applyFill="1" applyBorder="1"/>
    <xf numFmtId="0" fontId="13" fillId="22" borderId="12" xfId="0" applyFont="1" applyFill="1" applyBorder="1" applyAlignment="1">
      <alignment horizontal="center"/>
    </xf>
    <xf numFmtId="0" fontId="0" fillId="6" borderId="1" xfId="0" applyFill="1" applyBorder="1"/>
    <xf numFmtId="0" fontId="13" fillId="23" borderId="12" xfId="0" applyFont="1" applyFill="1" applyBorder="1" applyAlignment="1">
      <alignment horizontal="center"/>
    </xf>
    <xf numFmtId="0" fontId="0" fillId="15" borderId="1" xfId="0" applyFill="1" applyBorder="1"/>
    <xf numFmtId="0" fontId="13" fillId="26" borderId="12" xfId="0" applyFont="1" applyFill="1" applyBorder="1" applyAlignment="1">
      <alignment horizontal="center"/>
    </xf>
    <xf numFmtId="0" fontId="0" fillId="16" borderId="1" xfId="0" applyFill="1" applyBorder="1"/>
    <xf numFmtId="0" fontId="13" fillId="28" borderId="12" xfId="0" applyFont="1" applyFill="1" applyBorder="1" applyAlignment="1">
      <alignment horizontal="center"/>
    </xf>
    <xf numFmtId="0" fontId="0" fillId="17" borderId="1" xfId="0" applyFill="1" applyBorder="1"/>
    <xf numFmtId="0" fontId="11" fillId="13" borderId="8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12" borderId="19" xfId="0" applyFont="1" applyFill="1" applyBorder="1" applyAlignment="1">
      <alignment horizontal="center"/>
    </xf>
    <xf numFmtId="0" fontId="15" fillId="12" borderId="0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381"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BFBFB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rgb="FFA5A5A5"/>
          <bgColor rgb="FFA5A5A5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000000"/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BFBFB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rgb="FFA5A5A5"/>
          <bgColor rgb="FFA5A5A5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000000"/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BFBFB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rgb="FFA5A5A5"/>
          <bgColor rgb="FFA5A5A5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BFBFB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rgb="FFA5A5A5"/>
          <bgColor rgb="FFA5A5A5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000000"/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BFBFB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rgb="FFA5A5A5"/>
          <bgColor rgb="FFA5A5A5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000000"/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BFBFB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rgb="FFA5A5A5"/>
          <bgColor rgb="FFA5A5A5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000000"/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BFBFB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rgb="FFA5A5A5"/>
          <bgColor rgb="FFA5A5A5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000000"/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BFBFB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alignment horizontal="center" vertical="bottom" textRotation="0" wrapText="0" indent="0" justifyLastLine="0" shrinkToFit="0"/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rgb="FFA5A5A5"/>
          <bgColor rgb="FFA5A5A5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000000"/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BFBFB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rgb="FF000000"/>
      </font>
      <alignment horizontal="center" vertical="bottom" textRotation="0" wrapText="0" indent="0" justifyLastLine="0" shrinkToFit="0"/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rgb="FF000000"/>
      </font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rgb="FF000000"/>
      </font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rgb="FF000000"/>
      </font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rgb="FF000000"/>
      </font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rgb="FF000000"/>
      </font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rgb="FF000000"/>
      </font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rgb="FF000000"/>
      </font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rgb="FFA5A5A5"/>
          <bgColor rgb="FFA5A5A5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000000"/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BFBFB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alignment horizontal="center" vertical="bottom" textRotation="0" wrapText="0" indent="0" justifyLastLine="0" shrinkToFit="0"/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</border>
    </dxf>
    <dxf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</border>
    </dxf>
    <dxf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alignment horizontal="center" vertical="bottom" textRotation="0" wrapText="0" indent="0" justifyLastLine="0" shrinkToFit="0"/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rgb="FFA5A5A5"/>
          <bgColor rgb="FFA5A5A5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000000"/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BFBFB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rgb="FFA5A5A5"/>
          <bgColor rgb="FFA5A5A5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000000"/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BFBFBF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rgb="FFA5A5A5"/>
          <bgColor rgb="FFA5A5A5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000000"/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BFBFB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rgb="FFA5A5A5"/>
          <bgColor rgb="FFA5A5A5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000000"/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BFBFB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  <border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ill>
        <patternFill patternType="solid">
          <fgColor rgb="FF000000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rgb="FF000000"/>
          <bgColor rgb="FFD9D9D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rgb="FFA5A5A5"/>
          <bgColor rgb="FFA5A5A5"/>
        </patternFill>
      </fill>
      <alignment horizontal="center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vmiranda/Downloads/BR-P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2-2018 ESTADOS E PARTIDOS"/>
      <sheetName val="DIPLOMADOS"/>
      <sheetName val="PART-DIP"/>
      <sheetName val="MEDIA NACIONAL REELEICOES"/>
      <sheetName val="CAMARA DOS DEPUTADOS - AC"/>
      <sheetName val="MAJORITARIAS - AC"/>
      <sheetName val="CAMARA DOS DEPUTADOS - AL"/>
      <sheetName val="MAJORITARIAS - AL"/>
      <sheetName val="CAMARA DOS DEPUTADOS - AM"/>
      <sheetName val="MAJORITARIAS - AM"/>
      <sheetName val="CAMARA DOS DEPUTADOS - AP"/>
      <sheetName val="MAJORITARIAS - AP"/>
      <sheetName val="CAMARA DOS DEPUTADOS - BA"/>
      <sheetName val="MAJORITARIAS - BA"/>
      <sheetName val="CAMARA DOS DEPUTADOS - CE"/>
      <sheetName val="MAJORITARIAS - CE"/>
      <sheetName val="CAMARA DOS DEPUTADOS - DF"/>
      <sheetName val="MAJORITARIAS - DF"/>
      <sheetName val="CAMARA DOS DEPUTADOS - ES"/>
      <sheetName val="MAJORITARIAS - ES"/>
      <sheetName val="CAMARA DOS DEPUTADOS - GO"/>
      <sheetName val="MAJORITARIAS - GO"/>
      <sheetName val="CAMARA DOS DEPUTADOS - MA"/>
      <sheetName val="MAJORITARIAS - MA"/>
      <sheetName val="CAMARA DOS DEPUTADOS - MG"/>
      <sheetName val="MAJORITARIAS - MG"/>
      <sheetName val="CAMARA DOS DEPUTADOS - MS"/>
      <sheetName val="MAJORITARIAS - MS"/>
      <sheetName val="CAMARA DOS DEPUTADOS - MT"/>
      <sheetName val="MAJORITARIAS - MT"/>
      <sheetName val="CAMARA DOS DEPUTADOS - PA"/>
      <sheetName val="MAJORITARIAS - PA"/>
      <sheetName val="CAMARA DOS DEPUTADOS - PB"/>
      <sheetName val="MAJORITARIAS - PB"/>
      <sheetName val="CAMARA DOS DEPUTADOS - PE"/>
      <sheetName val="MAJORITARIAS - PE"/>
      <sheetName val="CAMARA DOS DEPUTADOS - PI"/>
      <sheetName val="MAJORITARIAS - PI"/>
      <sheetName val="CAMARA DOS DEPUTADOS - PR"/>
      <sheetName val="MAJORITARIAS - PR"/>
      <sheetName val="CAMARA DOS DEPUTADOS - RJ"/>
      <sheetName val="MAJORITARIAS - RJ"/>
      <sheetName val="CAMARA DOS DEPUTADOS - RN"/>
      <sheetName val="MAJORITARIAS - RN"/>
      <sheetName val="CAMARA DOS DEPUTADOS - RO"/>
      <sheetName val="MAJORITARIAS - RO"/>
      <sheetName val="CAMARA DOS DEPUTADOS - RR"/>
      <sheetName val="MAJORITARIAS - RR"/>
      <sheetName val="CAMARA DOS DEPUTADOS - RS"/>
      <sheetName val="MAJORITARIAS - RS"/>
      <sheetName val="CAMARA DOS DEPUTADOS - SC"/>
      <sheetName val="MAJORITARIAS - SC"/>
      <sheetName val="CAMARA DOS DEPUTADOS - SE"/>
      <sheetName val="MAJORITARIAS - SE"/>
      <sheetName val="CAMARA DOS DEPUTADOS - SP"/>
      <sheetName val="MAJORITARIAS - SP"/>
      <sheetName val="CAMARA DOS DEPUTADOS - TO"/>
      <sheetName val="MAJORITARIAS - TO"/>
      <sheetName val="_____"/>
      <sheetName val="PARTIDOS - SENADO"/>
      <sheetName val="QUADRO GERAL PARTIDOS"/>
      <sheetName val="PARTIDO - DEM"/>
      <sheetName val="PARTIDO - MDB"/>
      <sheetName val="PARTIDO - PCdoB"/>
      <sheetName val="PARTIDO - PDT"/>
      <sheetName val="PARTIDO - PPS"/>
      <sheetName val="PARTIDO - PR"/>
      <sheetName val="PARTIDO - PROGRESSISTAS"/>
      <sheetName val="PARTIDO - PSB"/>
      <sheetName val="PARTIDO - PSC"/>
      <sheetName val="PARTIDO - PSD"/>
      <sheetName val="PARTIDO - PSDB"/>
      <sheetName val="PARTIDO - PSOL"/>
      <sheetName val="PARTIDO - PT"/>
      <sheetName val="PARTIDO - PTB"/>
      <sheetName val="PARTIDO - PV"/>
      <sheetName val="PARTIDO - SOLIDARIEDADE"/>
      <sheetName val="BR-P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410016115911211318110" displayName="Table410016115911211318110" ref="A2:R35" totalsRowShown="0" headerRowDxfId="364" headerRowBorderDxfId="363" tableBorderDxfId="362">
  <sortState ref="A3:R19">
    <sortCondition descending="1" ref="Q2:Q19"/>
  </sortState>
  <tableColumns count="18">
    <tableColumn id="1" xr3:uid="{00000000-0010-0000-0000-000001000000}" name="UF" dataDxfId="361"/>
    <tableColumn id="17" xr3:uid="{00000000-0010-0000-0000-000011000000}" name="1986" dataDxfId="360"/>
    <tableColumn id="16" xr3:uid="{00000000-0010-0000-0000-000010000000}" name="D1" dataDxfId="359">
      <calculatedColumnFormula>Table410016115911211318110[[#This Row],[1990]]-Table410016115911211318110[[#This Row],[1986]]</calculatedColumnFormula>
    </tableColumn>
    <tableColumn id="2" xr3:uid="{00000000-0010-0000-0000-000002000000}" name="1990" dataDxfId="358"/>
    <tableColumn id="3" xr3:uid="{00000000-0010-0000-0000-000003000000}" name="D2" dataDxfId="357">
      <calculatedColumnFormula>#REF!-#REF!</calculatedColumnFormula>
    </tableColumn>
    <tableColumn id="4" xr3:uid="{00000000-0010-0000-0000-000004000000}" name="1994" dataDxfId="356"/>
    <tableColumn id="5" xr3:uid="{00000000-0010-0000-0000-000005000000}" name="D3" dataDxfId="355">
      <calculatedColumnFormula>Table410016115911211318110[[#This Row],[1998]]-Table410016115911211318110[[#This Row],[1994]]</calculatedColumnFormula>
    </tableColumn>
    <tableColumn id="6" xr3:uid="{00000000-0010-0000-0000-000006000000}" name="1998" dataDxfId="354"/>
    <tableColumn id="7" xr3:uid="{00000000-0010-0000-0000-000007000000}" name="D4" dataDxfId="353">
      <calculatedColumnFormula>Table410016115911211318110[[#This Row],[2002]]-Table410016115911211318110[[#This Row],[1998]]</calculatedColumnFormula>
    </tableColumn>
    <tableColumn id="8" xr3:uid="{00000000-0010-0000-0000-000008000000}" name="2002" dataDxfId="352"/>
    <tableColumn id="9" xr3:uid="{00000000-0010-0000-0000-000009000000}" name="D5" dataDxfId="351">
      <calculatedColumnFormula>Table410016115911211318110[[#This Row],[2006]]-Table410016115911211318110[[#This Row],[2002]]</calculatedColumnFormula>
    </tableColumn>
    <tableColumn id="10" xr3:uid="{00000000-0010-0000-0000-00000A000000}" name="2006" dataDxfId="350"/>
    <tableColumn id="11" xr3:uid="{00000000-0010-0000-0000-00000B000000}" name="D6" dataDxfId="349">
      <calculatedColumnFormula>Table410016115911211318110[[#This Row],[2010]]-Table410016115911211318110[[#This Row],[2006]]</calculatedColumnFormula>
    </tableColumn>
    <tableColumn id="12" xr3:uid="{00000000-0010-0000-0000-00000C000000}" name="2010" dataDxfId="348"/>
    <tableColumn id="13" xr3:uid="{00000000-0010-0000-0000-00000D000000}" name="D7" dataDxfId="347">
      <calculatedColumnFormula>Table410016115911211318110[[#This Row],[2014]]-Table410016115911211318110[[#This Row],[2010]]</calculatedColumnFormula>
    </tableColumn>
    <tableColumn id="14" xr3:uid="{00000000-0010-0000-0000-00000E000000}" name="2014" dataDxfId="346"/>
    <tableColumn id="15" xr3:uid="{00000000-0010-0000-0000-00000F000000}" name="TOTAL DIPLOMAÇÕES" dataDxfId="345">
      <calculatedColumnFormula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calculatedColumnFormula>
    </tableColumn>
    <tableColumn id="18" xr3:uid="{00000000-0010-0000-0000-000012000000}" name="ASSENTOS/ESTADO" dataDxfId="344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410016115911211512025119" displayName="Table410016115911211512025119" ref="A2:R35" totalsRowShown="0" headerRowDxfId="111" headerRowBorderDxfId="110" tableBorderDxfId="109">
  <sortState ref="A3:R19">
    <sortCondition descending="1" ref="Q2:Q19"/>
  </sortState>
  <tableColumns count="18">
    <tableColumn id="1" xr3:uid="{00000000-0010-0000-0900-000001000000}" name="UF" dataDxfId="108"/>
    <tableColumn id="17" xr3:uid="{00000000-0010-0000-0900-000011000000}" name="1986"/>
    <tableColumn id="16" xr3:uid="{00000000-0010-0000-0900-000010000000}" name="D1" dataDxfId="107">
      <calculatedColumnFormula>Table410016115911211512025119[[#This Row],[1990]]-Table410016115911211512025119[[#This Row],[1986]]</calculatedColumnFormula>
    </tableColumn>
    <tableColumn id="2" xr3:uid="{00000000-0010-0000-0900-000002000000}" name="1990"/>
    <tableColumn id="3" xr3:uid="{00000000-0010-0000-0900-000003000000}" name="D2" dataDxfId="106">
      <calculatedColumnFormula>Table410016115911211512025119[[#This Row],[1994]]-Table410016115911211512025119[[#This Row],[1990]]</calculatedColumnFormula>
    </tableColumn>
    <tableColumn id="4" xr3:uid="{00000000-0010-0000-0900-000004000000}" name="1994"/>
    <tableColumn id="5" xr3:uid="{00000000-0010-0000-0900-000005000000}" name="D3" dataDxfId="105">
      <calculatedColumnFormula>Table410016115911211512025119[[#This Row],[1998]]-Table410016115911211512025119[[#This Row],[1994]]</calculatedColumnFormula>
    </tableColumn>
    <tableColumn id="6" xr3:uid="{00000000-0010-0000-0900-000006000000}" name="1998"/>
    <tableColumn id="7" xr3:uid="{00000000-0010-0000-0900-000007000000}" name="D4" dataDxfId="104">
      <calculatedColumnFormula>Table410016115911211512025119[[#This Row],[2002]]-Table410016115911211512025119[[#This Row],[1998]]</calculatedColumnFormula>
    </tableColumn>
    <tableColumn id="8" xr3:uid="{00000000-0010-0000-0900-000008000000}" name="2002"/>
    <tableColumn id="9" xr3:uid="{00000000-0010-0000-0900-000009000000}" name="D5" dataDxfId="103">
      <calculatedColumnFormula>Table410016115911211512025119[[#This Row],[2006]]-Table410016115911211512025119[[#This Row],[2002]]</calculatedColumnFormula>
    </tableColumn>
    <tableColumn id="10" xr3:uid="{00000000-0010-0000-0900-00000A000000}" name="2006"/>
    <tableColumn id="11" xr3:uid="{00000000-0010-0000-0900-00000B000000}" name="D6" dataDxfId="102">
      <calculatedColumnFormula>Table410016115911211512025119[[#This Row],[2010]]-Table410016115911211512025119[[#This Row],[2006]]</calculatedColumnFormula>
    </tableColumn>
    <tableColumn id="12" xr3:uid="{00000000-0010-0000-0900-00000C000000}" name="2010"/>
    <tableColumn id="13" xr3:uid="{00000000-0010-0000-0900-00000D000000}" name="D7" dataDxfId="101">
      <calculatedColumnFormula>Table410016115911211512025119[[#This Row],[2014]]-Table410016115911211512025119[[#This Row],[2010]]</calculatedColumnFormula>
    </tableColumn>
    <tableColumn id="14" xr3:uid="{00000000-0010-0000-0900-00000E000000}" name="2014"/>
    <tableColumn id="15" xr3:uid="{00000000-0010-0000-0900-00000F000000}" name="TOTAL ELEIÇÕES" dataDxfId="100"/>
    <tableColumn id="18" xr3:uid="{00000000-0010-0000-0900-000012000000}" name="ASSENTOS/ESTADO" dataDxfId="99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4100161159112116164112" displayName="Table4100161159112116164112" ref="A2:Q35" totalsRowShown="0" headerRowDxfId="89" headerRowBorderDxfId="88" tableBorderDxfId="87">
  <sortState ref="A3:R19">
    <sortCondition descending="1" ref="Q2:Q19"/>
  </sortState>
  <tableColumns count="17">
    <tableColumn id="1" xr3:uid="{00000000-0010-0000-0A00-000001000000}" name="UF" dataDxfId="86"/>
    <tableColumn id="17" xr3:uid="{00000000-0010-0000-0A00-000011000000}" name="1986"/>
    <tableColumn id="16" xr3:uid="{00000000-0010-0000-0A00-000010000000}" name="D1" dataDxfId="85">
      <calculatedColumnFormula>Table4100161159112116164112[[#This Row],[1990]]-Table4100161159112116164112[[#This Row],[1986]]</calculatedColumnFormula>
    </tableColumn>
    <tableColumn id="2" xr3:uid="{00000000-0010-0000-0A00-000002000000}" name="1990" dataDxfId="84"/>
    <tableColumn id="3" xr3:uid="{00000000-0010-0000-0A00-000003000000}" name="D2" dataDxfId="83">
      <calculatedColumnFormula>Table4100161159112116164112[[#This Row],[1994]]-Table4100161159112116164112[[#This Row],[1990]]</calculatedColumnFormula>
    </tableColumn>
    <tableColumn id="4" xr3:uid="{00000000-0010-0000-0A00-000004000000}" name="1994" dataDxfId="82"/>
    <tableColumn id="5" xr3:uid="{00000000-0010-0000-0A00-000005000000}" name="D3" dataDxfId="81">
      <calculatedColumnFormula>Table4100161159112116164112[[#This Row],[1998]]-Table4100161159112116164112[[#This Row],[1994]]</calculatedColumnFormula>
    </tableColumn>
    <tableColumn id="6" xr3:uid="{00000000-0010-0000-0A00-000006000000}" name="1998" dataDxfId="80"/>
    <tableColumn id="7" xr3:uid="{00000000-0010-0000-0A00-000007000000}" name="D4" dataDxfId="79">
      <calculatedColumnFormula>Table4100161159112116164112[[#This Row],[2002]]-Table4100161159112116164112[[#This Row],[1998]]</calculatedColumnFormula>
    </tableColumn>
    <tableColumn id="8" xr3:uid="{00000000-0010-0000-0A00-000008000000}" name="2002" dataDxfId="78"/>
    <tableColumn id="9" xr3:uid="{00000000-0010-0000-0A00-000009000000}" name="D5" dataDxfId="77">
      <calculatedColumnFormula>Table4100161159112116164112[[#This Row],[2006]]-Table4100161159112116164112[[#This Row],[2002]]</calculatedColumnFormula>
    </tableColumn>
    <tableColumn id="10" xr3:uid="{00000000-0010-0000-0A00-00000A000000}" name="2006" dataDxfId="76"/>
    <tableColumn id="11" xr3:uid="{00000000-0010-0000-0A00-00000B000000}" name="D6" dataDxfId="75">
      <calculatedColumnFormula>Table4100161159112116164112[[#This Row],[2010]]-Table4100161159112116164112[[#This Row],[2006]]</calculatedColumnFormula>
    </tableColumn>
    <tableColumn id="12" xr3:uid="{00000000-0010-0000-0A00-00000C000000}" name="2010" dataDxfId="74"/>
    <tableColumn id="13" xr3:uid="{00000000-0010-0000-0A00-00000D000000}" name="D7" dataDxfId="73">
      <calculatedColumnFormula>Table4100161159112116164112[[#This Row],[2014]]-Table4100161159112116164112[[#This Row],[2010]]</calculatedColumnFormula>
    </tableColumn>
    <tableColumn id="14" xr3:uid="{00000000-0010-0000-0A00-00000E000000}" name="2014"/>
    <tableColumn id="15" xr3:uid="{00000000-0010-0000-0A00-00000F000000}" name="TOTAL ELEIÇÕES" dataDxfId="72">
      <calculatedColumnFormula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able41001611591121151201929173115" displayName="Table41001611591121151201929173115" ref="A2:R35" totalsRowShown="0" headerRowDxfId="60" headerRowBorderDxfId="59" tableBorderDxfId="58">
  <sortState ref="A3:R19">
    <sortCondition descending="1" ref="Q2:Q19"/>
  </sortState>
  <tableColumns count="18">
    <tableColumn id="1" xr3:uid="{00000000-0010-0000-0B00-000001000000}" name="UF" dataDxfId="57"/>
    <tableColumn id="17" xr3:uid="{00000000-0010-0000-0B00-000011000000}" name="1986"/>
    <tableColumn id="16" xr3:uid="{00000000-0010-0000-0B00-000010000000}" name="D1" dataDxfId="56">
      <calculatedColumnFormula>Table41001611591121151201929173115[[#This Row],[1990]]-Table41001611591121151201929173115[[#This Row],[1986]]</calculatedColumnFormula>
    </tableColumn>
    <tableColumn id="2" xr3:uid="{00000000-0010-0000-0B00-000002000000}" name="1990"/>
    <tableColumn id="3" xr3:uid="{00000000-0010-0000-0B00-000003000000}" name="D2" dataDxfId="55">
      <calculatedColumnFormula>Table41001611591121151201929173115[[#This Row],[1994]]-Table41001611591121151201929173115[[#This Row],[1990]]</calculatedColumnFormula>
    </tableColumn>
    <tableColumn id="4" xr3:uid="{00000000-0010-0000-0B00-000004000000}" name="1994"/>
    <tableColumn id="5" xr3:uid="{00000000-0010-0000-0B00-000005000000}" name="D3" dataDxfId="54">
      <calculatedColumnFormula>Table41001611591121151201929173115[[#This Row],[1998]]-Table41001611591121151201929173115[[#This Row],[1994]]</calculatedColumnFormula>
    </tableColumn>
    <tableColumn id="6" xr3:uid="{00000000-0010-0000-0B00-000006000000}" name="1998"/>
    <tableColumn id="7" xr3:uid="{00000000-0010-0000-0B00-000007000000}" name="D4" dataDxfId="53">
      <calculatedColumnFormula>Table41001611591121151201929173115[[#This Row],[2002]]-Table41001611591121151201929173115[[#This Row],[1998]]</calculatedColumnFormula>
    </tableColumn>
    <tableColumn id="8" xr3:uid="{00000000-0010-0000-0B00-000008000000}" name="2002"/>
    <tableColumn id="9" xr3:uid="{00000000-0010-0000-0B00-000009000000}" name="D5" dataDxfId="52">
      <calculatedColumnFormula>Table41001611591121151201929173115[[#This Row],[2006]]-Table41001611591121151201929173115[[#This Row],[2002]]</calculatedColumnFormula>
    </tableColumn>
    <tableColumn id="10" xr3:uid="{00000000-0010-0000-0B00-00000A000000}" name="2006"/>
    <tableColumn id="11" xr3:uid="{00000000-0010-0000-0B00-00000B000000}" name="D6" dataDxfId="51">
      <calculatedColumnFormula>Table41001611591121151201929173115[[#This Row],[2010]]-Table41001611591121151201929173115[[#This Row],[2006]]</calculatedColumnFormula>
    </tableColumn>
    <tableColumn id="12" xr3:uid="{00000000-0010-0000-0B00-00000C000000}" name="2010"/>
    <tableColumn id="13" xr3:uid="{00000000-0010-0000-0B00-00000D000000}" name="D7" dataDxfId="50">
      <calculatedColumnFormula>Table41001611591121151201929173115[[#This Row],[2014]]-Table41001611591121151201929173115[[#This Row],[2010]]</calculatedColumnFormula>
    </tableColumn>
    <tableColumn id="14" xr3:uid="{00000000-0010-0000-0B00-00000E000000}" name="2014"/>
    <tableColumn id="15" xr3:uid="{00000000-0010-0000-0B00-00000F000000}" name="TOTAL ELEIÇÕES" dataDxfId="49"/>
    <tableColumn id="18" xr3:uid="{00000000-0010-0000-0B00-000012000000}" name="Column1" dataDxfId="48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able410016115911211512023121" displayName="Table410016115911211512023121" ref="A2:R35" totalsRowShown="0" headerRowDxfId="36" headerRowBorderDxfId="35" tableBorderDxfId="34">
  <sortState ref="A3:R19">
    <sortCondition descending="1" ref="Q2:Q19"/>
  </sortState>
  <tableColumns count="18">
    <tableColumn id="1" xr3:uid="{00000000-0010-0000-0C00-000001000000}" name="UF" dataDxfId="33"/>
    <tableColumn id="17" xr3:uid="{00000000-0010-0000-0C00-000011000000}" name="1986"/>
    <tableColumn id="16" xr3:uid="{00000000-0010-0000-0C00-000010000000}" name="D1" dataDxfId="32">
      <calculatedColumnFormula>Table410016115911211512023121[[#This Row],[1990]]-Table410016115911211512023121[[#This Row],[1986]]</calculatedColumnFormula>
    </tableColumn>
    <tableColumn id="2" xr3:uid="{00000000-0010-0000-0C00-000002000000}" name="1990"/>
    <tableColumn id="3" xr3:uid="{00000000-0010-0000-0C00-000003000000}" name="D2" dataDxfId="31">
      <calculatedColumnFormula>Table410016115911211512023121[[#This Row],[1994]]-Table410016115911211512023121[[#This Row],[1990]]</calculatedColumnFormula>
    </tableColumn>
    <tableColumn id="4" xr3:uid="{00000000-0010-0000-0C00-000004000000}" name="1994"/>
    <tableColumn id="5" xr3:uid="{00000000-0010-0000-0C00-000005000000}" name="D3" dataDxfId="30">
      <calculatedColumnFormula>Table410016115911211512023121[[#This Row],[1998]]-Table410016115911211512023121[[#This Row],[1994]]</calculatedColumnFormula>
    </tableColumn>
    <tableColumn id="6" xr3:uid="{00000000-0010-0000-0C00-000006000000}" name="1998"/>
    <tableColumn id="7" xr3:uid="{00000000-0010-0000-0C00-000007000000}" name="D4" dataDxfId="29">
      <calculatedColumnFormula>Table410016115911211512023121[[#This Row],[2002]]-Table410016115911211512023121[[#This Row],[1998]]</calculatedColumnFormula>
    </tableColumn>
    <tableColumn id="8" xr3:uid="{00000000-0010-0000-0C00-000008000000}" name="2002"/>
    <tableColumn id="9" xr3:uid="{00000000-0010-0000-0C00-000009000000}" name="D5" dataDxfId="28">
      <calculatedColumnFormula>Table410016115911211512023121[[#This Row],[2006]]-Table410016115911211512023121[[#This Row],[2002]]</calculatedColumnFormula>
    </tableColumn>
    <tableColumn id="10" xr3:uid="{00000000-0010-0000-0C00-00000A000000}" name="2006"/>
    <tableColumn id="11" xr3:uid="{00000000-0010-0000-0C00-00000B000000}" name="D6" dataDxfId="27">
      <calculatedColumnFormula>Table410016115911211512023121[[#This Row],[2010]]-Table410016115911211512023121[[#This Row],[2006]]</calculatedColumnFormula>
    </tableColumn>
    <tableColumn id="12" xr3:uid="{00000000-0010-0000-0C00-00000C000000}" name="2010"/>
    <tableColumn id="13" xr3:uid="{00000000-0010-0000-0C00-00000D000000}" name="D7" dataDxfId="26">
      <calculatedColumnFormula>Table410016115911211512023121[[#This Row],[2014]]-Table410016115911211512023121[[#This Row],[2010]]</calculatedColumnFormula>
    </tableColumn>
    <tableColumn id="14" xr3:uid="{00000000-0010-0000-0C00-00000E000000}" name="2014"/>
    <tableColumn id="15" xr3:uid="{00000000-0010-0000-0C00-00000F000000}" name="TOTAL ELEIÇÕES" dataDxfId="25"/>
    <tableColumn id="18" xr3:uid="{00000000-0010-0000-0C00-000012000000}" name="Column1" dataDxfId="24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le410016115911211512019293032122" displayName="Table410016115911211512019293032122" ref="A2:R35" totalsRowShown="0" headerRowDxfId="12" headerRowBorderDxfId="11" tableBorderDxfId="10">
  <sortState ref="A3:R19">
    <sortCondition descending="1" ref="Q2:Q19"/>
  </sortState>
  <tableColumns count="18">
    <tableColumn id="1" xr3:uid="{00000000-0010-0000-0D00-000001000000}" name="UF" dataDxfId="9"/>
    <tableColumn id="17" xr3:uid="{00000000-0010-0000-0D00-000011000000}" name="1986"/>
    <tableColumn id="16" xr3:uid="{00000000-0010-0000-0D00-000010000000}" name="D1" dataDxfId="8">
      <calculatedColumnFormula>Table410016115911211512019293032122[[#This Row],[1990]]-Table410016115911211512019293032122[[#This Row],[1986]]</calculatedColumnFormula>
    </tableColumn>
    <tableColumn id="2" xr3:uid="{00000000-0010-0000-0D00-000002000000}" name="1990"/>
    <tableColumn id="3" xr3:uid="{00000000-0010-0000-0D00-000003000000}" name="D2" dataDxfId="7">
      <calculatedColumnFormula>Table410016115911211512019293032122[[#This Row],[1994]]-Table410016115911211512019293032122[[#This Row],[1990]]</calculatedColumnFormula>
    </tableColumn>
    <tableColumn id="4" xr3:uid="{00000000-0010-0000-0D00-000004000000}" name="1994"/>
    <tableColumn id="5" xr3:uid="{00000000-0010-0000-0D00-000005000000}" name="D3" dataDxfId="6">
      <calculatedColumnFormula>Table410016115911211512019293032122[[#This Row],[1998]]-Table410016115911211512019293032122[[#This Row],[1994]]</calculatedColumnFormula>
    </tableColumn>
    <tableColumn id="6" xr3:uid="{00000000-0010-0000-0D00-000006000000}" name="1998"/>
    <tableColumn id="7" xr3:uid="{00000000-0010-0000-0D00-000007000000}" name="D4" dataDxfId="5">
      <calculatedColumnFormula>Table410016115911211512019293032122[[#This Row],[2002]]-Table410016115911211512019293032122[[#This Row],[1998]]</calculatedColumnFormula>
    </tableColumn>
    <tableColumn id="8" xr3:uid="{00000000-0010-0000-0D00-000008000000}" name="2002"/>
    <tableColumn id="9" xr3:uid="{00000000-0010-0000-0D00-000009000000}" name="D5" dataDxfId="4">
      <calculatedColumnFormula>Table410016115911211512019293032122[[#This Row],[2006]]-Table410016115911211512019293032122[[#This Row],[2002]]</calculatedColumnFormula>
    </tableColumn>
    <tableColumn id="10" xr3:uid="{00000000-0010-0000-0D00-00000A000000}" name="2006"/>
    <tableColumn id="11" xr3:uid="{00000000-0010-0000-0D00-00000B000000}" name="D6" dataDxfId="3">
      <calculatedColumnFormula>Table410016115911211512019293032122[[#This Row],[2010]]-Table410016115911211512019293032122[[#This Row],[2006]]</calculatedColumnFormula>
    </tableColumn>
    <tableColumn id="12" xr3:uid="{00000000-0010-0000-0D00-00000C000000}" name="2010"/>
    <tableColumn id="13" xr3:uid="{00000000-0010-0000-0D00-00000D000000}" name="D7" dataDxfId="2">
      <calculatedColumnFormula>Table410016115911211512019293032122[[#This Row],[2014]]-Table410016115911211512019293032122[[#This Row],[2010]]</calculatedColumnFormula>
    </tableColumn>
    <tableColumn id="14" xr3:uid="{00000000-0010-0000-0D00-00000E000000}" name="2014"/>
    <tableColumn id="15" xr3:uid="{00000000-0010-0000-0D00-00000F000000}" name="TOTAL ELEIÇÕES" dataDxfId="1"/>
    <tableColumn id="18" xr3:uid="{00000000-0010-0000-0D00-000012000000}" name="Column1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4100161159112161100" displayName="Table4100161159112161100" ref="A2:R35" totalsRowShown="0" headerRowDxfId="341" headerRowBorderDxfId="340" tableBorderDxfId="339">
  <sortState ref="A3:R19">
    <sortCondition descending="1" ref="Q2:Q19"/>
  </sortState>
  <tableColumns count="18">
    <tableColumn id="1" xr3:uid="{00000000-0010-0000-0100-000001000000}" name="UF" dataDxfId="338"/>
    <tableColumn id="17" xr3:uid="{00000000-0010-0000-0100-000011000000}" name="1986" dataDxfId="337"/>
    <tableColumn id="16" xr3:uid="{00000000-0010-0000-0100-000010000000}" name="D1" dataDxfId="336">
      <calculatedColumnFormula>Table4100161159112161100[[#This Row],[1990]]-Table4100161159112161100[[#This Row],[1986]]</calculatedColumnFormula>
    </tableColumn>
    <tableColumn id="2" xr3:uid="{00000000-0010-0000-0100-000002000000}" name="1990" dataDxfId="335"/>
    <tableColumn id="3" xr3:uid="{00000000-0010-0000-0100-000003000000}" name="D2" dataDxfId="334">
      <calculatedColumnFormula>Table4100161159112161100[[#This Row],[1994]]-Table4100161159112161100[[#This Row],[1990]]</calculatedColumnFormula>
    </tableColumn>
    <tableColumn id="4" xr3:uid="{00000000-0010-0000-0100-000004000000}" name="1994" dataDxfId="333"/>
    <tableColumn id="5" xr3:uid="{00000000-0010-0000-0100-000005000000}" name="D3" dataDxfId="332">
      <calculatedColumnFormula>Table4100161159112161100[[#This Row],[1998]]-Table4100161159112161100[[#This Row],[1994]]</calculatedColumnFormula>
    </tableColumn>
    <tableColumn id="6" xr3:uid="{00000000-0010-0000-0100-000006000000}" name="1998" dataDxfId="331"/>
    <tableColumn id="7" xr3:uid="{00000000-0010-0000-0100-000007000000}" name="D4" dataDxfId="330">
      <calculatedColumnFormula>Table4100161159112161100[[#This Row],[2002]]-Table4100161159112161100[[#This Row],[1998]]</calculatedColumnFormula>
    </tableColumn>
    <tableColumn id="8" xr3:uid="{00000000-0010-0000-0100-000008000000}" name="2002" dataDxfId="329"/>
    <tableColumn id="9" xr3:uid="{00000000-0010-0000-0100-000009000000}" name="D5" dataDxfId="328">
      <calculatedColumnFormula>Table4100161159112161100[[#This Row],[2006]]-Table4100161159112161100[[#This Row],[2002]]</calculatedColumnFormula>
    </tableColumn>
    <tableColumn id="10" xr3:uid="{00000000-0010-0000-0100-00000A000000}" name="2006" dataDxfId="327"/>
    <tableColumn id="11" xr3:uid="{00000000-0010-0000-0100-00000B000000}" name="D6" dataDxfId="326">
      <calculatedColumnFormula>Table4100161159112161100[[#This Row],[2010]]-Table4100161159112161100[[#This Row],[2006]]</calculatedColumnFormula>
    </tableColumn>
    <tableColumn id="12" xr3:uid="{00000000-0010-0000-0100-00000C000000}" name="2010" dataDxfId="325"/>
    <tableColumn id="13" xr3:uid="{00000000-0010-0000-0100-00000D000000}" name="D7" dataDxfId="324">
      <calculatedColumnFormula>Table4100161159112161100[[#This Row],[2014]]-Table4100161159112161100[[#This Row],[2010]]</calculatedColumnFormula>
    </tableColumn>
    <tableColumn id="14" xr3:uid="{00000000-0010-0000-0100-00000E000000}" name="2014" dataDxfId="323"/>
    <tableColumn id="15" xr3:uid="{00000000-0010-0000-0100-00000F000000}" name="TOTAL ELEIÇÕES" dataDxfId="322">
      <calculatedColumnFormula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calculatedColumnFormula>
    </tableColumn>
    <tableColumn id="18" xr3:uid="{00000000-0010-0000-0100-000012000000}" name="ASSENTOS/ESTADO" dataDxfId="32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10016115911211512026118" displayName="Table410016115911211512026118" ref="A2:R35" totalsRowShown="0" headerRowDxfId="309" headerRowBorderDxfId="308" tableBorderDxfId="307">
  <sortState ref="A3:R19">
    <sortCondition descending="1" ref="Q2:Q19"/>
  </sortState>
  <tableColumns count="18">
    <tableColumn id="1" xr3:uid="{00000000-0010-0000-0200-000001000000}" name="UF" dataDxfId="306"/>
    <tableColumn id="17" xr3:uid="{00000000-0010-0000-0200-000011000000}" name="1986"/>
    <tableColumn id="16" xr3:uid="{00000000-0010-0000-0200-000010000000}" name="D1" dataDxfId="305">
      <calculatedColumnFormula>Table410016115911211512026118[[#This Row],[1990]]-Table410016115911211512026118[[#This Row],[1986]]</calculatedColumnFormula>
    </tableColumn>
    <tableColumn id="2" xr3:uid="{00000000-0010-0000-0200-000002000000}" name="1990"/>
    <tableColumn id="3" xr3:uid="{00000000-0010-0000-0200-000003000000}" name="D2" dataDxfId="304">
      <calculatedColumnFormula>Table410016115911211512026118[[#This Row],[1994]]-Table410016115911211512026118[[#This Row],[1990]]</calculatedColumnFormula>
    </tableColumn>
    <tableColumn id="4" xr3:uid="{00000000-0010-0000-0200-000004000000}" name="1994"/>
    <tableColumn id="5" xr3:uid="{00000000-0010-0000-0200-000005000000}" name="D3" dataDxfId="303">
      <calculatedColumnFormula>Table410016115911211512026118[[#This Row],[1998]]-Table410016115911211512026118[[#This Row],[1994]]</calculatedColumnFormula>
    </tableColumn>
    <tableColumn id="6" xr3:uid="{00000000-0010-0000-0200-000006000000}" name="1998"/>
    <tableColumn id="7" xr3:uid="{00000000-0010-0000-0200-000007000000}" name="D4" dataDxfId="302">
      <calculatedColumnFormula>Table410016115911211512026118[[#This Row],[2002]]-Table410016115911211512026118[[#This Row],[1998]]</calculatedColumnFormula>
    </tableColumn>
    <tableColumn id="8" xr3:uid="{00000000-0010-0000-0200-000008000000}" name="2002"/>
    <tableColumn id="9" xr3:uid="{00000000-0010-0000-0200-000009000000}" name="D5" dataDxfId="301">
      <calculatedColumnFormula>Table410016115911211512026118[[#This Row],[2006]]-Table410016115911211512026118[[#This Row],[2002]]</calculatedColumnFormula>
    </tableColumn>
    <tableColumn id="10" xr3:uid="{00000000-0010-0000-0200-00000A000000}" name="2006"/>
    <tableColumn id="11" xr3:uid="{00000000-0010-0000-0200-00000B000000}" name="D6" dataDxfId="300">
      <calculatedColumnFormula>Table410016115911211512026118[[#This Row],[2010]]-Table410016115911211512026118[[#This Row],[2006]]</calculatedColumnFormula>
    </tableColumn>
    <tableColumn id="12" xr3:uid="{00000000-0010-0000-0200-00000C000000}" name="2010"/>
    <tableColumn id="13" xr3:uid="{00000000-0010-0000-0200-00000D000000}" name="D7" dataDxfId="299">
      <calculatedColumnFormula>Table410016115911211512026118[[#This Row],[2014]]-Table410016115911211512026118[[#This Row],[2010]]</calculatedColumnFormula>
    </tableColumn>
    <tableColumn id="14" xr3:uid="{00000000-0010-0000-0200-00000E000000}" name="2014"/>
    <tableColumn id="15" xr3:uid="{00000000-0010-0000-0200-00000F000000}" name="TOTAL ELEIÇÕES" dataDxfId="298"/>
    <tableColumn id="18" xr3:uid="{00000000-0010-0000-0200-000012000000}" name="ASSENTOS/ESTADO" dataDxfId="29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410016115911211512020113" displayName="Table410016115911211512020113" ref="A2:R35" totalsRowShown="0" headerRowDxfId="285" headerRowBorderDxfId="284" tableBorderDxfId="283">
  <sortState ref="A3:R19">
    <sortCondition descending="1" ref="Q2:Q19"/>
  </sortState>
  <tableColumns count="18">
    <tableColumn id="1" xr3:uid="{00000000-0010-0000-0300-000001000000}" name="UF" dataDxfId="282"/>
    <tableColumn id="17" xr3:uid="{00000000-0010-0000-0300-000011000000}" name="1986"/>
    <tableColumn id="16" xr3:uid="{00000000-0010-0000-0300-000010000000}" name="D1" dataDxfId="281">
      <calculatedColumnFormula>Table410016115911211512020113[[#This Row],[1990]]-Table410016115911211512020113[[#This Row],[1986]]</calculatedColumnFormula>
    </tableColumn>
    <tableColumn id="2" xr3:uid="{00000000-0010-0000-0300-000002000000}" name="1990"/>
    <tableColumn id="3" xr3:uid="{00000000-0010-0000-0300-000003000000}" name="D2" dataDxfId="280">
      <calculatedColumnFormula>Table410016115911211512020113[[#This Row],[1994]]-Table410016115911211512020113[[#This Row],[1990]]</calculatedColumnFormula>
    </tableColumn>
    <tableColumn id="4" xr3:uid="{00000000-0010-0000-0300-000004000000}" name="1994"/>
    <tableColumn id="5" xr3:uid="{00000000-0010-0000-0300-000005000000}" name="D3" dataDxfId="279">
      <calculatedColumnFormula>Table410016115911211512020113[[#This Row],[1998]]-Table410016115911211512020113[[#This Row],[1994]]</calculatedColumnFormula>
    </tableColumn>
    <tableColumn id="6" xr3:uid="{00000000-0010-0000-0300-000006000000}" name="1998"/>
    <tableColumn id="7" xr3:uid="{00000000-0010-0000-0300-000007000000}" name="D4" dataDxfId="278">
      <calculatedColumnFormula>Table410016115911211512020113[[#This Row],[2002]]-Table410016115911211512020113[[#This Row],[1998]]</calculatedColumnFormula>
    </tableColumn>
    <tableColumn id="8" xr3:uid="{00000000-0010-0000-0300-000008000000}" name="2002"/>
    <tableColumn id="9" xr3:uid="{00000000-0010-0000-0300-000009000000}" name="D5" dataDxfId="277">
      <calculatedColumnFormula>Table410016115911211512020113[[#This Row],[2006]]-Table410016115911211512020113[[#This Row],[2002]]</calculatedColumnFormula>
    </tableColumn>
    <tableColumn id="10" xr3:uid="{00000000-0010-0000-0300-00000A000000}" name="2006"/>
    <tableColumn id="11" xr3:uid="{00000000-0010-0000-0300-00000B000000}" name="D6" dataDxfId="276">
      <calculatedColumnFormula>Table410016115911211512020113[[#This Row],[2010]]-Table410016115911211512020113[[#This Row],[2006]]</calculatedColumnFormula>
    </tableColumn>
    <tableColumn id="12" xr3:uid="{00000000-0010-0000-0300-00000C000000}" name="2010"/>
    <tableColumn id="13" xr3:uid="{00000000-0010-0000-0300-00000D000000}" name="D7" dataDxfId="275">
      <calculatedColumnFormula>Table410016115911211512020113[[#This Row],[2014]]-Table410016115911211512020113[[#This Row],[2010]]</calculatedColumnFormula>
    </tableColumn>
    <tableColumn id="14" xr3:uid="{00000000-0010-0000-0300-00000E000000}" name="2014"/>
    <tableColumn id="15" xr3:uid="{00000000-0010-0000-0300-00000F000000}" name="TOTAL ELEIÇÕES" dataDxfId="274"/>
    <tableColumn id="18" xr3:uid="{00000000-0010-0000-0300-000012000000}" name="ASSENTOS/ESTADO" dataDxfId="27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410016115911211512024120" displayName="Table410016115911211512024120" ref="A2:R35" totalsRowShown="0" headerRowDxfId="256" headerRowBorderDxfId="255" tableBorderDxfId="254">
  <sortState ref="A3:R19">
    <sortCondition descending="1" ref="Q2:Q19"/>
  </sortState>
  <tableColumns count="18">
    <tableColumn id="1" xr3:uid="{00000000-0010-0000-0400-000001000000}" name="UF" dataDxfId="253"/>
    <tableColumn id="17" xr3:uid="{00000000-0010-0000-0400-000011000000}" name="1986" dataDxfId="252"/>
    <tableColumn id="16" xr3:uid="{00000000-0010-0000-0400-000010000000}" name="D1" dataDxfId="251">
      <calculatedColumnFormula>Table410016115911211512024120[[#This Row],[1990]]-Table410016115911211512024120[[#This Row],[1986]]</calculatedColumnFormula>
    </tableColumn>
    <tableColumn id="2" xr3:uid="{00000000-0010-0000-0400-000002000000}" name="1990" dataDxfId="250"/>
    <tableColumn id="3" xr3:uid="{00000000-0010-0000-0400-000003000000}" name="D2" dataDxfId="249">
      <calculatedColumnFormula>Table410016115911211512024120[[#This Row],[1994]]-Table410016115911211512024120[[#This Row],[1990]]</calculatedColumnFormula>
    </tableColumn>
    <tableColumn id="4" xr3:uid="{00000000-0010-0000-0400-000004000000}" name="1994" dataDxfId="248"/>
    <tableColumn id="5" xr3:uid="{00000000-0010-0000-0400-000005000000}" name="D3" dataDxfId="247">
      <calculatedColumnFormula>Table410016115911211512024120[[#This Row],[1998]]-Table410016115911211512024120[[#This Row],[1994]]</calculatedColumnFormula>
    </tableColumn>
    <tableColumn id="6" xr3:uid="{00000000-0010-0000-0400-000006000000}" name="1998" dataDxfId="246"/>
    <tableColumn id="7" xr3:uid="{00000000-0010-0000-0400-000007000000}" name="D4" dataDxfId="245">
      <calculatedColumnFormula>Table410016115911211512024120[[#This Row],[2002]]-Table410016115911211512024120[[#This Row],[1998]]</calculatedColumnFormula>
    </tableColumn>
    <tableColumn id="8" xr3:uid="{00000000-0010-0000-0400-000008000000}" name="2002" dataDxfId="244"/>
    <tableColumn id="9" xr3:uid="{00000000-0010-0000-0400-000009000000}" name="D5" dataDxfId="243">
      <calculatedColumnFormula>Table410016115911211512024120[[#This Row],[2006]]-Table410016115911211512024120[[#This Row],[2002]]</calculatedColumnFormula>
    </tableColumn>
    <tableColumn id="10" xr3:uid="{00000000-0010-0000-0400-00000A000000}" name="2006" dataDxfId="242"/>
    <tableColumn id="11" xr3:uid="{00000000-0010-0000-0400-00000B000000}" name="D6" dataDxfId="241">
      <calculatedColumnFormula>Table410016115911211512024120[[#This Row],[2010]]-Table410016115911211512024120[[#This Row],[2006]]</calculatedColumnFormula>
    </tableColumn>
    <tableColumn id="12" xr3:uid="{00000000-0010-0000-0400-00000C000000}" name="2010" dataDxfId="240"/>
    <tableColumn id="13" xr3:uid="{00000000-0010-0000-0400-00000D000000}" name="D7" dataDxfId="239">
      <calculatedColumnFormula>Table410016115911211512024120[[#This Row],[2014]]-Table410016115911211512024120[[#This Row],[2010]]</calculatedColumnFormula>
    </tableColumn>
    <tableColumn id="14" xr3:uid="{00000000-0010-0000-0400-00000E000000}" name="2014" dataDxfId="238"/>
    <tableColumn id="15" xr3:uid="{00000000-0010-0000-0400-00000F000000}" name="TOTAL ELEIÇÕES" dataDxfId="237"/>
    <tableColumn id="18" xr3:uid="{00000000-0010-0000-0400-000012000000}" name="ASSENTOS/ESTADO" dataDxfId="23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4100161159112115120192930179116" displayName="Table4100161159112115120192930179116" ref="A2:R35" totalsRowShown="0" headerRowDxfId="224" headerRowBorderDxfId="223" tableBorderDxfId="222">
  <sortState ref="A3:R19">
    <sortCondition descending="1" ref="Q2:Q19"/>
  </sortState>
  <tableColumns count="18">
    <tableColumn id="1" xr3:uid="{00000000-0010-0000-0500-000001000000}" name="UF" dataDxfId="221"/>
    <tableColumn id="17" xr3:uid="{00000000-0010-0000-0500-000011000000}" name="1986" dataDxfId="220"/>
    <tableColumn id="16" xr3:uid="{00000000-0010-0000-0500-000010000000}" name="D1" dataDxfId="219">
      <calculatedColumnFormula>Table4100161159112115120192930179116[[#This Row],[1990]]-Table4100161159112115120192930179116[[#This Row],[1986]]</calculatedColumnFormula>
    </tableColumn>
    <tableColumn id="2" xr3:uid="{00000000-0010-0000-0500-000002000000}" name="1990" dataDxfId="218"/>
    <tableColumn id="3" xr3:uid="{00000000-0010-0000-0500-000003000000}" name="D2" dataDxfId="217">
      <calculatedColumnFormula>Table4100161159112115120192930179116[[#This Row],[1994]]-Table4100161159112115120192930179116[[#This Row],[1990]]</calculatedColumnFormula>
    </tableColumn>
    <tableColumn id="4" xr3:uid="{00000000-0010-0000-0500-000004000000}" name="1994" dataDxfId="216"/>
    <tableColumn id="5" xr3:uid="{00000000-0010-0000-0500-000005000000}" name="D3" dataDxfId="215">
      <calculatedColumnFormula>Table4100161159112115120192930179116[[#This Row],[1998]]-Table4100161159112115120192930179116[[#This Row],[1994]]</calculatedColumnFormula>
    </tableColumn>
    <tableColumn id="6" xr3:uid="{00000000-0010-0000-0500-000006000000}" name="1998" dataDxfId="214"/>
    <tableColumn id="7" xr3:uid="{00000000-0010-0000-0500-000007000000}" name="D4" dataDxfId="213">
      <calculatedColumnFormula>Table4100161159112115120192930179116[[#This Row],[2002]]-Table4100161159112115120192930179116[[#This Row],[1998]]</calculatedColumnFormula>
    </tableColumn>
    <tableColumn id="8" xr3:uid="{00000000-0010-0000-0500-000008000000}" name="2002" dataDxfId="212"/>
    <tableColumn id="9" xr3:uid="{00000000-0010-0000-0500-000009000000}" name="D5" dataDxfId="211">
      <calculatedColumnFormula>Table4100161159112115120192930179116[[#This Row],[2006]]-Table4100161159112115120192930179116[[#This Row],[2002]]</calculatedColumnFormula>
    </tableColumn>
    <tableColumn id="10" xr3:uid="{00000000-0010-0000-0500-00000A000000}" name="2006" dataDxfId="210"/>
    <tableColumn id="11" xr3:uid="{00000000-0010-0000-0500-00000B000000}" name="D6" dataDxfId="209">
      <calculatedColumnFormula>Table4100161159112115120192930179116[[#This Row],[2010]]-Table4100161159112115120192930179116[[#This Row],[2006]]</calculatedColumnFormula>
    </tableColumn>
    <tableColumn id="12" xr3:uid="{00000000-0010-0000-0500-00000C000000}" name="2010" dataDxfId="208"/>
    <tableColumn id="13" xr3:uid="{00000000-0010-0000-0500-00000D000000}" name="D7" dataDxfId="207">
      <calculatedColumnFormula>Table4100161159112115120192930179116[[#This Row],[2014]]-Table4100161159112115120192930179116[[#This Row],[2010]]</calculatedColumnFormula>
    </tableColumn>
    <tableColumn id="14" xr3:uid="{00000000-0010-0000-0500-00000E000000}" name="2014" dataDxfId="206"/>
    <tableColumn id="15" xr3:uid="{00000000-0010-0000-0500-00000F000000}" name="TOTAL ELEIÇÕES" dataDxfId="205"/>
    <tableColumn id="18" xr3:uid="{00000000-0010-0000-0500-000012000000}" name="ASSENTOS/ESTADO" dataDxfId="204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410016115911211512019114" displayName="Table410016115911211512019114" ref="A2:R35" totalsRowShown="0" headerRowDxfId="192" headerRowBorderDxfId="191" tableBorderDxfId="190">
  <sortState ref="A3:R19">
    <sortCondition descending="1" ref="Q2:Q19"/>
  </sortState>
  <tableColumns count="18">
    <tableColumn id="1" xr3:uid="{00000000-0010-0000-0600-000001000000}" name="UF" dataDxfId="189"/>
    <tableColumn id="17" xr3:uid="{00000000-0010-0000-0600-000011000000}" name="1986" dataDxfId="188"/>
    <tableColumn id="16" xr3:uid="{00000000-0010-0000-0600-000010000000}" name="D1" dataDxfId="187">
      <calculatedColumnFormula>Table410016115911211512019114[[#This Row],[1990]]-Table410016115911211512019114[[#This Row],[1986]]</calculatedColumnFormula>
    </tableColumn>
    <tableColumn id="2" xr3:uid="{00000000-0010-0000-0600-000002000000}" name="1990" dataDxfId="186"/>
    <tableColumn id="3" xr3:uid="{00000000-0010-0000-0600-000003000000}" name="D2" dataDxfId="185">
      <calculatedColumnFormula>Table410016115911211512019114[[#This Row],[1994]]-Table410016115911211512019114[[#This Row],[1990]]</calculatedColumnFormula>
    </tableColumn>
    <tableColumn id="4" xr3:uid="{00000000-0010-0000-0600-000004000000}" name="1994" dataDxfId="184"/>
    <tableColumn id="5" xr3:uid="{00000000-0010-0000-0600-000005000000}" name="D3" dataDxfId="183">
      <calculatedColumnFormula>Table410016115911211512019114[[#This Row],[1998]]-Table410016115911211512019114[[#This Row],[1994]]</calculatedColumnFormula>
    </tableColumn>
    <tableColumn id="6" xr3:uid="{00000000-0010-0000-0600-000006000000}" name="1998" dataDxfId="182"/>
    <tableColumn id="7" xr3:uid="{00000000-0010-0000-0600-000007000000}" name="D4" dataDxfId="181">
      <calculatedColumnFormula>Table410016115911211512019114[[#This Row],[2002]]-Table410016115911211512019114[[#This Row],[1998]]</calculatedColumnFormula>
    </tableColumn>
    <tableColumn id="8" xr3:uid="{00000000-0010-0000-0600-000008000000}" name="2002" dataDxfId="180"/>
    <tableColumn id="9" xr3:uid="{00000000-0010-0000-0600-000009000000}" name="D5" dataDxfId="179">
      <calculatedColumnFormula>Table410016115911211512019114[[#This Row],[2006]]-Table410016115911211512019114[[#This Row],[2002]]</calculatedColumnFormula>
    </tableColumn>
    <tableColumn id="10" xr3:uid="{00000000-0010-0000-0600-00000A000000}" name="2006" dataDxfId="178"/>
    <tableColumn id="11" xr3:uid="{00000000-0010-0000-0600-00000B000000}" name="D6" dataDxfId="177">
      <calculatedColumnFormula>Table410016115911211512019114[[#This Row],[2010]]-Table410016115911211512019114[[#This Row],[2006]]</calculatedColumnFormula>
    </tableColumn>
    <tableColumn id="12" xr3:uid="{00000000-0010-0000-0600-00000C000000}" name="2010" dataDxfId="176"/>
    <tableColumn id="13" xr3:uid="{00000000-0010-0000-0600-00000D000000}" name="D7" dataDxfId="175">
      <calculatedColumnFormula>Table410016115911211512019114[[#This Row],[2014]]-Table410016115911211512019114[[#This Row],[2010]]</calculatedColumnFormula>
    </tableColumn>
    <tableColumn id="14" xr3:uid="{00000000-0010-0000-0600-00000E000000}" name="2014" dataDxfId="174"/>
    <tableColumn id="15" xr3:uid="{00000000-0010-0000-0600-00000F000000}" name="TOTAL ELEIÇÕES" dataDxfId="173"/>
    <tableColumn id="18" xr3:uid="{00000000-0010-0000-0600-000012000000}" name="ASSENTOS/ESTADO" dataDxfId="17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41001611591121151201929303233180123" displayName="Table41001611591121151201929303233180123" ref="A2:R35" totalsRowShown="0" headerRowDxfId="160" headerRowBorderDxfId="159" tableBorderDxfId="158">
  <sortState ref="A3:R19">
    <sortCondition descending="1" ref="Q2:Q19"/>
  </sortState>
  <tableColumns count="18">
    <tableColumn id="1" xr3:uid="{00000000-0010-0000-0700-000001000000}" name="UF" dataDxfId="157"/>
    <tableColumn id="17" xr3:uid="{00000000-0010-0000-0700-000011000000}" name="1986"/>
    <tableColumn id="16" xr3:uid="{00000000-0010-0000-0700-000010000000}" name="D1" dataDxfId="156">
      <calculatedColumnFormula>Table41001611591121151201929303233180123[[#This Row],[1990]]-Table41001611591121151201929303233180123[[#This Row],[1986]]</calculatedColumnFormula>
    </tableColumn>
    <tableColumn id="2" xr3:uid="{00000000-0010-0000-0700-000002000000}" name="1990"/>
    <tableColumn id="3" xr3:uid="{00000000-0010-0000-0700-000003000000}" name="D2" dataDxfId="155">
      <calculatedColumnFormula>Table41001611591121151201929303233180123[[#This Row],[1994]]-Table41001611591121151201929303233180123[[#This Row],[1990]]</calculatedColumnFormula>
    </tableColumn>
    <tableColumn id="4" xr3:uid="{00000000-0010-0000-0700-000004000000}" name="1994"/>
    <tableColumn id="5" xr3:uid="{00000000-0010-0000-0700-000005000000}" name="D3" dataDxfId="154">
      <calculatedColumnFormula>Table41001611591121151201929303233180123[[#This Row],[1998]]-Table41001611591121151201929303233180123[[#This Row],[1994]]</calculatedColumnFormula>
    </tableColumn>
    <tableColumn id="6" xr3:uid="{00000000-0010-0000-0700-000006000000}" name="1998"/>
    <tableColumn id="7" xr3:uid="{00000000-0010-0000-0700-000007000000}" name="D4" dataDxfId="153">
      <calculatedColumnFormula>Table41001611591121151201929303233180123[[#This Row],[2002]]-Table41001611591121151201929303233180123[[#This Row],[1998]]</calculatedColumnFormula>
    </tableColumn>
    <tableColumn id="8" xr3:uid="{00000000-0010-0000-0700-000008000000}" name="2002"/>
    <tableColumn id="9" xr3:uid="{00000000-0010-0000-0700-000009000000}" name="D5" dataDxfId="152">
      <calculatedColumnFormula>Table41001611591121151201929303233180123[[#This Row],[2006]]-Table41001611591121151201929303233180123[[#This Row],[2002]]</calculatedColumnFormula>
    </tableColumn>
    <tableColumn id="10" xr3:uid="{00000000-0010-0000-0700-00000A000000}" name="2006"/>
    <tableColumn id="11" xr3:uid="{00000000-0010-0000-0700-00000B000000}" name="D6" dataDxfId="151">
      <calculatedColumnFormula>Table41001611591121151201929303233180123[[#This Row],[2010]]-Table41001611591121151201929303233180123[[#This Row],[2006]]</calculatedColumnFormula>
    </tableColumn>
    <tableColumn id="12" xr3:uid="{00000000-0010-0000-0700-00000C000000}" name="2010"/>
    <tableColumn id="13" xr3:uid="{00000000-0010-0000-0700-00000D000000}" name="D7" dataDxfId="150">
      <calculatedColumnFormula>Table41001611591121151201929303233180123[[#This Row],[2014]]-Table41001611591121151201929303233180123[[#This Row],[2010]]</calculatedColumnFormula>
    </tableColumn>
    <tableColumn id="14" xr3:uid="{00000000-0010-0000-0700-00000E000000}" name="2014"/>
    <tableColumn id="15" xr3:uid="{00000000-0010-0000-0700-00000F000000}" name="TOTAL ELEIÇÕES" dataDxfId="149"/>
    <tableColumn id="18" xr3:uid="{00000000-0010-0000-0700-000012000000}" name="ASSENTOS/ESTADO" dataDxfId="148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4100161159112115120192931175117" displayName="Table4100161159112115120192931175117" ref="A2:R35" totalsRowShown="0" headerRowDxfId="136" headerRowBorderDxfId="135" tableBorderDxfId="134">
  <sortState ref="A3:R19">
    <sortCondition descending="1" ref="Q2:Q19"/>
  </sortState>
  <tableColumns count="18">
    <tableColumn id="1" xr3:uid="{00000000-0010-0000-0800-000001000000}" name="UF" dataDxfId="133"/>
    <tableColumn id="17" xr3:uid="{00000000-0010-0000-0800-000011000000}" name="1986"/>
    <tableColumn id="16" xr3:uid="{00000000-0010-0000-0800-000010000000}" name="D1" dataDxfId="132">
      <calculatedColumnFormula>Table4100161159112115120192931175117[[#This Row],[1990]]-Table4100161159112115120192931175117[[#This Row],[1986]]</calculatedColumnFormula>
    </tableColumn>
    <tableColumn id="2" xr3:uid="{00000000-0010-0000-0800-000002000000}" name="1990"/>
    <tableColumn id="3" xr3:uid="{00000000-0010-0000-0800-000003000000}" name="D2" dataDxfId="131">
      <calculatedColumnFormula>Table4100161159112115120192931175117[[#This Row],[1994]]-Table4100161159112115120192931175117[[#This Row],[1990]]</calculatedColumnFormula>
    </tableColumn>
    <tableColumn id="4" xr3:uid="{00000000-0010-0000-0800-000004000000}" name="1994"/>
    <tableColumn id="5" xr3:uid="{00000000-0010-0000-0800-000005000000}" name="D3" dataDxfId="130">
      <calculatedColumnFormula>Table4100161159112115120192931175117[[#This Row],[1998]]-Table4100161159112115120192931175117[[#This Row],[1994]]</calculatedColumnFormula>
    </tableColumn>
    <tableColumn id="6" xr3:uid="{00000000-0010-0000-0800-000006000000}" name="1998"/>
    <tableColumn id="7" xr3:uid="{00000000-0010-0000-0800-000007000000}" name="D4" dataDxfId="129">
      <calculatedColumnFormula>Table4100161159112115120192931175117[[#This Row],[2002]]-Table4100161159112115120192931175117[[#This Row],[1998]]</calculatedColumnFormula>
    </tableColumn>
    <tableColumn id="8" xr3:uid="{00000000-0010-0000-0800-000008000000}" name="2002"/>
    <tableColumn id="9" xr3:uid="{00000000-0010-0000-0800-000009000000}" name="D5" dataDxfId="128">
      <calculatedColumnFormula>Table4100161159112115120192931175117[[#This Row],[2006]]-Table4100161159112115120192931175117[[#This Row],[2002]]</calculatedColumnFormula>
    </tableColumn>
    <tableColumn id="10" xr3:uid="{00000000-0010-0000-0800-00000A000000}" name="2006"/>
    <tableColumn id="11" xr3:uid="{00000000-0010-0000-0800-00000B000000}" name="D6" dataDxfId="127">
      <calculatedColumnFormula>Table4100161159112115120192931175117[[#This Row],[2010]]-Table4100161159112115120192931175117[[#This Row],[2006]]</calculatedColumnFormula>
    </tableColumn>
    <tableColumn id="12" xr3:uid="{00000000-0010-0000-0800-00000C000000}" name="2010"/>
    <tableColumn id="13" xr3:uid="{00000000-0010-0000-0800-00000D000000}" name="D7" dataDxfId="126">
      <calculatedColumnFormula>Table4100161159112115120192931175117[[#This Row],[2014]]-Table4100161159112115120192931175117[[#This Row],[2010]]</calculatedColumnFormula>
    </tableColumn>
    <tableColumn id="14" xr3:uid="{00000000-0010-0000-0800-00000E000000}" name="2014"/>
    <tableColumn id="15" xr3:uid="{00000000-0010-0000-0800-00000F000000}" name="TOTAL ELEIÇÕES" dataDxfId="125"/>
    <tableColumn id="18" xr3:uid="{00000000-0010-0000-0800-000012000000}" name="ASSENTOS/ESTADO" dataDxfId="12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workbookViewId="0">
      <selection activeCell="X3" sqref="X3"/>
    </sheetView>
  </sheetViews>
  <sheetFormatPr baseColWidth="10" defaultRowHeight="16"/>
  <cols>
    <col min="1" max="1" width="17.33203125" customWidth="1"/>
    <col min="20" max="20" width="13" customWidth="1"/>
    <col min="23" max="23" width="16.33203125" customWidth="1"/>
  </cols>
  <sheetData>
    <row r="1" spans="1:23" ht="19">
      <c r="A1" s="1"/>
      <c r="B1" s="2">
        <v>1982</v>
      </c>
      <c r="C1" s="1"/>
      <c r="D1" s="2">
        <v>1986</v>
      </c>
      <c r="E1" s="1"/>
      <c r="F1" s="2">
        <v>1990</v>
      </c>
      <c r="G1" s="3"/>
      <c r="H1" s="2">
        <v>1994</v>
      </c>
      <c r="I1" s="2"/>
      <c r="J1" s="2">
        <v>1998</v>
      </c>
      <c r="K1" s="2"/>
      <c r="L1" s="2">
        <v>2002</v>
      </c>
      <c r="M1" s="2"/>
      <c r="N1" s="2">
        <v>2006</v>
      </c>
      <c r="O1" s="2"/>
      <c r="P1" s="2">
        <v>2010</v>
      </c>
      <c r="Q1" s="2"/>
      <c r="R1" s="2">
        <v>2014</v>
      </c>
      <c r="S1" s="2"/>
      <c r="T1" s="2" t="s">
        <v>0</v>
      </c>
      <c r="U1" s="4" t="s">
        <v>1</v>
      </c>
      <c r="W1" s="5" t="s">
        <v>2</v>
      </c>
    </row>
    <row r="2" spans="1:23">
      <c r="A2" s="6" t="s">
        <v>3</v>
      </c>
      <c r="B2" s="7">
        <v>200</v>
      </c>
      <c r="C2" s="7">
        <f t="shared" ref="C2:C43" si="0">D2-B2</f>
        <v>60</v>
      </c>
      <c r="D2" s="8">
        <v>260</v>
      </c>
      <c r="E2" s="8">
        <f t="shared" ref="E2:E43" si="1">F2-D2</f>
        <v>-158</v>
      </c>
      <c r="F2" s="8">
        <v>102</v>
      </c>
      <c r="G2" s="8">
        <f t="shared" ref="G2:G43" si="2">H2-F2</f>
        <v>5</v>
      </c>
      <c r="H2" s="9">
        <v>107</v>
      </c>
      <c r="I2" s="8">
        <f t="shared" ref="I2:I43" si="3">J2-H2</f>
        <v>-21</v>
      </c>
      <c r="J2" s="9">
        <v>86</v>
      </c>
      <c r="K2" s="8">
        <f t="shared" ref="K2:K43" si="4">L2-J2</f>
        <v>-13</v>
      </c>
      <c r="L2" s="9">
        <v>73</v>
      </c>
      <c r="M2" s="8">
        <f t="shared" ref="M2:M43" si="5">N2-L2</f>
        <v>17</v>
      </c>
      <c r="N2" s="9">
        <v>90</v>
      </c>
      <c r="O2" s="8">
        <f t="shared" ref="O2:O43" si="6">P2-N2</f>
        <v>-12</v>
      </c>
      <c r="P2" s="9">
        <v>78</v>
      </c>
      <c r="Q2" s="8">
        <f t="shared" ref="Q2:Q43" si="7">R2-P2</f>
        <v>-15</v>
      </c>
      <c r="R2" s="8">
        <v>63</v>
      </c>
      <c r="S2" s="8">
        <f t="shared" ref="S2:S43" si="8">T2-R2</f>
        <v>-8</v>
      </c>
      <c r="T2" s="8">
        <v>55</v>
      </c>
      <c r="U2" s="10">
        <f t="shared" ref="U2:U43" si="9">SUM(B2,D2,F2,H2,J2,L2,N2,P2,R2)</f>
        <v>1059</v>
      </c>
      <c r="W2" s="11">
        <f>SUM(F2,H2,J2,L2,N2,P2,R2)</f>
        <v>599</v>
      </c>
    </row>
    <row r="3" spans="1:23">
      <c r="A3" s="6" t="s">
        <v>4</v>
      </c>
      <c r="B3" s="7"/>
      <c r="C3" s="7">
        <f t="shared" si="0"/>
        <v>118</v>
      </c>
      <c r="D3" s="8">
        <v>118</v>
      </c>
      <c r="E3" s="8">
        <f t="shared" si="1"/>
        <v>-31</v>
      </c>
      <c r="F3" s="9">
        <v>87</v>
      </c>
      <c r="G3" s="8">
        <f t="shared" si="2"/>
        <v>2</v>
      </c>
      <c r="H3" s="9">
        <v>89</v>
      </c>
      <c r="I3" s="8">
        <f t="shared" si="3"/>
        <v>16</v>
      </c>
      <c r="J3" s="9">
        <v>105</v>
      </c>
      <c r="K3" s="8">
        <f t="shared" si="4"/>
        <v>-21</v>
      </c>
      <c r="L3" s="9">
        <v>84</v>
      </c>
      <c r="M3" s="8">
        <f t="shared" si="5"/>
        <v>-21</v>
      </c>
      <c r="N3" s="9">
        <v>63</v>
      </c>
      <c r="O3" s="8">
        <f t="shared" si="6"/>
        <v>-20</v>
      </c>
      <c r="P3" s="9">
        <v>43</v>
      </c>
      <c r="Q3" s="8">
        <f t="shared" si="7"/>
        <v>-19</v>
      </c>
      <c r="R3" s="8">
        <v>24</v>
      </c>
      <c r="S3" s="8">
        <f t="shared" si="8"/>
        <v>13</v>
      </c>
      <c r="T3" s="8">
        <v>37</v>
      </c>
      <c r="U3" s="10">
        <f t="shared" si="9"/>
        <v>613</v>
      </c>
      <c r="W3" s="11">
        <f t="shared" ref="W3:W43" si="10">SUM(F3,H3,J3,L3,N3,P3,R3)</f>
        <v>495</v>
      </c>
    </row>
    <row r="4" spans="1:23">
      <c r="A4" s="6" t="s">
        <v>5</v>
      </c>
      <c r="B4" s="7">
        <v>8</v>
      </c>
      <c r="C4" s="7">
        <f t="shared" si="0"/>
        <v>8</v>
      </c>
      <c r="D4" s="8">
        <v>16</v>
      </c>
      <c r="E4" s="8">
        <f t="shared" si="1"/>
        <v>20</v>
      </c>
      <c r="F4" s="9">
        <v>36</v>
      </c>
      <c r="G4" s="8">
        <f t="shared" si="2"/>
        <v>13</v>
      </c>
      <c r="H4" s="9">
        <v>49</v>
      </c>
      <c r="I4" s="8">
        <f t="shared" si="3"/>
        <v>10</v>
      </c>
      <c r="J4" s="9">
        <v>59</v>
      </c>
      <c r="K4" s="8">
        <f t="shared" si="4"/>
        <v>32</v>
      </c>
      <c r="L4" s="9">
        <v>91</v>
      </c>
      <c r="M4" s="8">
        <f t="shared" si="5"/>
        <v>-11</v>
      </c>
      <c r="N4" s="9">
        <v>80</v>
      </c>
      <c r="O4" s="8">
        <f t="shared" si="6"/>
        <v>8</v>
      </c>
      <c r="P4" s="9">
        <v>88</v>
      </c>
      <c r="Q4" s="8">
        <f t="shared" si="7"/>
        <v>-20</v>
      </c>
      <c r="R4" s="8">
        <v>68</v>
      </c>
      <c r="S4" s="8">
        <f t="shared" si="8"/>
        <v>-10</v>
      </c>
      <c r="T4" s="8">
        <v>58</v>
      </c>
      <c r="U4" s="10">
        <f t="shared" si="9"/>
        <v>495</v>
      </c>
      <c r="W4" s="11">
        <f t="shared" si="10"/>
        <v>471</v>
      </c>
    </row>
    <row r="5" spans="1:23">
      <c r="A5" s="6" t="s">
        <v>6</v>
      </c>
      <c r="B5" s="7"/>
      <c r="C5" s="7">
        <f t="shared" si="0"/>
        <v>0</v>
      </c>
      <c r="D5" s="8"/>
      <c r="E5" s="8">
        <f t="shared" si="1"/>
        <v>40</v>
      </c>
      <c r="F5" s="9">
        <v>40</v>
      </c>
      <c r="G5" s="8">
        <f t="shared" si="2"/>
        <v>21</v>
      </c>
      <c r="H5" s="9">
        <v>61</v>
      </c>
      <c r="I5" s="8">
        <f t="shared" si="3"/>
        <v>35</v>
      </c>
      <c r="J5" s="9">
        <v>96</v>
      </c>
      <c r="K5" s="8">
        <f t="shared" si="4"/>
        <v>-26</v>
      </c>
      <c r="L5" s="9">
        <v>70</v>
      </c>
      <c r="M5" s="8">
        <f t="shared" si="5"/>
        <v>-8</v>
      </c>
      <c r="N5" s="9">
        <v>62</v>
      </c>
      <c r="O5" s="8">
        <f t="shared" si="6"/>
        <v>-8</v>
      </c>
      <c r="P5" s="9">
        <v>54</v>
      </c>
      <c r="Q5" s="8">
        <f t="shared" si="7"/>
        <v>-5</v>
      </c>
      <c r="R5" s="8">
        <v>49</v>
      </c>
      <c r="S5" s="8">
        <f t="shared" si="8"/>
        <v>-3</v>
      </c>
      <c r="T5" s="8">
        <v>46</v>
      </c>
      <c r="U5" s="10">
        <f t="shared" si="9"/>
        <v>432</v>
      </c>
      <c r="W5" s="11">
        <f t="shared" si="10"/>
        <v>432</v>
      </c>
    </row>
    <row r="6" spans="1:23">
      <c r="A6" s="6" t="s">
        <v>7</v>
      </c>
      <c r="B6" s="7">
        <v>235</v>
      </c>
      <c r="C6" s="7">
        <f t="shared" si="0"/>
        <v>-202</v>
      </c>
      <c r="D6" s="9">
        <v>33</v>
      </c>
      <c r="E6" s="8">
        <f t="shared" si="1"/>
        <v>10</v>
      </c>
      <c r="F6" s="9">
        <v>43</v>
      </c>
      <c r="G6" s="8">
        <f t="shared" si="2"/>
        <v>-43</v>
      </c>
      <c r="H6" s="9"/>
      <c r="I6" s="8">
        <f t="shared" si="3"/>
        <v>0</v>
      </c>
      <c r="J6" s="9"/>
      <c r="K6" s="8">
        <f t="shared" si="4"/>
        <v>0</v>
      </c>
      <c r="L6" s="9"/>
      <c r="M6" s="8">
        <f t="shared" si="5"/>
        <v>0</v>
      </c>
      <c r="N6" s="9"/>
      <c r="O6" s="8">
        <f t="shared" si="6"/>
        <v>0</v>
      </c>
      <c r="P6" s="9"/>
      <c r="Q6" s="8">
        <f t="shared" si="7"/>
        <v>0</v>
      </c>
      <c r="R6" s="9"/>
      <c r="S6" s="8">
        <f t="shared" si="8"/>
        <v>0</v>
      </c>
      <c r="T6" s="9"/>
      <c r="U6" s="10">
        <f t="shared" si="9"/>
        <v>311</v>
      </c>
      <c r="W6" s="11">
        <f t="shared" si="10"/>
        <v>43</v>
      </c>
    </row>
    <row r="7" spans="1:23">
      <c r="A7" s="6" t="s">
        <v>8</v>
      </c>
      <c r="B7" s="7">
        <v>23</v>
      </c>
      <c r="C7" s="7">
        <f t="shared" si="0"/>
        <v>1</v>
      </c>
      <c r="D7" s="8">
        <v>24</v>
      </c>
      <c r="E7" s="8">
        <f t="shared" si="1"/>
        <v>16</v>
      </c>
      <c r="F7" s="9">
        <v>40</v>
      </c>
      <c r="G7" s="8">
        <f t="shared" si="2"/>
        <v>-6</v>
      </c>
      <c r="H7" s="9">
        <v>34</v>
      </c>
      <c r="I7" s="8">
        <f t="shared" si="3"/>
        <v>-9</v>
      </c>
      <c r="J7" s="9">
        <v>25</v>
      </c>
      <c r="K7" s="8">
        <f t="shared" si="4"/>
        <v>-5</v>
      </c>
      <c r="L7" s="9">
        <v>20</v>
      </c>
      <c r="M7" s="8">
        <f t="shared" si="5"/>
        <v>3</v>
      </c>
      <c r="N7" s="9">
        <v>23</v>
      </c>
      <c r="O7" s="8">
        <f t="shared" si="6"/>
        <v>3</v>
      </c>
      <c r="P7" s="9">
        <v>26</v>
      </c>
      <c r="Q7" s="8">
        <f t="shared" si="7"/>
        <v>-5</v>
      </c>
      <c r="R7" s="8">
        <v>21</v>
      </c>
      <c r="S7" s="8">
        <f t="shared" si="8"/>
        <v>0</v>
      </c>
      <c r="T7" s="8">
        <v>21</v>
      </c>
      <c r="U7" s="10">
        <f t="shared" si="9"/>
        <v>236</v>
      </c>
      <c r="W7" s="11">
        <f t="shared" si="10"/>
        <v>189</v>
      </c>
    </row>
    <row r="8" spans="1:23">
      <c r="A8" s="6" t="s">
        <v>9</v>
      </c>
      <c r="B8" s="7">
        <v>13</v>
      </c>
      <c r="C8" s="7">
        <f t="shared" si="0"/>
        <v>4</v>
      </c>
      <c r="D8" s="8">
        <v>17</v>
      </c>
      <c r="E8" s="8">
        <f t="shared" si="1"/>
        <v>15</v>
      </c>
      <c r="F8" s="9">
        <v>32</v>
      </c>
      <c r="G8" s="8">
        <f t="shared" si="2"/>
        <v>-2</v>
      </c>
      <c r="H8" s="9">
        <v>30</v>
      </c>
      <c r="I8" s="8">
        <f t="shared" si="3"/>
        <v>1</v>
      </c>
      <c r="J8" s="9">
        <v>31</v>
      </c>
      <c r="K8" s="8">
        <f t="shared" si="4"/>
        <v>-1</v>
      </c>
      <c r="L8" s="9">
        <v>30</v>
      </c>
      <c r="M8" s="8">
        <f t="shared" si="5"/>
        <v>-7</v>
      </c>
      <c r="N8" s="9">
        <v>23</v>
      </c>
      <c r="O8" s="8">
        <f t="shared" si="6"/>
        <v>-1</v>
      </c>
      <c r="P8" s="9">
        <v>22</v>
      </c>
      <c r="Q8" s="8">
        <f t="shared" si="7"/>
        <v>2</v>
      </c>
      <c r="R8" s="8">
        <v>24</v>
      </c>
      <c r="S8" s="8">
        <f t="shared" si="8"/>
        <v>-8</v>
      </c>
      <c r="T8" s="8">
        <v>16</v>
      </c>
      <c r="U8" s="10">
        <f t="shared" si="9"/>
        <v>222</v>
      </c>
      <c r="W8" s="11">
        <f t="shared" si="10"/>
        <v>192</v>
      </c>
    </row>
    <row r="9" spans="1:23">
      <c r="A9" s="6" t="s">
        <v>10</v>
      </c>
      <c r="B9" s="7"/>
      <c r="C9" s="7">
        <f t="shared" si="0"/>
        <v>1</v>
      </c>
      <c r="D9" s="8">
        <v>1</v>
      </c>
      <c r="E9" s="8">
        <f t="shared" si="1"/>
        <v>10</v>
      </c>
      <c r="F9" s="9">
        <v>11</v>
      </c>
      <c r="G9" s="8">
        <f t="shared" si="2"/>
        <v>4</v>
      </c>
      <c r="H9" s="9">
        <v>15</v>
      </c>
      <c r="I9" s="8">
        <f t="shared" si="3"/>
        <v>3</v>
      </c>
      <c r="J9" s="9">
        <v>18</v>
      </c>
      <c r="K9" s="8">
        <f t="shared" si="4"/>
        <v>5</v>
      </c>
      <c r="L9" s="9">
        <v>23</v>
      </c>
      <c r="M9" s="8">
        <f t="shared" si="5"/>
        <v>6</v>
      </c>
      <c r="N9" s="9">
        <v>29</v>
      </c>
      <c r="O9" s="8">
        <f t="shared" si="6"/>
        <v>5</v>
      </c>
      <c r="P9" s="9">
        <v>34</v>
      </c>
      <c r="Q9" s="8">
        <f t="shared" si="7"/>
        <v>1</v>
      </c>
      <c r="R9" s="8">
        <v>35</v>
      </c>
      <c r="S9" s="8">
        <f t="shared" si="8"/>
        <v>-2</v>
      </c>
      <c r="T9" s="8">
        <v>33</v>
      </c>
      <c r="U9" s="10">
        <f t="shared" si="9"/>
        <v>166</v>
      </c>
      <c r="W9" s="11">
        <f t="shared" si="10"/>
        <v>165</v>
      </c>
    </row>
    <row r="10" spans="1:23">
      <c r="A10" s="6" t="s">
        <v>11</v>
      </c>
      <c r="B10" s="7"/>
      <c r="C10" s="7">
        <f t="shared" si="0"/>
        <v>0</v>
      </c>
      <c r="D10" s="9"/>
      <c r="E10" s="8">
        <f t="shared" si="1"/>
        <v>0</v>
      </c>
      <c r="F10" s="9"/>
      <c r="G10" s="8">
        <f t="shared" si="2"/>
        <v>53</v>
      </c>
      <c r="H10" s="9">
        <v>53</v>
      </c>
      <c r="I10" s="8">
        <f t="shared" si="3"/>
        <v>6</v>
      </c>
      <c r="J10" s="9">
        <v>59</v>
      </c>
      <c r="K10" s="8">
        <f t="shared" si="4"/>
        <v>-10</v>
      </c>
      <c r="L10" s="9">
        <v>49</v>
      </c>
      <c r="M10" s="8">
        <f t="shared" si="5"/>
        <v>-49</v>
      </c>
      <c r="N10" s="9"/>
      <c r="O10" s="8">
        <f t="shared" si="6"/>
        <v>0</v>
      </c>
      <c r="P10" s="9"/>
      <c r="Q10" s="8">
        <f t="shared" si="7"/>
        <v>0</v>
      </c>
      <c r="R10" s="9"/>
      <c r="S10" s="8">
        <f t="shared" si="8"/>
        <v>0</v>
      </c>
      <c r="T10" s="9"/>
      <c r="U10" s="10">
        <f t="shared" si="9"/>
        <v>161</v>
      </c>
      <c r="W10" s="11">
        <f t="shared" si="10"/>
        <v>161</v>
      </c>
    </row>
    <row r="11" spans="1:23">
      <c r="A11" s="6" t="s">
        <v>12</v>
      </c>
      <c r="B11" s="7"/>
      <c r="C11" s="7">
        <f t="shared" si="0"/>
        <v>0</v>
      </c>
      <c r="D11" s="8"/>
      <c r="E11" s="8">
        <f t="shared" si="1"/>
        <v>0</v>
      </c>
      <c r="F11" s="9"/>
      <c r="G11" s="8">
        <f t="shared" si="2"/>
        <v>35</v>
      </c>
      <c r="H11" s="9">
        <v>35</v>
      </c>
      <c r="I11" s="8">
        <f t="shared" si="3"/>
        <v>-35</v>
      </c>
      <c r="J11" s="9"/>
      <c r="K11" s="8">
        <f t="shared" si="4"/>
        <v>0</v>
      </c>
      <c r="L11" s="9"/>
      <c r="M11" s="8">
        <f t="shared" si="5"/>
        <v>41</v>
      </c>
      <c r="N11" s="9">
        <v>41</v>
      </c>
      <c r="O11" s="8">
        <f t="shared" si="6"/>
        <v>3</v>
      </c>
      <c r="P11" s="9">
        <v>44</v>
      </c>
      <c r="Q11" s="8">
        <f t="shared" si="7"/>
        <v>-6</v>
      </c>
      <c r="R11" s="8">
        <v>38</v>
      </c>
      <c r="S11" s="8">
        <f t="shared" si="8"/>
        <v>7</v>
      </c>
      <c r="T11" s="8">
        <v>45</v>
      </c>
      <c r="U11" s="10">
        <f t="shared" si="9"/>
        <v>158</v>
      </c>
      <c r="W11" s="11">
        <f t="shared" si="10"/>
        <v>158</v>
      </c>
    </row>
    <row r="12" spans="1:23">
      <c r="A12" s="6" t="s">
        <v>13</v>
      </c>
      <c r="B12" s="7"/>
      <c r="C12" s="7">
        <f t="shared" si="0"/>
        <v>0</v>
      </c>
      <c r="D12" s="8"/>
      <c r="E12" s="8">
        <f t="shared" si="1"/>
        <v>0</v>
      </c>
      <c r="F12" s="9"/>
      <c r="G12" s="8">
        <f t="shared" si="2"/>
        <v>0</v>
      </c>
      <c r="H12" s="9"/>
      <c r="I12" s="8">
        <f t="shared" si="3"/>
        <v>0</v>
      </c>
      <c r="J12" s="9"/>
      <c r="K12" s="8">
        <f t="shared" si="4"/>
        <v>0</v>
      </c>
      <c r="L12" s="9"/>
      <c r="M12" s="8">
        <f t="shared" si="5"/>
        <v>33</v>
      </c>
      <c r="N12" s="9">
        <v>33</v>
      </c>
      <c r="O12" s="8">
        <f t="shared" si="6"/>
        <v>6</v>
      </c>
      <c r="P12" s="9">
        <v>39</v>
      </c>
      <c r="Q12" s="8">
        <f t="shared" si="7"/>
        <v>-5</v>
      </c>
      <c r="R12" s="8">
        <v>34</v>
      </c>
      <c r="S12" s="8">
        <f t="shared" si="8"/>
        <v>3</v>
      </c>
      <c r="T12" s="8">
        <v>37</v>
      </c>
      <c r="U12" s="10">
        <f t="shared" si="9"/>
        <v>106</v>
      </c>
      <c r="W12" s="11">
        <f t="shared" si="10"/>
        <v>106</v>
      </c>
    </row>
    <row r="13" spans="1:23">
      <c r="A13" s="6" t="s">
        <v>14</v>
      </c>
      <c r="B13" s="7"/>
      <c r="C13" s="7">
        <f t="shared" si="0"/>
        <v>3</v>
      </c>
      <c r="D13" s="8">
        <v>3</v>
      </c>
      <c r="E13" s="8">
        <f t="shared" si="1"/>
        <v>2</v>
      </c>
      <c r="F13" s="9">
        <v>5</v>
      </c>
      <c r="G13" s="8">
        <f t="shared" si="2"/>
        <v>5</v>
      </c>
      <c r="H13" s="9">
        <v>10</v>
      </c>
      <c r="I13" s="8">
        <f t="shared" si="3"/>
        <v>-3</v>
      </c>
      <c r="J13" s="9">
        <v>7</v>
      </c>
      <c r="K13" s="8">
        <f t="shared" si="4"/>
        <v>5</v>
      </c>
      <c r="L13" s="9">
        <v>12</v>
      </c>
      <c r="M13" s="8">
        <f t="shared" si="5"/>
        <v>1</v>
      </c>
      <c r="N13" s="9">
        <v>13</v>
      </c>
      <c r="O13" s="8">
        <f t="shared" si="6"/>
        <v>2</v>
      </c>
      <c r="P13" s="9">
        <v>15</v>
      </c>
      <c r="Q13" s="8">
        <f t="shared" si="7"/>
        <v>-4</v>
      </c>
      <c r="R13" s="8">
        <v>11</v>
      </c>
      <c r="S13" s="8">
        <f t="shared" si="8"/>
        <v>0</v>
      </c>
      <c r="T13" s="8">
        <v>11</v>
      </c>
      <c r="U13" s="10">
        <f t="shared" si="9"/>
        <v>76</v>
      </c>
      <c r="W13" s="11">
        <f t="shared" si="10"/>
        <v>73</v>
      </c>
    </row>
    <row r="14" spans="1:23">
      <c r="A14" s="6" t="s">
        <v>15</v>
      </c>
      <c r="B14" s="7"/>
      <c r="C14" s="7">
        <f t="shared" si="0"/>
        <v>6</v>
      </c>
      <c r="D14" s="9">
        <v>6</v>
      </c>
      <c r="E14" s="8">
        <f t="shared" si="1"/>
        <v>12</v>
      </c>
      <c r="F14" s="9">
        <v>18</v>
      </c>
      <c r="G14" s="8">
        <f t="shared" si="2"/>
        <v>-4</v>
      </c>
      <c r="H14" s="9">
        <v>14</v>
      </c>
      <c r="I14" s="8">
        <f t="shared" si="3"/>
        <v>-2</v>
      </c>
      <c r="J14" s="9">
        <v>12</v>
      </c>
      <c r="K14" s="8">
        <f t="shared" si="4"/>
        <v>14</v>
      </c>
      <c r="L14" s="9">
        <v>26</v>
      </c>
      <c r="M14" s="8">
        <f t="shared" si="5"/>
        <v>-26</v>
      </c>
      <c r="N14" s="9"/>
      <c r="O14" s="8">
        <f t="shared" si="6"/>
        <v>0</v>
      </c>
      <c r="P14" s="9"/>
      <c r="Q14" s="8">
        <f t="shared" si="7"/>
        <v>0</v>
      </c>
      <c r="R14" s="9"/>
      <c r="S14" s="8">
        <f t="shared" si="8"/>
        <v>0</v>
      </c>
      <c r="T14" s="9"/>
      <c r="U14" s="10">
        <f t="shared" si="9"/>
        <v>76</v>
      </c>
      <c r="W14" s="11">
        <f t="shared" si="10"/>
        <v>70</v>
      </c>
    </row>
    <row r="15" spans="1:23">
      <c r="A15" s="6" t="s">
        <v>16</v>
      </c>
      <c r="B15" s="7"/>
      <c r="C15" s="7">
        <f t="shared" si="0"/>
        <v>0</v>
      </c>
      <c r="D15" s="8"/>
      <c r="E15" s="8">
        <f t="shared" si="1"/>
        <v>3</v>
      </c>
      <c r="F15" s="9">
        <v>3</v>
      </c>
      <c r="G15" s="8">
        <f t="shared" si="2"/>
        <v>-1</v>
      </c>
      <c r="H15" s="9">
        <v>2</v>
      </c>
      <c r="I15" s="8">
        <f t="shared" si="3"/>
        <v>1</v>
      </c>
      <c r="J15" s="9">
        <v>3</v>
      </c>
      <c r="K15" s="8">
        <f t="shared" si="4"/>
        <v>11</v>
      </c>
      <c r="L15" s="9">
        <v>14</v>
      </c>
      <c r="M15" s="8">
        <f t="shared" si="5"/>
        <v>2</v>
      </c>
      <c r="N15" s="9">
        <v>16</v>
      </c>
      <c r="O15" s="8">
        <f t="shared" si="6"/>
        <v>-4</v>
      </c>
      <c r="P15" s="9">
        <v>12</v>
      </c>
      <c r="Q15" s="8">
        <f t="shared" si="7"/>
        <v>-4</v>
      </c>
      <c r="R15" s="8">
        <v>8</v>
      </c>
      <c r="S15" s="8">
        <f t="shared" si="8"/>
        <v>1</v>
      </c>
      <c r="T15" s="8">
        <v>9</v>
      </c>
      <c r="U15" s="10">
        <f t="shared" si="9"/>
        <v>58</v>
      </c>
      <c r="W15" s="11">
        <f t="shared" si="10"/>
        <v>58</v>
      </c>
    </row>
    <row r="16" spans="1:23">
      <c r="A16" s="6" t="s">
        <v>17</v>
      </c>
      <c r="B16" s="7"/>
      <c r="C16" s="7">
        <f t="shared" si="0"/>
        <v>0</v>
      </c>
      <c r="D16" s="8"/>
      <c r="E16" s="8">
        <f t="shared" si="1"/>
        <v>5</v>
      </c>
      <c r="F16" s="9">
        <v>5</v>
      </c>
      <c r="G16" s="8">
        <f t="shared" si="2"/>
        <v>-2</v>
      </c>
      <c r="H16" s="9">
        <v>3</v>
      </c>
      <c r="I16" s="8">
        <f t="shared" si="3"/>
        <v>0</v>
      </c>
      <c r="J16" s="9">
        <v>3</v>
      </c>
      <c r="K16" s="8">
        <f t="shared" si="4"/>
        <v>1</v>
      </c>
      <c r="L16" s="9">
        <v>4</v>
      </c>
      <c r="M16" s="8">
        <f t="shared" si="5"/>
        <v>-4</v>
      </c>
      <c r="N16" s="9"/>
      <c r="O16" s="8">
        <f t="shared" si="6"/>
        <v>0</v>
      </c>
      <c r="P16" s="9"/>
      <c r="Q16" s="8">
        <f t="shared" si="7"/>
        <v>38</v>
      </c>
      <c r="R16" s="8">
        <v>38</v>
      </c>
      <c r="S16" s="8">
        <f t="shared" si="8"/>
        <v>2</v>
      </c>
      <c r="T16" s="8">
        <v>40</v>
      </c>
      <c r="U16" s="10">
        <f t="shared" si="9"/>
        <v>53</v>
      </c>
      <c r="W16" s="11">
        <f t="shared" si="10"/>
        <v>53</v>
      </c>
    </row>
    <row r="17" spans="1:23">
      <c r="A17" s="6" t="s">
        <v>18</v>
      </c>
      <c r="B17" s="7"/>
      <c r="C17" s="7">
        <f t="shared" si="0"/>
        <v>1</v>
      </c>
      <c r="D17" s="8">
        <v>1</v>
      </c>
      <c r="E17" s="8">
        <f t="shared" si="1"/>
        <v>5</v>
      </c>
      <c r="F17" s="9">
        <v>6</v>
      </c>
      <c r="G17" s="8">
        <f t="shared" si="2"/>
        <v>-3</v>
      </c>
      <c r="H17" s="9">
        <v>3</v>
      </c>
      <c r="I17" s="8">
        <f t="shared" si="3"/>
        <v>-1</v>
      </c>
      <c r="J17" s="9">
        <v>2</v>
      </c>
      <c r="K17" s="8">
        <f t="shared" si="4"/>
        <v>-1</v>
      </c>
      <c r="L17" s="9">
        <v>1</v>
      </c>
      <c r="M17" s="8">
        <f t="shared" si="5"/>
        <v>7</v>
      </c>
      <c r="N17" s="9">
        <v>8</v>
      </c>
      <c r="O17" s="8">
        <f t="shared" si="6"/>
        <v>9</v>
      </c>
      <c r="P17" s="9">
        <v>17</v>
      </c>
      <c r="Q17" s="8">
        <f t="shared" si="7"/>
        <v>-5</v>
      </c>
      <c r="R17" s="8">
        <v>12</v>
      </c>
      <c r="S17" s="8">
        <f t="shared" si="8"/>
        <v>-2</v>
      </c>
      <c r="T17" s="8">
        <v>10</v>
      </c>
      <c r="U17" s="10">
        <f t="shared" si="9"/>
        <v>50</v>
      </c>
      <c r="W17" s="11">
        <f t="shared" si="10"/>
        <v>49</v>
      </c>
    </row>
    <row r="18" spans="1:23">
      <c r="A18" s="6" t="s">
        <v>19</v>
      </c>
      <c r="B18" s="7"/>
      <c r="C18" s="7">
        <f t="shared" si="0"/>
        <v>0</v>
      </c>
      <c r="D18" s="8"/>
      <c r="E18" s="8">
        <f t="shared" si="1"/>
        <v>1</v>
      </c>
      <c r="F18" s="9">
        <v>1</v>
      </c>
      <c r="G18" s="8">
        <f t="shared" si="2"/>
        <v>0</v>
      </c>
      <c r="H18" s="9">
        <v>1</v>
      </c>
      <c r="I18" s="8">
        <f t="shared" si="3"/>
        <v>0</v>
      </c>
      <c r="J18" s="9">
        <v>1</v>
      </c>
      <c r="K18" s="8">
        <f t="shared" si="4"/>
        <v>4</v>
      </c>
      <c r="L18" s="9">
        <v>5</v>
      </c>
      <c r="M18" s="8">
        <f t="shared" si="5"/>
        <v>8</v>
      </c>
      <c r="N18" s="9">
        <v>13</v>
      </c>
      <c r="O18" s="8">
        <f t="shared" si="6"/>
        <v>1</v>
      </c>
      <c r="P18" s="9">
        <v>14</v>
      </c>
      <c r="Q18" s="8">
        <f t="shared" si="7"/>
        <v>-7</v>
      </c>
      <c r="R18" s="8">
        <v>7</v>
      </c>
      <c r="S18" s="8">
        <f t="shared" si="8"/>
        <v>-1</v>
      </c>
      <c r="T18" s="8">
        <v>6</v>
      </c>
      <c r="U18" s="10">
        <f t="shared" si="9"/>
        <v>42</v>
      </c>
      <c r="W18" s="11">
        <f t="shared" si="10"/>
        <v>42</v>
      </c>
    </row>
    <row r="19" spans="1:23">
      <c r="A19" s="6" t="s">
        <v>20</v>
      </c>
      <c r="B19" s="7"/>
      <c r="C19" s="7">
        <f t="shared" si="0"/>
        <v>0</v>
      </c>
      <c r="D19" s="8"/>
      <c r="E19" s="8">
        <f t="shared" si="1"/>
        <v>0</v>
      </c>
      <c r="F19" s="9"/>
      <c r="G19" s="8">
        <f t="shared" si="2"/>
        <v>1</v>
      </c>
      <c r="H19" s="9">
        <v>1</v>
      </c>
      <c r="I19" s="8">
        <f t="shared" si="3"/>
        <v>0</v>
      </c>
      <c r="J19" s="9">
        <v>1</v>
      </c>
      <c r="K19" s="8">
        <f t="shared" si="4"/>
        <v>-1</v>
      </c>
      <c r="L19" s="9"/>
      <c r="M19" s="8">
        <f t="shared" si="5"/>
        <v>1</v>
      </c>
      <c r="N19" s="9">
        <v>1</v>
      </c>
      <c r="O19" s="8">
        <f t="shared" si="6"/>
        <v>7</v>
      </c>
      <c r="P19" s="9">
        <v>8</v>
      </c>
      <c r="Q19" s="8">
        <f t="shared" si="7"/>
        <v>14</v>
      </c>
      <c r="R19" s="8">
        <v>22</v>
      </c>
      <c r="S19" s="8">
        <f t="shared" si="8"/>
        <v>1</v>
      </c>
      <c r="T19" s="8">
        <v>23</v>
      </c>
      <c r="U19" s="10">
        <f t="shared" si="9"/>
        <v>33</v>
      </c>
      <c r="W19" s="11">
        <f t="shared" si="10"/>
        <v>33</v>
      </c>
    </row>
    <row r="20" spans="1:23">
      <c r="A20" s="6" t="s">
        <v>21</v>
      </c>
      <c r="B20" s="7"/>
      <c r="C20" s="7">
        <f t="shared" si="0"/>
        <v>0</v>
      </c>
      <c r="D20" s="9"/>
      <c r="E20" s="8">
        <f t="shared" si="1"/>
        <v>28</v>
      </c>
      <c r="F20" s="9">
        <v>28</v>
      </c>
      <c r="G20" s="8">
        <f t="shared" si="2"/>
        <v>-27</v>
      </c>
      <c r="H20" s="9">
        <v>1</v>
      </c>
      <c r="I20" s="8">
        <f t="shared" si="3"/>
        <v>-1</v>
      </c>
      <c r="J20" s="9"/>
      <c r="K20" s="8">
        <f t="shared" si="4"/>
        <v>0</v>
      </c>
      <c r="L20" s="9"/>
      <c r="M20" s="8">
        <f t="shared" si="5"/>
        <v>0</v>
      </c>
      <c r="N20" s="9"/>
      <c r="O20" s="8">
        <f t="shared" si="6"/>
        <v>0</v>
      </c>
      <c r="P20" s="9"/>
      <c r="Q20" s="8">
        <f t="shared" si="7"/>
        <v>0</v>
      </c>
      <c r="R20" s="9"/>
      <c r="S20" s="8">
        <f t="shared" si="8"/>
        <v>0</v>
      </c>
      <c r="T20" s="9"/>
      <c r="U20" s="10">
        <f t="shared" si="9"/>
        <v>29</v>
      </c>
      <c r="W20" s="11">
        <f t="shared" si="10"/>
        <v>29</v>
      </c>
    </row>
    <row r="21" spans="1:23">
      <c r="A21" s="6" t="s">
        <v>22</v>
      </c>
      <c r="B21" s="7"/>
      <c r="C21" s="7">
        <f t="shared" si="0"/>
        <v>5</v>
      </c>
      <c r="D21" s="9">
        <v>5</v>
      </c>
      <c r="E21" s="8">
        <f t="shared" si="1"/>
        <v>13</v>
      </c>
      <c r="F21" s="9">
        <v>18</v>
      </c>
      <c r="G21" s="8">
        <f t="shared" si="2"/>
        <v>-18</v>
      </c>
      <c r="H21" s="9"/>
      <c r="I21" s="8">
        <f t="shared" si="3"/>
        <v>0</v>
      </c>
      <c r="J21" s="9"/>
      <c r="K21" s="8">
        <f t="shared" si="4"/>
        <v>0</v>
      </c>
      <c r="L21" s="9"/>
      <c r="M21" s="8">
        <f t="shared" si="5"/>
        <v>0</v>
      </c>
      <c r="N21" s="9"/>
      <c r="O21" s="8">
        <f t="shared" si="6"/>
        <v>0</v>
      </c>
      <c r="P21" s="9"/>
      <c r="Q21" s="8">
        <f t="shared" si="7"/>
        <v>0</v>
      </c>
      <c r="R21" s="9"/>
      <c r="S21" s="8">
        <f t="shared" si="8"/>
        <v>0</v>
      </c>
      <c r="T21" s="9"/>
      <c r="U21" s="10">
        <f t="shared" si="9"/>
        <v>23</v>
      </c>
      <c r="W21" s="11">
        <f t="shared" si="10"/>
        <v>18</v>
      </c>
    </row>
    <row r="22" spans="1:23">
      <c r="A22" s="6" t="s">
        <v>23</v>
      </c>
      <c r="B22" s="7"/>
      <c r="C22" s="7">
        <f t="shared" si="0"/>
        <v>0</v>
      </c>
      <c r="D22" s="9"/>
      <c r="E22" s="8">
        <f t="shared" si="1"/>
        <v>17</v>
      </c>
      <c r="F22" s="9">
        <v>17</v>
      </c>
      <c r="G22" s="8">
        <f t="shared" si="2"/>
        <v>-17</v>
      </c>
      <c r="H22" s="9"/>
      <c r="I22" s="8">
        <f t="shared" si="3"/>
        <v>0</v>
      </c>
      <c r="J22" s="9"/>
      <c r="K22" s="8">
        <f t="shared" si="4"/>
        <v>0</v>
      </c>
      <c r="L22" s="9"/>
      <c r="M22" s="8">
        <f t="shared" si="5"/>
        <v>0</v>
      </c>
      <c r="N22" s="9"/>
      <c r="O22" s="8">
        <f t="shared" si="6"/>
        <v>0</v>
      </c>
      <c r="P22" s="9"/>
      <c r="Q22" s="8">
        <f t="shared" si="7"/>
        <v>0</v>
      </c>
      <c r="R22" s="9"/>
      <c r="S22" s="8">
        <f t="shared" si="8"/>
        <v>0</v>
      </c>
      <c r="T22" s="9"/>
      <c r="U22" s="10">
        <f t="shared" si="9"/>
        <v>17</v>
      </c>
      <c r="W22" s="11">
        <f t="shared" si="10"/>
        <v>17</v>
      </c>
    </row>
    <row r="23" spans="1:23">
      <c r="A23" s="6" t="s">
        <v>24</v>
      </c>
      <c r="B23" s="7"/>
      <c r="C23" s="7">
        <f t="shared" si="0"/>
        <v>0</v>
      </c>
      <c r="D23" s="8"/>
      <c r="E23" s="8">
        <f t="shared" si="1"/>
        <v>0</v>
      </c>
      <c r="F23" s="8"/>
      <c r="G23" s="8">
        <f t="shared" si="2"/>
        <v>4</v>
      </c>
      <c r="H23" s="9">
        <v>4</v>
      </c>
      <c r="I23" s="8">
        <f t="shared" si="3"/>
        <v>-2</v>
      </c>
      <c r="J23" s="9">
        <v>2</v>
      </c>
      <c r="K23" s="8">
        <f t="shared" si="4"/>
        <v>-1</v>
      </c>
      <c r="L23" s="9">
        <v>1</v>
      </c>
      <c r="M23" s="8">
        <f t="shared" si="5"/>
        <v>4</v>
      </c>
      <c r="N23" s="9">
        <v>5</v>
      </c>
      <c r="O23" s="8">
        <f t="shared" si="6"/>
        <v>-1</v>
      </c>
      <c r="P23" s="9">
        <v>4</v>
      </c>
      <c r="Q23" s="8">
        <f t="shared" si="7"/>
        <v>-3</v>
      </c>
      <c r="R23" s="8">
        <v>1</v>
      </c>
      <c r="S23" s="8">
        <f t="shared" si="8"/>
        <v>-1</v>
      </c>
      <c r="T23" s="8"/>
      <c r="U23" s="10">
        <f t="shared" si="9"/>
        <v>17</v>
      </c>
      <c r="W23" s="11">
        <f t="shared" si="10"/>
        <v>17</v>
      </c>
    </row>
    <row r="24" spans="1:23">
      <c r="A24" s="6" t="s">
        <v>25</v>
      </c>
      <c r="B24" s="7"/>
      <c r="C24" s="7">
        <f t="shared" si="0"/>
        <v>0</v>
      </c>
      <c r="D24" s="8"/>
      <c r="E24" s="8">
        <f t="shared" si="1"/>
        <v>0</v>
      </c>
      <c r="F24" s="8"/>
      <c r="G24" s="8">
        <f t="shared" si="2"/>
        <v>0</v>
      </c>
      <c r="H24" s="9"/>
      <c r="I24" s="8">
        <f t="shared" si="3"/>
        <v>0</v>
      </c>
      <c r="J24" s="9"/>
      <c r="K24" s="8">
        <f t="shared" si="4"/>
        <v>0</v>
      </c>
      <c r="L24" s="9"/>
      <c r="M24" s="8">
        <f t="shared" si="5"/>
        <v>0</v>
      </c>
      <c r="N24" s="9"/>
      <c r="O24" s="8">
        <f t="shared" si="6"/>
        <v>0</v>
      </c>
      <c r="P24" s="9"/>
      <c r="Q24" s="8">
        <f t="shared" si="7"/>
        <v>15</v>
      </c>
      <c r="R24" s="8">
        <v>15</v>
      </c>
      <c r="S24" s="8">
        <f t="shared" si="8"/>
        <v>-1</v>
      </c>
      <c r="T24" s="8">
        <v>14</v>
      </c>
      <c r="U24" s="10">
        <f t="shared" si="9"/>
        <v>15</v>
      </c>
      <c r="W24" s="11">
        <f t="shared" si="10"/>
        <v>15</v>
      </c>
    </row>
    <row r="25" spans="1:23">
      <c r="A25" s="6" t="s">
        <v>26</v>
      </c>
      <c r="B25" s="7"/>
      <c r="C25" s="7">
        <f t="shared" si="0"/>
        <v>0</v>
      </c>
      <c r="D25" s="8"/>
      <c r="E25" s="8">
        <f t="shared" si="1"/>
        <v>0</v>
      </c>
      <c r="F25" s="9"/>
      <c r="G25" s="8">
        <f t="shared" si="2"/>
        <v>0</v>
      </c>
      <c r="H25" s="9"/>
      <c r="I25" s="8">
        <f t="shared" si="3"/>
        <v>0</v>
      </c>
      <c r="J25" s="9"/>
      <c r="K25" s="8">
        <f t="shared" si="4"/>
        <v>0</v>
      </c>
      <c r="L25" s="9"/>
      <c r="M25" s="8">
        <f t="shared" si="5"/>
        <v>3</v>
      </c>
      <c r="N25" s="9">
        <v>3</v>
      </c>
      <c r="O25" s="8">
        <f t="shared" si="6"/>
        <v>0</v>
      </c>
      <c r="P25" s="9">
        <v>3</v>
      </c>
      <c r="Q25" s="8">
        <f t="shared" si="7"/>
        <v>3</v>
      </c>
      <c r="R25" s="8">
        <v>6</v>
      </c>
      <c r="S25" s="8">
        <f t="shared" si="8"/>
        <v>0</v>
      </c>
      <c r="T25" s="8">
        <v>6</v>
      </c>
      <c r="U25" s="10">
        <f t="shared" si="9"/>
        <v>12</v>
      </c>
      <c r="W25" s="11">
        <f t="shared" si="10"/>
        <v>12</v>
      </c>
    </row>
    <row r="26" spans="1:23">
      <c r="A26" s="6" t="s">
        <v>27</v>
      </c>
      <c r="B26" s="7"/>
      <c r="C26" s="7">
        <f t="shared" si="0"/>
        <v>0</v>
      </c>
      <c r="D26" s="9"/>
      <c r="E26" s="8">
        <f t="shared" si="1"/>
        <v>8</v>
      </c>
      <c r="F26" s="9">
        <v>8</v>
      </c>
      <c r="G26" s="8">
        <f t="shared" si="2"/>
        <v>-8</v>
      </c>
      <c r="H26" s="9"/>
      <c r="I26" s="8">
        <f t="shared" si="3"/>
        <v>1</v>
      </c>
      <c r="J26" s="9">
        <v>1</v>
      </c>
      <c r="K26" s="8">
        <f t="shared" si="4"/>
        <v>1</v>
      </c>
      <c r="L26" s="9">
        <v>2</v>
      </c>
      <c r="M26" s="8">
        <f t="shared" si="5"/>
        <v>-2</v>
      </c>
      <c r="N26" s="9"/>
      <c r="O26" s="8">
        <f t="shared" si="6"/>
        <v>0</v>
      </c>
      <c r="P26" s="9"/>
      <c r="Q26" s="8">
        <f t="shared" si="7"/>
        <v>0</v>
      </c>
      <c r="R26" s="9"/>
      <c r="S26" s="8">
        <f t="shared" si="8"/>
        <v>0</v>
      </c>
      <c r="T26" s="9"/>
      <c r="U26" s="10">
        <f t="shared" si="9"/>
        <v>11</v>
      </c>
      <c r="W26" s="11">
        <f t="shared" si="10"/>
        <v>11</v>
      </c>
    </row>
    <row r="27" spans="1:23">
      <c r="A27" s="6" t="s">
        <v>28</v>
      </c>
      <c r="B27" s="7"/>
      <c r="C27" s="7">
        <f t="shared" si="0"/>
        <v>0</v>
      </c>
      <c r="D27" s="8"/>
      <c r="E27" s="8">
        <f t="shared" si="1"/>
        <v>0</v>
      </c>
      <c r="F27" s="8"/>
      <c r="G27" s="8">
        <f t="shared" si="2"/>
        <v>0</v>
      </c>
      <c r="H27" s="9"/>
      <c r="I27" s="8">
        <f t="shared" si="3"/>
        <v>0</v>
      </c>
      <c r="J27" s="9"/>
      <c r="K27" s="8">
        <f t="shared" si="4"/>
        <v>0</v>
      </c>
      <c r="L27" s="9"/>
      <c r="M27" s="8">
        <f t="shared" si="5"/>
        <v>2</v>
      </c>
      <c r="N27" s="9">
        <v>2</v>
      </c>
      <c r="O27" s="8">
        <f t="shared" si="6"/>
        <v>0</v>
      </c>
      <c r="P27" s="9">
        <v>2</v>
      </c>
      <c r="Q27" s="8">
        <f t="shared" si="7"/>
        <v>4</v>
      </c>
      <c r="R27" s="8">
        <v>6</v>
      </c>
      <c r="S27" s="8">
        <f t="shared" si="8"/>
        <v>1</v>
      </c>
      <c r="T27" s="8">
        <v>7</v>
      </c>
      <c r="U27" s="10">
        <f t="shared" si="9"/>
        <v>10</v>
      </c>
      <c r="W27" s="11">
        <f t="shared" si="10"/>
        <v>10</v>
      </c>
    </row>
    <row r="28" spans="1:23">
      <c r="A28" s="6" t="s">
        <v>29</v>
      </c>
      <c r="B28" s="7"/>
      <c r="C28" s="7">
        <f t="shared" si="0"/>
        <v>0</v>
      </c>
      <c r="D28" s="8"/>
      <c r="E28" s="8">
        <f t="shared" si="1"/>
        <v>0</v>
      </c>
      <c r="F28" s="9"/>
      <c r="G28" s="8">
        <f t="shared" si="2"/>
        <v>0</v>
      </c>
      <c r="H28" s="9"/>
      <c r="I28" s="8">
        <f t="shared" si="3"/>
        <v>0</v>
      </c>
      <c r="J28" s="9"/>
      <c r="K28" s="8">
        <f t="shared" si="4"/>
        <v>0</v>
      </c>
      <c r="L28" s="9"/>
      <c r="M28" s="8">
        <f t="shared" si="5"/>
        <v>0</v>
      </c>
      <c r="N28" s="9"/>
      <c r="O28" s="8">
        <f t="shared" si="6"/>
        <v>0</v>
      </c>
      <c r="P28" s="9"/>
      <c r="Q28" s="8">
        <f t="shared" si="7"/>
        <v>10</v>
      </c>
      <c r="R28" s="8">
        <v>10</v>
      </c>
      <c r="S28" s="8">
        <f t="shared" si="8"/>
        <v>-3</v>
      </c>
      <c r="T28" s="8">
        <v>7</v>
      </c>
      <c r="U28" s="10">
        <f t="shared" si="9"/>
        <v>10</v>
      </c>
      <c r="W28" s="11">
        <f t="shared" si="10"/>
        <v>10</v>
      </c>
    </row>
    <row r="29" spans="1:23">
      <c r="A29" s="6" t="s">
        <v>30</v>
      </c>
      <c r="B29" s="7"/>
      <c r="C29" s="7">
        <f t="shared" si="0"/>
        <v>0</v>
      </c>
      <c r="D29" s="8"/>
      <c r="E29" s="8">
        <f t="shared" si="1"/>
        <v>0</v>
      </c>
      <c r="F29" s="9"/>
      <c r="G29" s="8">
        <f t="shared" si="2"/>
        <v>0</v>
      </c>
      <c r="H29" s="9"/>
      <c r="I29" s="8">
        <f t="shared" si="3"/>
        <v>0</v>
      </c>
      <c r="J29" s="9"/>
      <c r="K29" s="8">
        <f t="shared" si="4"/>
        <v>0</v>
      </c>
      <c r="L29" s="9"/>
      <c r="M29" s="8">
        <f t="shared" si="5"/>
        <v>0</v>
      </c>
      <c r="N29" s="9"/>
      <c r="O29" s="8">
        <f t="shared" si="6"/>
        <v>0</v>
      </c>
      <c r="P29" s="9"/>
      <c r="Q29" s="8">
        <f t="shared" si="7"/>
        <v>8</v>
      </c>
      <c r="R29" s="8">
        <v>8</v>
      </c>
      <c r="S29" s="8">
        <f t="shared" si="8"/>
        <v>7</v>
      </c>
      <c r="T29" s="8">
        <v>15</v>
      </c>
      <c r="U29" s="10">
        <f t="shared" si="9"/>
        <v>8</v>
      </c>
      <c r="W29" s="11">
        <f>SUM(F29,H29,J29,L29,N29,P29,R29)</f>
        <v>8</v>
      </c>
    </row>
    <row r="30" spans="1:23">
      <c r="A30" s="6" t="s">
        <v>31</v>
      </c>
      <c r="B30" s="7"/>
      <c r="C30" s="7">
        <f t="shared" si="0"/>
        <v>0</v>
      </c>
      <c r="D30" s="9"/>
      <c r="E30" s="8">
        <f t="shared" si="1"/>
        <v>0</v>
      </c>
      <c r="F30" s="9"/>
      <c r="G30" s="8">
        <f t="shared" si="2"/>
        <v>0</v>
      </c>
      <c r="H30" s="9"/>
      <c r="I30" s="8">
        <f t="shared" si="3"/>
        <v>1</v>
      </c>
      <c r="J30" s="9">
        <v>1</v>
      </c>
      <c r="K30" s="8">
        <f t="shared" si="4"/>
        <v>5</v>
      </c>
      <c r="L30" s="9">
        <v>6</v>
      </c>
      <c r="M30" s="8">
        <f t="shared" si="5"/>
        <v>-6</v>
      </c>
      <c r="N30" s="9"/>
      <c r="O30" s="8">
        <f t="shared" si="6"/>
        <v>0</v>
      </c>
      <c r="P30" s="9"/>
      <c r="Q30" s="8">
        <f t="shared" si="7"/>
        <v>0</v>
      </c>
      <c r="R30" s="9"/>
      <c r="S30" s="8">
        <f t="shared" si="8"/>
        <v>0</v>
      </c>
      <c r="T30" s="9"/>
      <c r="U30" s="10">
        <f t="shared" si="9"/>
        <v>7</v>
      </c>
      <c r="W30" s="11">
        <f t="shared" si="10"/>
        <v>7</v>
      </c>
    </row>
    <row r="31" spans="1:23">
      <c r="A31" s="6" t="s">
        <v>32</v>
      </c>
      <c r="B31" s="7"/>
      <c r="C31" s="7">
        <f t="shared" si="0"/>
        <v>0</v>
      </c>
      <c r="D31" s="8"/>
      <c r="E31" s="8">
        <f t="shared" si="1"/>
        <v>0</v>
      </c>
      <c r="F31" s="9"/>
      <c r="G31" s="8">
        <f t="shared" si="2"/>
        <v>0</v>
      </c>
      <c r="H31" s="9"/>
      <c r="I31" s="8">
        <f t="shared" si="3"/>
        <v>0</v>
      </c>
      <c r="J31" s="9"/>
      <c r="K31" s="8">
        <f t="shared" si="4"/>
        <v>0</v>
      </c>
      <c r="L31" s="9"/>
      <c r="M31" s="8">
        <f t="shared" si="5"/>
        <v>1</v>
      </c>
      <c r="N31" s="9">
        <v>1</v>
      </c>
      <c r="O31" s="8">
        <f t="shared" si="6"/>
        <v>3</v>
      </c>
      <c r="P31" s="9">
        <v>4</v>
      </c>
      <c r="Q31" s="8">
        <f t="shared" si="7"/>
        <v>-3</v>
      </c>
      <c r="R31" s="8">
        <v>1</v>
      </c>
      <c r="S31" s="8">
        <f t="shared" si="8"/>
        <v>5</v>
      </c>
      <c r="T31" s="8">
        <v>6</v>
      </c>
      <c r="U31" s="10">
        <f t="shared" si="9"/>
        <v>6</v>
      </c>
      <c r="W31" s="11">
        <f t="shared" si="10"/>
        <v>6</v>
      </c>
    </row>
    <row r="32" spans="1:23">
      <c r="A32" s="6" t="s">
        <v>33</v>
      </c>
      <c r="B32" s="7"/>
      <c r="C32" s="7">
        <f t="shared" si="0"/>
        <v>0</v>
      </c>
      <c r="D32" s="8"/>
      <c r="E32" s="8">
        <f t="shared" si="1"/>
        <v>0</v>
      </c>
      <c r="F32" s="9"/>
      <c r="G32" s="8">
        <f t="shared" si="2"/>
        <v>0</v>
      </c>
      <c r="H32" s="9"/>
      <c r="I32" s="8">
        <f t="shared" si="3"/>
        <v>0</v>
      </c>
      <c r="J32" s="9"/>
      <c r="K32" s="8">
        <f t="shared" si="4"/>
        <v>0</v>
      </c>
      <c r="L32" s="9"/>
      <c r="M32" s="8">
        <f t="shared" si="5"/>
        <v>3</v>
      </c>
      <c r="N32" s="9">
        <v>3</v>
      </c>
      <c r="O32" s="8">
        <f t="shared" si="6"/>
        <v>-2</v>
      </c>
      <c r="P32" s="9">
        <v>1</v>
      </c>
      <c r="Q32" s="8">
        <f t="shared" si="7"/>
        <v>1</v>
      </c>
      <c r="R32" s="8">
        <v>2</v>
      </c>
      <c r="S32" s="8">
        <f t="shared" si="8"/>
        <v>-2</v>
      </c>
      <c r="T32" s="8"/>
      <c r="U32" s="10">
        <f t="shared" si="9"/>
        <v>6</v>
      </c>
      <c r="W32" s="11">
        <f t="shared" si="10"/>
        <v>6</v>
      </c>
    </row>
    <row r="33" spans="1:23">
      <c r="A33" s="6" t="s">
        <v>34</v>
      </c>
      <c r="B33" s="7"/>
      <c r="C33" s="7">
        <f t="shared" si="0"/>
        <v>0</v>
      </c>
      <c r="D33" s="8"/>
      <c r="E33" s="8">
        <f t="shared" si="1"/>
        <v>0</v>
      </c>
      <c r="F33" s="9"/>
      <c r="G33" s="8">
        <f t="shared" si="2"/>
        <v>0</v>
      </c>
      <c r="H33" s="9"/>
      <c r="I33" s="8">
        <f t="shared" si="3"/>
        <v>1</v>
      </c>
      <c r="J33" s="9">
        <v>1</v>
      </c>
      <c r="K33" s="8">
        <f t="shared" si="4"/>
        <v>0</v>
      </c>
      <c r="L33" s="9">
        <v>1</v>
      </c>
      <c r="M33" s="8">
        <f t="shared" si="5"/>
        <v>-1</v>
      </c>
      <c r="N33" s="9"/>
      <c r="O33" s="8">
        <f t="shared" si="6"/>
        <v>1</v>
      </c>
      <c r="P33" s="9">
        <v>1</v>
      </c>
      <c r="Q33" s="8">
        <f t="shared" si="7"/>
        <v>1</v>
      </c>
      <c r="R33" s="8">
        <v>2</v>
      </c>
      <c r="S33" s="8">
        <f t="shared" si="8"/>
        <v>1</v>
      </c>
      <c r="T33" s="8">
        <v>3</v>
      </c>
      <c r="U33" s="10">
        <f t="shared" si="9"/>
        <v>5</v>
      </c>
      <c r="W33" s="11">
        <f t="shared" si="10"/>
        <v>5</v>
      </c>
    </row>
    <row r="34" spans="1:23">
      <c r="A34" s="6" t="s">
        <v>35</v>
      </c>
      <c r="B34" s="7"/>
      <c r="C34" s="7">
        <f t="shared" si="0"/>
        <v>0</v>
      </c>
      <c r="D34" s="8"/>
      <c r="E34" s="8">
        <f t="shared" si="1"/>
        <v>1</v>
      </c>
      <c r="F34" s="9">
        <v>1</v>
      </c>
      <c r="G34" s="8">
        <f t="shared" si="2"/>
        <v>0</v>
      </c>
      <c r="H34" s="9">
        <v>1</v>
      </c>
      <c r="I34" s="8">
        <f t="shared" si="3"/>
        <v>-1</v>
      </c>
      <c r="J34" s="9"/>
      <c r="K34" s="8">
        <f t="shared" si="4"/>
        <v>0</v>
      </c>
      <c r="L34" s="9"/>
      <c r="M34" s="8">
        <f t="shared" si="5"/>
        <v>0</v>
      </c>
      <c r="N34" s="9"/>
      <c r="O34" s="8">
        <f t="shared" si="6"/>
        <v>2</v>
      </c>
      <c r="P34" s="9">
        <v>2</v>
      </c>
      <c r="Q34" s="8">
        <f t="shared" si="7"/>
        <v>-1</v>
      </c>
      <c r="R34" s="8">
        <v>1</v>
      </c>
      <c r="S34" s="8">
        <f t="shared" si="8"/>
        <v>0</v>
      </c>
      <c r="T34" s="8">
        <v>1</v>
      </c>
      <c r="U34" s="10">
        <f t="shared" si="9"/>
        <v>5</v>
      </c>
      <c r="W34" s="11">
        <f t="shared" si="10"/>
        <v>5</v>
      </c>
    </row>
    <row r="35" spans="1:23">
      <c r="A35" s="6" t="s">
        <v>36</v>
      </c>
      <c r="B35" s="7"/>
      <c r="C35" s="7">
        <f t="shared" si="0"/>
        <v>0</v>
      </c>
      <c r="D35" s="9"/>
      <c r="E35" s="8">
        <f t="shared" si="1"/>
        <v>0</v>
      </c>
      <c r="F35" s="9"/>
      <c r="G35" s="8">
        <f t="shared" si="2"/>
        <v>0</v>
      </c>
      <c r="H35" s="9"/>
      <c r="I35" s="8">
        <f t="shared" si="3"/>
        <v>0</v>
      </c>
      <c r="J35" s="9"/>
      <c r="K35" s="8">
        <f t="shared" si="4"/>
        <v>0</v>
      </c>
      <c r="L35" s="9"/>
      <c r="M35" s="8">
        <f t="shared" si="5"/>
        <v>4</v>
      </c>
      <c r="N35" s="9">
        <v>4</v>
      </c>
      <c r="O35" s="8">
        <f t="shared" si="6"/>
        <v>-4</v>
      </c>
      <c r="P35" s="9"/>
      <c r="Q35" s="8">
        <f t="shared" si="7"/>
        <v>0</v>
      </c>
      <c r="R35" s="9"/>
      <c r="S35" s="8">
        <f t="shared" si="8"/>
        <v>0</v>
      </c>
      <c r="T35" s="9"/>
      <c r="U35" s="10">
        <f t="shared" si="9"/>
        <v>4</v>
      </c>
      <c r="W35" s="11">
        <f t="shared" si="10"/>
        <v>4</v>
      </c>
    </row>
    <row r="36" spans="1:23">
      <c r="A36" s="6" t="s">
        <v>37</v>
      </c>
      <c r="B36" s="7"/>
      <c r="C36" s="7">
        <f t="shared" si="0"/>
        <v>0</v>
      </c>
      <c r="D36" s="9"/>
      <c r="E36" s="8">
        <f t="shared" si="1"/>
        <v>0</v>
      </c>
      <c r="F36" s="12"/>
      <c r="G36" s="8">
        <f t="shared" si="2"/>
        <v>0</v>
      </c>
      <c r="H36" s="12"/>
      <c r="I36" s="8">
        <f t="shared" si="3"/>
        <v>0</v>
      </c>
      <c r="J36" s="12"/>
      <c r="K36" s="8">
        <f t="shared" si="4"/>
        <v>0</v>
      </c>
      <c r="L36" s="12"/>
      <c r="M36" s="8">
        <f t="shared" si="5"/>
        <v>0</v>
      </c>
      <c r="N36" s="12"/>
      <c r="O36" s="8">
        <f t="shared" si="6"/>
        <v>0</v>
      </c>
      <c r="P36" s="12"/>
      <c r="Q36" s="8">
        <f t="shared" si="7"/>
        <v>4</v>
      </c>
      <c r="R36" s="13">
        <v>4</v>
      </c>
      <c r="S36" s="8">
        <f t="shared" si="8"/>
        <v>-4</v>
      </c>
      <c r="T36" s="12"/>
      <c r="U36" s="10">
        <f t="shared" si="9"/>
        <v>4</v>
      </c>
      <c r="W36" s="11">
        <f t="shared" si="10"/>
        <v>4</v>
      </c>
    </row>
    <row r="37" spans="1:23">
      <c r="A37" s="6" t="s">
        <v>38</v>
      </c>
      <c r="B37" s="7"/>
      <c r="C37" s="7">
        <f t="shared" si="0"/>
        <v>3</v>
      </c>
      <c r="D37" s="9">
        <v>3</v>
      </c>
      <c r="E37" s="8">
        <f t="shared" si="1"/>
        <v>-3</v>
      </c>
      <c r="F37" s="9"/>
      <c r="G37" s="8">
        <f t="shared" si="2"/>
        <v>0</v>
      </c>
      <c r="H37" s="9"/>
      <c r="I37" s="8">
        <f t="shared" si="3"/>
        <v>0</v>
      </c>
      <c r="J37" s="9"/>
      <c r="K37" s="8">
        <f t="shared" si="4"/>
        <v>0</v>
      </c>
      <c r="L37" s="9"/>
      <c r="M37" s="8">
        <f t="shared" si="5"/>
        <v>0</v>
      </c>
      <c r="N37" s="9"/>
      <c r="O37" s="8">
        <f t="shared" si="6"/>
        <v>0</v>
      </c>
      <c r="P37" s="9"/>
      <c r="Q37" s="8">
        <f t="shared" si="7"/>
        <v>0</v>
      </c>
      <c r="R37" s="9"/>
      <c r="S37" s="8">
        <f t="shared" si="8"/>
        <v>0</v>
      </c>
      <c r="T37" s="9"/>
      <c r="U37" s="10">
        <f t="shared" si="9"/>
        <v>3</v>
      </c>
      <c r="W37" s="11">
        <f t="shared" si="10"/>
        <v>0</v>
      </c>
    </row>
    <row r="38" spans="1:23">
      <c r="A38" s="6" t="s">
        <v>39</v>
      </c>
      <c r="B38" s="7"/>
      <c r="C38" s="7">
        <f t="shared" si="0"/>
        <v>0</v>
      </c>
      <c r="D38" s="8"/>
      <c r="E38" s="8">
        <f t="shared" si="1"/>
        <v>0</v>
      </c>
      <c r="F38" s="8"/>
      <c r="G38" s="8">
        <f t="shared" si="2"/>
        <v>0</v>
      </c>
      <c r="H38" s="9"/>
      <c r="I38" s="8">
        <f t="shared" si="3"/>
        <v>0</v>
      </c>
      <c r="J38" s="9"/>
      <c r="K38" s="8">
        <f t="shared" si="4"/>
        <v>0</v>
      </c>
      <c r="L38" s="9"/>
      <c r="M38" s="8">
        <f t="shared" si="5"/>
        <v>0</v>
      </c>
      <c r="N38" s="9"/>
      <c r="O38" s="8">
        <f t="shared" si="6"/>
        <v>2</v>
      </c>
      <c r="P38" s="9">
        <v>2</v>
      </c>
      <c r="Q38" s="8">
        <f t="shared" si="7"/>
        <v>-1</v>
      </c>
      <c r="R38" s="8">
        <v>1</v>
      </c>
      <c r="S38" s="8">
        <f t="shared" si="8"/>
        <v>-1</v>
      </c>
      <c r="T38" s="8"/>
      <c r="U38" s="10">
        <f t="shared" si="9"/>
        <v>3</v>
      </c>
      <c r="W38" s="11">
        <f t="shared" si="10"/>
        <v>3</v>
      </c>
    </row>
    <row r="39" spans="1:23">
      <c r="A39" s="6" t="s">
        <v>40</v>
      </c>
      <c r="B39" s="7"/>
      <c r="C39" s="7">
        <f t="shared" si="0"/>
        <v>0</v>
      </c>
      <c r="D39" s="8"/>
      <c r="E39" s="8">
        <f t="shared" si="1"/>
        <v>0</v>
      </c>
      <c r="F39" s="9"/>
      <c r="G39" s="8">
        <f t="shared" si="2"/>
        <v>0</v>
      </c>
      <c r="H39" s="9"/>
      <c r="I39" s="8">
        <f t="shared" si="3"/>
        <v>0</v>
      </c>
      <c r="J39" s="9"/>
      <c r="K39" s="8">
        <f t="shared" si="4"/>
        <v>0</v>
      </c>
      <c r="L39" s="9"/>
      <c r="M39" s="8">
        <f t="shared" si="5"/>
        <v>0</v>
      </c>
      <c r="N39" s="9"/>
      <c r="O39" s="8">
        <f t="shared" si="6"/>
        <v>0</v>
      </c>
      <c r="P39" s="9"/>
      <c r="Q39" s="8">
        <f t="shared" si="7"/>
        <v>2</v>
      </c>
      <c r="R39" s="8">
        <v>2</v>
      </c>
      <c r="S39" s="8">
        <f t="shared" si="8"/>
        <v>1</v>
      </c>
      <c r="T39" s="8">
        <v>3</v>
      </c>
      <c r="U39" s="10">
        <f t="shared" si="9"/>
        <v>2</v>
      </c>
      <c r="W39" s="11">
        <f t="shared" si="10"/>
        <v>2</v>
      </c>
    </row>
    <row r="40" spans="1:23">
      <c r="A40" s="6" t="s">
        <v>41</v>
      </c>
      <c r="B40" s="7"/>
      <c r="C40" s="7">
        <f t="shared" si="0"/>
        <v>0</v>
      </c>
      <c r="D40" s="9"/>
      <c r="E40" s="8">
        <f t="shared" si="1"/>
        <v>2</v>
      </c>
      <c r="F40" s="9">
        <v>2</v>
      </c>
      <c r="G40" s="8">
        <f t="shared" si="2"/>
        <v>-2</v>
      </c>
      <c r="H40" s="9"/>
      <c r="I40" s="8">
        <f t="shared" si="3"/>
        <v>0</v>
      </c>
      <c r="J40" s="9"/>
      <c r="K40" s="8">
        <f t="shared" si="4"/>
        <v>0</v>
      </c>
      <c r="L40" s="9"/>
      <c r="M40" s="8">
        <f t="shared" si="5"/>
        <v>0</v>
      </c>
      <c r="N40" s="9"/>
      <c r="O40" s="8">
        <f t="shared" si="6"/>
        <v>0</v>
      </c>
      <c r="P40" s="9"/>
      <c r="Q40" s="8">
        <f t="shared" si="7"/>
        <v>0</v>
      </c>
      <c r="R40" s="9"/>
      <c r="S40" s="8">
        <f t="shared" si="8"/>
        <v>0</v>
      </c>
      <c r="T40" s="9"/>
      <c r="U40" s="10">
        <f t="shared" si="9"/>
        <v>2</v>
      </c>
      <c r="W40" s="11">
        <f t="shared" si="10"/>
        <v>2</v>
      </c>
    </row>
    <row r="41" spans="1:23">
      <c r="A41" s="6" t="s">
        <v>42</v>
      </c>
      <c r="B41" s="7"/>
      <c r="C41" s="7">
        <f t="shared" si="0"/>
        <v>0</v>
      </c>
      <c r="D41" s="9"/>
      <c r="E41" s="8">
        <f t="shared" si="1"/>
        <v>0</v>
      </c>
      <c r="F41" s="9"/>
      <c r="G41" s="8">
        <f t="shared" si="2"/>
        <v>0</v>
      </c>
      <c r="H41" s="9"/>
      <c r="I41" s="8">
        <f t="shared" si="3"/>
        <v>0</v>
      </c>
      <c r="J41" s="9"/>
      <c r="K41" s="8">
        <f t="shared" si="4"/>
        <v>1</v>
      </c>
      <c r="L41" s="9">
        <v>1</v>
      </c>
      <c r="M41" s="8">
        <f t="shared" si="5"/>
        <v>-1</v>
      </c>
      <c r="N41" s="9"/>
      <c r="O41" s="8">
        <f t="shared" si="6"/>
        <v>0</v>
      </c>
      <c r="P41" s="9"/>
      <c r="Q41" s="8">
        <f t="shared" si="7"/>
        <v>0</v>
      </c>
      <c r="R41" s="9"/>
      <c r="S41" s="8">
        <f t="shared" si="8"/>
        <v>0</v>
      </c>
      <c r="T41" s="9"/>
      <c r="U41" s="10">
        <f t="shared" si="9"/>
        <v>1</v>
      </c>
      <c r="W41" s="11">
        <f t="shared" si="10"/>
        <v>1</v>
      </c>
    </row>
    <row r="42" spans="1:23">
      <c r="A42" s="6" t="s">
        <v>43</v>
      </c>
      <c r="B42" s="7"/>
      <c r="C42" s="7">
        <f t="shared" si="0"/>
        <v>0</v>
      </c>
      <c r="D42" s="8"/>
      <c r="E42" s="8">
        <f t="shared" si="1"/>
        <v>0</v>
      </c>
      <c r="F42" s="9"/>
      <c r="G42" s="8">
        <f t="shared" si="2"/>
        <v>0</v>
      </c>
      <c r="H42" s="9"/>
      <c r="I42" s="8">
        <f t="shared" si="3"/>
        <v>0</v>
      </c>
      <c r="J42" s="9"/>
      <c r="K42" s="8">
        <f t="shared" si="4"/>
        <v>0</v>
      </c>
      <c r="L42" s="9"/>
      <c r="M42" s="8">
        <f t="shared" si="5"/>
        <v>0</v>
      </c>
      <c r="N42" s="9"/>
      <c r="O42" s="8">
        <f t="shared" si="6"/>
        <v>0</v>
      </c>
      <c r="P42" s="9"/>
      <c r="Q42" s="8">
        <f t="shared" si="7"/>
        <v>0</v>
      </c>
      <c r="R42" s="8"/>
      <c r="S42" s="8">
        <f t="shared" si="8"/>
        <v>2</v>
      </c>
      <c r="T42" s="8">
        <v>2</v>
      </c>
      <c r="U42" s="10">
        <f t="shared" si="9"/>
        <v>0</v>
      </c>
      <c r="W42" s="11">
        <f t="shared" si="10"/>
        <v>0</v>
      </c>
    </row>
    <row r="43" spans="1:23">
      <c r="A43" s="6" t="s">
        <v>44</v>
      </c>
      <c r="B43" s="7"/>
      <c r="C43" s="7">
        <f t="shared" si="0"/>
        <v>0</v>
      </c>
      <c r="D43" s="8"/>
      <c r="E43" s="8">
        <f t="shared" si="1"/>
        <v>0</v>
      </c>
      <c r="F43" s="8"/>
      <c r="G43" s="8">
        <f t="shared" si="2"/>
        <v>0</v>
      </c>
      <c r="H43" s="9"/>
      <c r="I43" s="8">
        <f t="shared" si="3"/>
        <v>0</v>
      </c>
      <c r="J43" s="9"/>
      <c r="K43" s="8">
        <f t="shared" si="4"/>
        <v>0</v>
      </c>
      <c r="L43" s="9"/>
      <c r="M43" s="8">
        <f t="shared" si="5"/>
        <v>0</v>
      </c>
      <c r="N43" s="9"/>
      <c r="O43" s="8">
        <f t="shared" si="6"/>
        <v>0</v>
      </c>
      <c r="P43" s="9"/>
      <c r="Q43" s="8">
        <f t="shared" si="7"/>
        <v>0</v>
      </c>
      <c r="R43" s="8"/>
      <c r="S43" s="8">
        <f t="shared" si="8"/>
        <v>2</v>
      </c>
      <c r="T43" s="8">
        <v>2</v>
      </c>
      <c r="U43" s="10">
        <f t="shared" si="9"/>
        <v>0</v>
      </c>
      <c r="W43" s="11">
        <f t="shared" si="10"/>
        <v>0</v>
      </c>
    </row>
    <row r="44" spans="1:23" ht="19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5">
        <f>SUM(W2:W43)</f>
        <v>3581</v>
      </c>
    </row>
  </sheetData>
  <conditionalFormatting sqref="E2:E4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4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4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4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4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4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44"/>
  <sheetViews>
    <sheetView topLeftCell="J17" workbookViewId="0">
      <selection activeCell="W43" sqref="W43"/>
    </sheetView>
  </sheetViews>
  <sheetFormatPr baseColWidth="10" defaultRowHeight="16"/>
  <cols>
    <col min="1" max="1" width="18" customWidth="1"/>
    <col min="17" max="17" width="17.1640625" customWidth="1"/>
    <col min="18" max="18" width="20" customWidth="1"/>
  </cols>
  <sheetData>
    <row r="1" spans="1:24" ht="19">
      <c r="A1" s="183" t="s">
        <v>10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T1" s="178" t="s">
        <v>391</v>
      </c>
      <c r="U1" s="178"/>
      <c r="V1" s="178"/>
      <c r="W1" s="178"/>
      <c r="X1" s="178"/>
    </row>
    <row r="2" spans="1:24" ht="19">
      <c r="A2" s="63" t="s">
        <v>392</v>
      </c>
      <c r="B2" s="63" t="s">
        <v>393</v>
      </c>
      <c r="C2" s="63" t="s">
        <v>394</v>
      </c>
      <c r="D2" s="63" t="s">
        <v>395</v>
      </c>
      <c r="E2" s="63" t="s">
        <v>396</v>
      </c>
      <c r="F2" s="63" t="s">
        <v>397</v>
      </c>
      <c r="G2" s="63" t="s">
        <v>398</v>
      </c>
      <c r="H2" s="63" t="s">
        <v>399</v>
      </c>
      <c r="I2" s="63" t="s">
        <v>400</v>
      </c>
      <c r="J2" s="63" t="s">
        <v>401</v>
      </c>
      <c r="K2" s="63" t="s">
        <v>402</v>
      </c>
      <c r="L2" s="63" t="s">
        <v>403</v>
      </c>
      <c r="M2" s="63" t="s">
        <v>404</v>
      </c>
      <c r="N2" s="63" t="s">
        <v>405</v>
      </c>
      <c r="O2" s="63" t="s">
        <v>406</v>
      </c>
      <c r="P2" s="63" t="s">
        <v>407</v>
      </c>
      <c r="Q2" s="64" t="s">
        <v>408</v>
      </c>
      <c r="R2" s="64" t="s">
        <v>427</v>
      </c>
      <c r="T2" s="65" t="s">
        <v>410</v>
      </c>
      <c r="U2" s="66" t="s">
        <v>411</v>
      </c>
      <c r="V2" s="67" t="s">
        <v>412</v>
      </c>
      <c r="W2" s="68" t="s">
        <v>413</v>
      </c>
      <c r="X2" s="69" t="s">
        <v>414</v>
      </c>
    </row>
    <row r="3" spans="1:24" ht="19">
      <c r="A3" s="70" t="s">
        <v>110</v>
      </c>
      <c r="B3" s="71"/>
      <c r="C3" s="72">
        <f>Table410016115911211512019114[[#This Row],[1990]]-Table410016115911211512019114[[#This Row],[1986]]</f>
        <v>0</v>
      </c>
      <c r="D3" s="71"/>
      <c r="E3" s="72">
        <f>Table410016115911211512019114[[#This Row],[1994]]-Table410016115911211512019114[[#This Row],[1990]]</f>
        <v>0</v>
      </c>
      <c r="F3" s="71"/>
      <c r="G3" s="72">
        <f>Table410016115911211512019114[[#This Row],[1998]]-Table410016115911211512019114[[#This Row],[1994]]</f>
        <v>0</v>
      </c>
      <c r="H3" s="71"/>
      <c r="I3" s="72">
        <f>Table410016115911211512019114[[#This Row],[2002]]-Table410016115911211512019114[[#This Row],[1998]]</f>
        <v>0</v>
      </c>
      <c r="J3" s="71"/>
      <c r="K3" s="72">
        <f>Table410016115911211512019114[[#This Row],[2006]]-Table410016115911211512019114[[#This Row],[2002]]</f>
        <v>0</v>
      </c>
      <c r="L3" s="71"/>
      <c r="M3" s="72">
        <f>Table410016115911211512019114[[#This Row],[2010]]-Table410016115911211512019114[[#This Row],[2006]]</f>
        <v>0</v>
      </c>
      <c r="N3" s="71"/>
      <c r="O3" s="72">
        <f>Table410016115911211512019114[[#This Row],[2014]]-Table410016115911211512019114[[#This Row],[2010]]</f>
        <v>1</v>
      </c>
      <c r="P3" s="71">
        <v>1</v>
      </c>
      <c r="Q3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1</v>
      </c>
      <c r="R3" s="74">
        <v>8</v>
      </c>
      <c r="T3" s="9">
        <f>R9*8</f>
        <v>456</v>
      </c>
      <c r="U3" s="9">
        <f>R19*8</f>
        <v>1208</v>
      </c>
      <c r="V3" s="9">
        <f>R25*8</f>
        <v>392</v>
      </c>
      <c r="W3" s="9">
        <f>R30*8</f>
        <v>1432</v>
      </c>
      <c r="X3" s="9">
        <f>R34*8</f>
        <v>616</v>
      </c>
    </row>
    <row r="4" spans="1:24" ht="19">
      <c r="A4" s="70" t="s">
        <v>106</v>
      </c>
      <c r="B4" s="71">
        <v>1</v>
      </c>
      <c r="C4" s="72">
        <f>Table410016115911211512019114[[#This Row],[1990]]-Table410016115911211512019114[[#This Row],[1986]]</f>
        <v>-1</v>
      </c>
      <c r="D4" s="71"/>
      <c r="E4" s="72">
        <f>Table410016115911211512019114[[#This Row],[1994]]-Table410016115911211512019114[[#This Row],[1990]]</f>
        <v>0</v>
      </c>
      <c r="F4" s="71"/>
      <c r="G4" s="72">
        <f>Table410016115911211512019114[[#This Row],[1998]]-Table410016115911211512019114[[#This Row],[1994]]</f>
        <v>0</v>
      </c>
      <c r="H4" s="71"/>
      <c r="I4" s="72">
        <f>Table410016115911211512019114[[#This Row],[2002]]-Table410016115911211512019114[[#This Row],[1998]]</f>
        <v>0</v>
      </c>
      <c r="J4" s="71"/>
      <c r="K4" s="72">
        <f>Table410016115911211512019114[[#This Row],[2006]]-Table410016115911211512019114[[#This Row],[2002]]</f>
        <v>0</v>
      </c>
      <c r="L4" s="71"/>
      <c r="M4" s="72">
        <f>Table410016115911211512019114[[#This Row],[2010]]-Table410016115911211512019114[[#This Row],[2006]]</f>
        <v>0</v>
      </c>
      <c r="N4" s="71"/>
      <c r="O4" s="72">
        <f>Table410016115911211512019114[[#This Row],[2014]]-Table410016115911211512019114[[#This Row],[2010]]</f>
        <v>0</v>
      </c>
      <c r="P4" s="71"/>
      <c r="Q4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1</v>
      </c>
      <c r="R4" s="75">
        <v>8</v>
      </c>
      <c r="T4" s="44">
        <f>(Q9/T3)*100</f>
        <v>2.8508771929824559</v>
      </c>
      <c r="U4" s="44">
        <f>(Q19/U3)*100</f>
        <v>6.7052980132450326</v>
      </c>
      <c r="V4" s="44">
        <f>(Q25/V3)*100</f>
        <v>2.295918367346939</v>
      </c>
      <c r="W4" s="44">
        <f>(Q30/W3)*100</f>
        <v>3.5614525139664801</v>
      </c>
      <c r="X4" s="76">
        <f>(Q34/X3)*100</f>
        <v>1.7857142857142856</v>
      </c>
    </row>
    <row r="5" spans="1:24" ht="19">
      <c r="A5" s="70" t="s">
        <v>104</v>
      </c>
      <c r="B5" s="71"/>
      <c r="C5" s="72">
        <f>Table410016115911211512019114[[#This Row],[1990]]-Table410016115911211512019114[[#This Row],[1986]]</f>
        <v>0</v>
      </c>
      <c r="D5" s="71"/>
      <c r="E5" s="72">
        <f>Table410016115911211512019114[[#This Row],[1994]]-Table410016115911211512019114[[#This Row],[1990]]</f>
        <v>2</v>
      </c>
      <c r="F5" s="71">
        <v>2</v>
      </c>
      <c r="G5" s="72">
        <f>Table410016115911211512019114[[#This Row],[1998]]-Table410016115911211512019114[[#This Row],[1994]]</f>
        <v>-1</v>
      </c>
      <c r="H5" s="71">
        <v>1</v>
      </c>
      <c r="I5" s="72">
        <f>Table410016115911211512019114[[#This Row],[2002]]-Table410016115911211512019114[[#This Row],[1998]]</f>
        <v>0</v>
      </c>
      <c r="J5" s="71">
        <v>1</v>
      </c>
      <c r="K5" s="72">
        <f>Table410016115911211512019114[[#This Row],[2006]]-Table410016115911211512019114[[#This Row],[2002]]</f>
        <v>0</v>
      </c>
      <c r="L5" s="71">
        <v>1</v>
      </c>
      <c r="M5" s="72">
        <f>Table410016115911211512019114[[#This Row],[2010]]-Table410016115911211512019114[[#This Row],[2006]]</f>
        <v>-1</v>
      </c>
      <c r="N5" s="71"/>
      <c r="O5" s="72">
        <f>Table410016115911211512019114[[#This Row],[2014]]-Table410016115911211512019114[[#This Row],[2010]]</f>
        <v>1</v>
      </c>
      <c r="P5" s="71">
        <v>1</v>
      </c>
      <c r="Q5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6</v>
      </c>
      <c r="R5" s="75">
        <v>8</v>
      </c>
    </row>
    <row r="6" spans="1:24" ht="19">
      <c r="A6" s="70" t="s">
        <v>73</v>
      </c>
      <c r="B6" s="71"/>
      <c r="C6" s="72">
        <f>Table410016115911211512019114[[#This Row],[1990]]-Table410016115911211512019114[[#This Row],[1986]]</f>
        <v>0</v>
      </c>
      <c r="D6" s="71"/>
      <c r="E6" s="72">
        <f>Table410016115911211512019114[[#This Row],[1994]]-Table410016115911211512019114[[#This Row],[1990]]</f>
        <v>0</v>
      </c>
      <c r="F6" s="71"/>
      <c r="G6" s="72">
        <f>Table410016115911211512019114[[#This Row],[1998]]-Table410016115911211512019114[[#This Row],[1994]]</f>
        <v>0</v>
      </c>
      <c r="H6" s="71"/>
      <c r="I6" s="72">
        <f>Table410016115911211512019114[[#This Row],[2002]]-Table410016115911211512019114[[#This Row],[1998]]</f>
        <v>0</v>
      </c>
      <c r="J6" s="71"/>
      <c r="K6" s="72">
        <f>Table410016115911211512019114[[#This Row],[2006]]-Table410016115911211512019114[[#This Row],[2002]]</f>
        <v>0</v>
      </c>
      <c r="L6" s="71"/>
      <c r="M6" s="72">
        <f>Table410016115911211512019114[[#This Row],[2010]]-Table410016115911211512019114[[#This Row],[2006]]</f>
        <v>0</v>
      </c>
      <c r="N6" s="71"/>
      <c r="O6" s="72">
        <f>Table410016115911211512019114[[#This Row],[2014]]-Table410016115911211512019114[[#This Row],[2010]]</f>
        <v>0</v>
      </c>
      <c r="P6" s="71"/>
      <c r="Q6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0</v>
      </c>
      <c r="R6" s="75">
        <v>17</v>
      </c>
      <c r="T6" s="178" t="s">
        <v>415</v>
      </c>
      <c r="U6" s="178"/>
      <c r="V6" s="178"/>
      <c r="W6" s="178"/>
      <c r="X6" s="178"/>
    </row>
    <row r="7" spans="1:24" ht="19">
      <c r="A7" s="70" t="s">
        <v>67</v>
      </c>
      <c r="B7" s="77"/>
      <c r="C7" s="72">
        <f>Table410016115911211512019114[[#This Row],[1990]]-Table410016115911211512019114[[#This Row],[1986]]</f>
        <v>0</v>
      </c>
      <c r="D7" s="77"/>
      <c r="E7" s="72">
        <f>Table410016115911211512019114[[#This Row],[1994]]-Table410016115911211512019114[[#This Row],[1990]]</f>
        <v>0</v>
      </c>
      <c r="F7" s="77"/>
      <c r="G7" s="72">
        <f>Table410016115911211512019114[[#This Row],[1998]]-Table410016115911211512019114[[#This Row],[1994]]</f>
        <v>0</v>
      </c>
      <c r="H7" s="77"/>
      <c r="I7" s="72">
        <f>Table410016115911211512019114[[#This Row],[2002]]-Table410016115911211512019114[[#This Row],[1998]]</f>
        <v>0</v>
      </c>
      <c r="J7" s="77"/>
      <c r="K7" s="72">
        <f>Table410016115911211512019114[[#This Row],[2006]]-Table410016115911211512019114[[#This Row],[2002]]</f>
        <v>1</v>
      </c>
      <c r="L7" s="77">
        <v>1</v>
      </c>
      <c r="M7" s="72">
        <f>Table410016115911211512019114[[#This Row],[2010]]-Table410016115911211512019114[[#This Row],[2006]]</f>
        <v>0</v>
      </c>
      <c r="N7" s="77">
        <v>1</v>
      </c>
      <c r="O7" s="72">
        <f>Table410016115911211512019114[[#This Row],[2014]]-Table410016115911211512019114[[#This Row],[2010]]</f>
        <v>-1</v>
      </c>
      <c r="P7" s="77"/>
      <c r="Q7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2</v>
      </c>
      <c r="R7" s="75">
        <v>8</v>
      </c>
      <c r="T7" s="65" t="s">
        <v>410</v>
      </c>
      <c r="U7" s="66" t="s">
        <v>411</v>
      </c>
      <c r="V7" s="67" t="s">
        <v>412</v>
      </c>
      <c r="W7" s="68" t="s">
        <v>413</v>
      </c>
      <c r="X7" s="69" t="s">
        <v>414</v>
      </c>
    </row>
    <row r="8" spans="1:24" ht="19">
      <c r="A8" s="70" t="s">
        <v>65</v>
      </c>
      <c r="B8" s="71"/>
      <c r="C8" s="72">
        <f>Table410016115911211512019114[[#This Row],[1990]]-Table410016115911211512019114[[#This Row],[1986]]</f>
        <v>0</v>
      </c>
      <c r="D8" s="71"/>
      <c r="E8" s="72">
        <f>Table410016115911211512019114[[#This Row],[1994]]-Table410016115911211512019114[[#This Row],[1990]]</f>
        <v>0</v>
      </c>
      <c r="F8" s="71"/>
      <c r="G8" s="72">
        <f>Table410016115911211512019114[[#This Row],[1998]]-Table410016115911211512019114[[#This Row],[1994]]</f>
        <v>0</v>
      </c>
      <c r="H8" s="71"/>
      <c r="I8" s="72">
        <f>Table410016115911211512019114[[#This Row],[2002]]-Table410016115911211512019114[[#This Row],[1998]]</f>
        <v>1</v>
      </c>
      <c r="J8" s="71">
        <v>1</v>
      </c>
      <c r="K8" s="72">
        <f>Table410016115911211512019114[[#This Row],[2006]]-Table410016115911211512019114[[#This Row],[2002]]</f>
        <v>0</v>
      </c>
      <c r="L8" s="71">
        <v>1</v>
      </c>
      <c r="M8" s="72">
        <f>Table410016115911211512019114[[#This Row],[2010]]-Table410016115911211512019114[[#This Row],[2006]]</f>
        <v>-1</v>
      </c>
      <c r="N8" s="71"/>
      <c r="O8" s="72">
        <f>Table410016115911211512019114[[#This Row],[2014]]-Table410016115911211512019114[[#This Row],[2010]]</f>
        <v>1</v>
      </c>
      <c r="P8" s="71">
        <v>1</v>
      </c>
      <c r="Q8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3</v>
      </c>
      <c r="R8" s="75">
        <v>8</v>
      </c>
      <c r="T8" s="9">
        <f>R9</f>
        <v>57</v>
      </c>
      <c r="U8" s="9">
        <f>R19</f>
        <v>151</v>
      </c>
      <c r="V8" s="9">
        <f>R25</f>
        <v>49</v>
      </c>
      <c r="W8" s="9">
        <f>R30</f>
        <v>179</v>
      </c>
      <c r="X8" s="9">
        <f>R34</f>
        <v>77</v>
      </c>
    </row>
    <row r="9" spans="1:24" ht="19">
      <c r="A9" s="78" t="s">
        <v>410</v>
      </c>
      <c r="B9" s="79">
        <f>SUM(B3:B8)</f>
        <v>1</v>
      </c>
      <c r="C9" s="79">
        <f>Table410016115911211512019114[[#This Row],[1990]]-Table410016115911211512019114[[#This Row],[1986]]</f>
        <v>-1</v>
      </c>
      <c r="D9" s="79">
        <f>SUM(D3:D8)</f>
        <v>0</v>
      </c>
      <c r="E9" s="80">
        <f>Table410016115911211512019114[[#This Row],[1994]]-Table410016115911211512019114[[#This Row],[1990]]</f>
        <v>2</v>
      </c>
      <c r="F9" s="79">
        <f>SUM(F3:F8)</f>
        <v>2</v>
      </c>
      <c r="G9" s="80">
        <f>Table410016115911211512019114[[#This Row],[1998]]-Table410016115911211512019114[[#This Row],[1994]]</f>
        <v>-1</v>
      </c>
      <c r="H9" s="79">
        <f>SUM(H3:H8)</f>
        <v>1</v>
      </c>
      <c r="I9" s="80">
        <f>Table410016115911211512019114[[#This Row],[2002]]-Table410016115911211512019114[[#This Row],[1998]]</f>
        <v>1</v>
      </c>
      <c r="J9" s="79">
        <f>SUM(J3:J8)</f>
        <v>2</v>
      </c>
      <c r="K9" s="80">
        <f>Table410016115911211512019114[[#This Row],[2006]]-Table410016115911211512019114[[#This Row],[2002]]</f>
        <v>1</v>
      </c>
      <c r="L9" s="79">
        <f>SUM(L3:L8)</f>
        <v>3</v>
      </c>
      <c r="M9" s="80">
        <f>Table410016115911211512019114[[#This Row],[2010]]-Table410016115911211512019114[[#This Row],[2006]]</f>
        <v>-2</v>
      </c>
      <c r="N9" s="79">
        <f>SUM(N3:N8)</f>
        <v>1</v>
      </c>
      <c r="O9" s="80">
        <f>Table410016115911211512019114[[#This Row],[2014]]-Table410016115911211512019114[[#This Row],[2010]]</f>
        <v>2</v>
      </c>
      <c r="P9" s="79">
        <f>SUM(P3:P8)</f>
        <v>3</v>
      </c>
      <c r="Q9" s="81">
        <f>SUM(Q3:Q8)</f>
        <v>13</v>
      </c>
      <c r="R9" s="82">
        <v>57</v>
      </c>
      <c r="T9" s="44">
        <f>(Table410016115911211512019114[[#This Row],[2014]]/T8)*100</f>
        <v>5.2631578947368416</v>
      </c>
      <c r="U9" s="44">
        <f>(P19/U8)*100</f>
        <v>10.596026490066226</v>
      </c>
      <c r="V9" s="44">
        <f>(P25/V8)*100</f>
        <v>8.1632653061224492</v>
      </c>
      <c r="W9" s="44">
        <f>(P30/W8)*100</f>
        <v>4.4692737430167595</v>
      </c>
      <c r="X9" s="44">
        <f>(P34/X8)*100</f>
        <v>5.1948051948051948</v>
      </c>
    </row>
    <row r="10" spans="1:24" ht="19">
      <c r="A10" s="70" t="s">
        <v>108</v>
      </c>
      <c r="B10" s="71"/>
      <c r="C10" s="72">
        <f>Table410016115911211512019114[[#This Row],[1990]]-Table410016115911211512019114[[#This Row],[1986]]</f>
        <v>0</v>
      </c>
      <c r="D10" s="71"/>
      <c r="E10" s="72">
        <f>Table410016115911211512019114[[#This Row],[1994]]-Table410016115911211512019114[[#This Row],[1990]]</f>
        <v>0</v>
      </c>
      <c r="F10" s="71"/>
      <c r="G10" s="72">
        <f>Table410016115911211512019114[[#This Row],[1998]]-Table410016115911211512019114[[#This Row],[1994]]</f>
        <v>1</v>
      </c>
      <c r="H10" s="71">
        <v>1</v>
      </c>
      <c r="I10" s="72">
        <f>Table410016115911211512019114[[#This Row],[2002]]-Table410016115911211512019114[[#This Row],[1998]]</f>
        <v>1</v>
      </c>
      <c r="J10" s="71">
        <v>2</v>
      </c>
      <c r="K10" s="72">
        <f>Table410016115911211512019114[[#This Row],[2006]]-Table410016115911211512019114[[#This Row],[2002]]</f>
        <v>-1</v>
      </c>
      <c r="L10" s="71">
        <v>1</v>
      </c>
      <c r="M10" s="72">
        <f>Table410016115911211512019114[[#This Row],[2010]]-Table410016115911211512019114[[#This Row],[2006]]</f>
        <v>0</v>
      </c>
      <c r="N10" s="71">
        <v>1</v>
      </c>
      <c r="O10" s="72">
        <f>Table410016115911211512019114[[#This Row],[2014]]-Table410016115911211512019114[[#This Row],[2010]]</f>
        <v>0</v>
      </c>
      <c r="P10" s="71">
        <v>1</v>
      </c>
      <c r="Q10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6</v>
      </c>
      <c r="R10" s="75">
        <v>9</v>
      </c>
    </row>
    <row r="11" spans="1:24" ht="19">
      <c r="A11" s="70" t="s">
        <v>101</v>
      </c>
      <c r="B11" s="71"/>
      <c r="C11" s="72">
        <f>Table410016115911211512019114[[#This Row],[1990]]-Table410016115911211512019114[[#This Row],[1986]]</f>
        <v>1</v>
      </c>
      <c r="D11" s="71">
        <v>1</v>
      </c>
      <c r="E11" s="72">
        <f>Table410016115911211512019114[[#This Row],[1994]]-Table410016115911211512019114[[#This Row],[1990]]</f>
        <v>1</v>
      </c>
      <c r="F11" s="71">
        <v>2</v>
      </c>
      <c r="G11" s="72">
        <f>Table410016115911211512019114[[#This Row],[1998]]-Table410016115911211512019114[[#This Row],[1994]]</f>
        <v>-2</v>
      </c>
      <c r="H11" s="71"/>
      <c r="I11" s="72">
        <f>Table410016115911211512019114[[#This Row],[2002]]-Table410016115911211512019114[[#This Row],[1998]]</f>
        <v>0</v>
      </c>
      <c r="J11" s="71"/>
      <c r="K11" s="72">
        <f>Table410016115911211512019114[[#This Row],[2006]]-Table410016115911211512019114[[#This Row],[2002]]</f>
        <v>1</v>
      </c>
      <c r="L11" s="71">
        <v>1</v>
      </c>
      <c r="M11" s="72">
        <f>Table410016115911211512019114[[#This Row],[2010]]-Table410016115911211512019114[[#This Row],[2006]]</f>
        <v>-1</v>
      </c>
      <c r="N11" s="71"/>
      <c r="O11" s="72">
        <f>Table410016115911211512019114[[#This Row],[2014]]-Table410016115911211512019114[[#This Row],[2010]]</f>
        <v>1</v>
      </c>
      <c r="P11" s="71">
        <v>1</v>
      </c>
      <c r="Q11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5</v>
      </c>
      <c r="R11" s="75">
        <v>39</v>
      </c>
      <c r="T11" s="178" t="s">
        <v>416</v>
      </c>
      <c r="U11" s="178"/>
      <c r="V11" s="178"/>
      <c r="W11" s="178"/>
      <c r="X11" s="178"/>
    </row>
    <row r="12" spans="1:24" ht="19">
      <c r="A12" s="70" t="s">
        <v>99</v>
      </c>
      <c r="B12" s="71"/>
      <c r="C12" s="72">
        <f>Table410016115911211512019114[[#This Row],[1990]]-Table410016115911211512019114[[#This Row],[1986]]</f>
        <v>2</v>
      </c>
      <c r="D12" s="71">
        <v>2</v>
      </c>
      <c r="E12" s="72">
        <f>Table410016115911211512019114[[#This Row],[1994]]-Table410016115911211512019114[[#This Row],[1990]]</f>
        <v>-2</v>
      </c>
      <c r="F12" s="71"/>
      <c r="G12" s="72">
        <f>Table410016115911211512019114[[#This Row],[1998]]-Table410016115911211512019114[[#This Row],[1994]]</f>
        <v>1</v>
      </c>
      <c r="H12" s="71">
        <v>1</v>
      </c>
      <c r="I12" s="72">
        <f>Table410016115911211512019114[[#This Row],[2002]]-Table410016115911211512019114[[#This Row],[1998]]</f>
        <v>-1</v>
      </c>
      <c r="J12" s="71"/>
      <c r="K12" s="72">
        <f>Table410016115911211512019114[[#This Row],[2006]]-Table410016115911211512019114[[#This Row],[2002]]</f>
        <v>2</v>
      </c>
      <c r="L12" s="71">
        <v>2</v>
      </c>
      <c r="M12" s="72">
        <f>Table410016115911211512019114[[#This Row],[2010]]-Table410016115911211512019114[[#This Row],[2006]]</f>
        <v>2</v>
      </c>
      <c r="N12" s="71">
        <v>4</v>
      </c>
      <c r="O12" s="72">
        <f>Table410016115911211512019114[[#This Row],[2014]]-Table410016115911211512019114[[#This Row],[2010]]</f>
        <v>-4</v>
      </c>
      <c r="P12" s="71"/>
      <c r="Q12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9</v>
      </c>
      <c r="R12" s="75">
        <v>22</v>
      </c>
      <c r="T12" s="65" t="s">
        <v>410</v>
      </c>
      <c r="U12" s="66" t="s">
        <v>411</v>
      </c>
      <c r="V12" s="67" t="s">
        <v>412</v>
      </c>
      <c r="W12" s="68" t="s">
        <v>413</v>
      </c>
      <c r="X12" s="69" t="s">
        <v>414</v>
      </c>
    </row>
    <row r="13" spans="1:24" ht="19">
      <c r="A13" s="70" t="s">
        <v>90</v>
      </c>
      <c r="B13" s="71"/>
      <c r="C13" s="72">
        <f>Table410016115911211512019114[[#This Row],[1990]]-Table410016115911211512019114[[#This Row],[1986]]</f>
        <v>1</v>
      </c>
      <c r="D13" s="71">
        <v>1</v>
      </c>
      <c r="E13" s="72">
        <f>Table410016115911211512019114[[#This Row],[1994]]-Table410016115911211512019114[[#This Row],[1990]]</f>
        <v>0</v>
      </c>
      <c r="F13" s="71">
        <v>1</v>
      </c>
      <c r="G13" s="72">
        <f>Table410016115911211512019114[[#This Row],[1998]]-Table410016115911211512019114[[#This Row],[1994]]</f>
        <v>0</v>
      </c>
      <c r="H13" s="71">
        <v>1</v>
      </c>
      <c r="I13" s="72">
        <f>Table410016115911211512019114[[#This Row],[2002]]-Table410016115911211512019114[[#This Row],[1998]]</f>
        <v>0</v>
      </c>
      <c r="J13" s="71">
        <v>1</v>
      </c>
      <c r="K13" s="72">
        <f>Table410016115911211512019114[[#This Row],[2006]]-Table410016115911211512019114[[#This Row],[2002]]</f>
        <v>0</v>
      </c>
      <c r="L13" s="71">
        <v>1</v>
      </c>
      <c r="M13" s="72">
        <f>Table410016115911211512019114[[#This Row],[2010]]-Table410016115911211512019114[[#This Row],[2006]]</f>
        <v>0</v>
      </c>
      <c r="N13" s="71">
        <v>1</v>
      </c>
      <c r="O13" s="72">
        <f>Table410016115911211512019114[[#This Row],[2014]]-Table410016115911211512019114[[#This Row],[2010]]</f>
        <v>1</v>
      </c>
      <c r="P13" s="71">
        <v>2</v>
      </c>
      <c r="Q13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8</v>
      </c>
      <c r="R13" s="75">
        <v>18</v>
      </c>
      <c r="T13" s="9">
        <f>R9</f>
        <v>57</v>
      </c>
      <c r="U13" s="9">
        <f>R19</f>
        <v>151</v>
      </c>
      <c r="V13" s="9">
        <f>R25</f>
        <v>49</v>
      </c>
      <c r="W13" s="9">
        <f>R30</f>
        <v>179</v>
      </c>
      <c r="X13" s="9">
        <f>R34</f>
        <v>77</v>
      </c>
    </row>
    <row r="14" spans="1:24" ht="19">
      <c r="A14" s="70" t="s">
        <v>79</v>
      </c>
      <c r="B14" s="71"/>
      <c r="C14" s="72">
        <f>Table410016115911211512019114[[#This Row],[1990]]-Table410016115911211512019114[[#This Row],[1986]]</f>
        <v>0</v>
      </c>
      <c r="D14" s="71"/>
      <c r="E14" s="72">
        <f>Table410016115911211512019114[[#This Row],[1994]]-Table410016115911211512019114[[#This Row],[1990]]</f>
        <v>0</v>
      </c>
      <c r="F14" s="71"/>
      <c r="G14" s="72">
        <f>Table410016115911211512019114[[#This Row],[1998]]-Table410016115911211512019114[[#This Row],[1994]]</f>
        <v>0</v>
      </c>
      <c r="H14" s="71"/>
      <c r="I14" s="72">
        <f>Table410016115911211512019114[[#This Row],[2002]]-Table410016115911211512019114[[#This Row],[1998]]</f>
        <v>0</v>
      </c>
      <c r="J14" s="71"/>
      <c r="K14" s="72">
        <f>Table410016115911211512019114[[#This Row],[2006]]-Table410016115911211512019114[[#This Row],[2002]]</f>
        <v>2</v>
      </c>
      <c r="L14" s="71">
        <v>2</v>
      </c>
      <c r="M14" s="72">
        <f>Table410016115911211512019114[[#This Row],[2010]]-Table410016115911211512019114[[#This Row],[2006]]</f>
        <v>-2</v>
      </c>
      <c r="N14" s="71"/>
      <c r="O14" s="72">
        <f>Table410016115911211512019114[[#This Row],[2014]]-Table410016115911211512019114[[#This Row],[2010]]</f>
        <v>0</v>
      </c>
      <c r="P14" s="71"/>
      <c r="Q14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2</v>
      </c>
      <c r="R14" s="75">
        <v>12</v>
      </c>
      <c r="T14" s="44">
        <f>(N9/T13)*100</f>
        <v>1.7543859649122806</v>
      </c>
      <c r="U14" s="44">
        <f>(N19/U13)*100</f>
        <v>9.2715231788079464</v>
      </c>
      <c r="V14" s="44">
        <f>(N25/V13)*100</f>
        <v>4.0816326530612246</v>
      </c>
      <c r="W14" s="44">
        <f>(N30/W13)*100</f>
        <v>7.2625698324022352</v>
      </c>
      <c r="X14" s="44">
        <f>(N34/X13)*100</f>
        <v>5.1948051948051948</v>
      </c>
    </row>
    <row r="15" spans="1:24" ht="19">
      <c r="A15" s="70" t="s">
        <v>77</v>
      </c>
      <c r="B15" s="71"/>
      <c r="C15" s="72">
        <f>Table410016115911211512019114[[#This Row],[1990]]-Table410016115911211512019114[[#This Row],[1986]]</f>
        <v>5</v>
      </c>
      <c r="D15" s="71">
        <v>5</v>
      </c>
      <c r="E15" s="72">
        <f>Table410016115911211512019114[[#This Row],[1994]]-Table410016115911211512019114[[#This Row],[1990]]</f>
        <v>2</v>
      </c>
      <c r="F15" s="71">
        <v>7</v>
      </c>
      <c r="G15" s="72">
        <f>Table410016115911211512019114[[#This Row],[1998]]-Table410016115911211512019114[[#This Row],[1994]]</f>
        <v>1</v>
      </c>
      <c r="H15" s="71">
        <v>8</v>
      </c>
      <c r="I15" s="72">
        <f>Table410016115911211512019114[[#This Row],[2002]]-Table410016115911211512019114[[#This Row],[1998]]</f>
        <v>-4</v>
      </c>
      <c r="J15" s="71">
        <v>4</v>
      </c>
      <c r="K15" s="72">
        <f>Table410016115911211512019114[[#This Row],[2006]]-Table410016115911211512019114[[#This Row],[2002]]</f>
        <v>-1</v>
      </c>
      <c r="L15" s="71">
        <v>3</v>
      </c>
      <c r="M15" s="72">
        <f>Table410016115911211512019114[[#This Row],[2010]]-Table410016115911211512019114[[#This Row],[2006]]</f>
        <v>2</v>
      </c>
      <c r="N15" s="71">
        <v>5</v>
      </c>
      <c r="O15" s="72">
        <f>Table410016115911211512019114[[#This Row],[2014]]-Table410016115911211512019114[[#This Row],[2010]]</f>
        <v>3</v>
      </c>
      <c r="P15" s="71">
        <v>8</v>
      </c>
      <c r="Q15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40</v>
      </c>
      <c r="R15" s="75">
        <v>25</v>
      </c>
    </row>
    <row r="16" spans="1:24" ht="19">
      <c r="A16" s="70" t="s">
        <v>75</v>
      </c>
      <c r="B16" s="72"/>
      <c r="C16" s="72">
        <f>Table410016115911211512019114[[#This Row],[1990]]-Table410016115911211512019114[[#This Row],[1986]]</f>
        <v>0</v>
      </c>
      <c r="D16" s="72"/>
      <c r="E16" s="72">
        <f>Table410016115911211512019114[[#This Row],[1994]]-Table410016115911211512019114[[#This Row],[1990]]</f>
        <v>0</v>
      </c>
      <c r="F16" s="72"/>
      <c r="G16" s="72">
        <f>Table410016115911211512019114[[#This Row],[1998]]-Table410016115911211512019114[[#This Row],[1994]]</f>
        <v>0</v>
      </c>
      <c r="H16" s="72"/>
      <c r="I16" s="72">
        <f>Table410016115911211512019114[[#This Row],[2002]]-Table410016115911211512019114[[#This Row],[1998]]</f>
        <v>0</v>
      </c>
      <c r="J16" s="72"/>
      <c r="K16" s="72">
        <f>Table410016115911211512019114[[#This Row],[2006]]-Table410016115911211512019114[[#This Row],[2002]]</f>
        <v>1</v>
      </c>
      <c r="L16" s="72">
        <v>1</v>
      </c>
      <c r="M16" s="72">
        <f>Table410016115911211512019114[[#This Row],[2010]]-Table410016115911211512019114[[#This Row],[2006]]</f>
        <v>0</v>
      </c>
      <c r="N16" s="72">
        <v>1</v>
      </c>
      <c r="O16" s="72">
        <f>Table410016115911211512019114[[#This Row],[2014]]-Table410016115911211512019114[[#This Row],[2010]]</f>
        <v>2</v>
      </c>
      <c r="P16" s="72">
        <v>3</v>
      </c>
      <c r="Q16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5</v>
      </c>
      <c r="R16" s="75">
        <v>10</v>
      </c>
      <c r="T16" s="178" t="s">
        <v>417</v>
      </c>
      <c r="U16" s="178"/>
      <c r="V16" s="178"/>
      <c r="W16" s="178"/>
      <c r="X16" s="178"/>
    </row>
    <row r="17" spans="1:24" ht="19">
      <c r="A17" s="70" t="s">
        <v>69</v>
      </c>
      <c r="B17" s="71"/>
      <c r="C17" s="72">
        <f>Table410016115911211512019114[[#This Row],[1990]]-Table410016115911211512019114[[#This Row],[1986]]</f>
        <v>0</v>
      </c>
      <c r="D17" s="71"/>
      <c r="E17" s="72">
        <f>Table410016115911211512019114[[#This Row],[1994]]-Table410016115911211512019114[[#This Row],[1990]]</f>
        <v>0</v>
      </c>
      <c r="F17" s="71"/>
      <c r="G17" s="72">
        <f>Table410016115911211512019114[[#This Row],[1998]]-Table410016115911211512019114[[#This Row],[1994]]</f>
        <v>0</v>
      </c>
      <c r="H17" s="71"/>
      <c r="I17" s="72">
        <f>Table410016115911211512019114[[#This Row],[2002]]-Table410016115911211512019114[[#This Row],[1998]]</f>
        <v>0</v>
      </c>
      <c r="J17" s="71"/>
      <c r="K17" s="72">
        <f>Table410016115911211512019114[[#This Row],[2006]]-Table410016115911211512019114[[#This Row],[2002]]</f>
        <v>1</v>
      </c>
      <c r="L17" s="71">
        <v>1</v>
      </c>
      <c r="M17" s="72">
        <f>Table410016115911211512019114[[#This Row],[2010]]-Table410016115911211512019114[[#This Row],[2006]]</f>
        <v>0</v>
      </c>
      <c r="N17" s="71">
        <v>1</v>
      </c>
      <c r="O17" s="72">
        <f>Table410016115911211512019114[[#This Row],[2014]]-Table410016115911211512019114[[#This Row],[2010]]</f>
        <v>-1</v>
      </c>
      <c r="P17" s="71"/>
      <c r="Q17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2</v>
      </c>
      <c r="R17" s="75">
        <v>8</v>
      </c>
      <c r="T17" s="65" t="s">
        <v>410</v>
      </c>
      <c r="U17" s="66" t="s">
        <v>411</v>
      </c>
      <c r="V17" s="67" t="s">
        <v>412</v>
      </c>
      <c r="W17" s="68" t="s">
        <v>413</v>
      </c>
      <c r="X17" s="69" t="s">
        <v>414</v>
      </c>
    </row>
    <row r="18" spans="1:24" ht="19">
      <c r="A18" s="70" t="s">
        <v>56</v>
      </c>
      <c r="B18" s="71"/>
      <c r="C18" s="72">
        <f>Table410016115911211512019114[[#This Row],[1990]]-Table410016115911211512019114[[#This Row],[1986]]</f>
        <v>0</v>
      </c>
      <c r="D18" s="71"/>
      <c r="E18" s="72">
        <f>Table410016115911211512019114[[#This Row],[1994]]-Table410016115911211512019114[[#This Row],[1990]]</f>
        <v>0</v>
      </c>
      <c r="F18" s="71"/>
      <c r="G18" s="72">
        <f>Table410016115911211512019114[[#This Row],[1998]]-Table410016115911211512019114[[#This Row],[1994]]</f>
        <v>1</v>
      </c>
      <c r="H18" s="71">
        <v>1</v>
      </c>
      <c r="I18" s="72">
        <f>Table410016115911211512019114[[#This Row],[2002]]-Table410016115911211512019114[[#This Row],[1998]]</f>
        <v>-1</v>
      </c>
      <c r="J18" s="71"/>
      <c r="K18" s="72">
        <f>Table410016115911211512019114[[#This Row],[2006]]-Table410016115911211512019114[[#This Row],[2002]]</f>
        <v>1</v>
      </c>
      <c r="L18" s="71">
        <v>1</v>
      </c>
      <c r="M18" s="72">
        <f>Table410016115911211512019114[[#This Row],[2010]]-Table410016115911211512019114[[#This Row],[2006]]</f>
        <v>0</v>
      </c>
      <c r="N18" s="71">
        <v>1</v>
      </c>
      <c r="O18" s="72">
        <f>Table410016115911211512019114[[#This Row],[2014]]-Table410016115911211512019114[[#This Row],[2010]]</f>
        <v>0</v>
      </c>
      <c r="P18" s="71">
        <v>1</v>
      </c>
      <c r="Q18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4</v>
      </c>
      <c r="R18" s="75">
        <v>8</v>
      </c>
      <c r="T18" s="9">
        <f>R9</f>
        <v>57</v>
      </c>
      <c r="U18" s="9">
        <f>R19</f>
        <v>151</v>
      </c>
      <c r="V18" s="9">
        <f>R25</f>
        <v>49</v>
      </c>
      <c r="W18" s="9">
        <f>R30</f>
        <v>179</v>
      </c>
      <c r="X18" s="9">
        <f>R34</f>
        <v>77</v>
      </c>
    </row>
    <row r="19" spans="1:24" ht="19">
      <c r="A19" s="83" t="s">
        <v>411</v>
      </c>
      <c r="B19" s="84">
        <f>SUM(B10:B18)</f>
        <v>0</v>
      </c>
      <c r="C19" s="84">
        <f>Table410016115911211512019114[[#This Row],[1990]]-Table410016115911211512019114[[#This Row],[1986]]</f>
        <v>9</v>
      </c>
      <c r="D19" s="84">
        <f>SUM(D10:D18)</f>
        <v>9</v>
      </c>
      <c r="E19" s="80">
        <f>Table410016115911211512019114[[#This Row],[1994]]-Table410016115911211512019114[[#This Row],[1990]]</f>
        <v>1</v>
      </c>
      <c r="F19" s="84">
        <f>SUM(F10:F18)</f>
        <v>10</v>
      </c>
      <c r="G19" s="80">
        <f>Table410016115911211512019114[[#This Row],[1998]]-Table410016115911211512019114[[#This Row],[1994]]</f>
        <v>2</v>
      </c>
      <c r="H19" s="84">
        <f>SUM(H10:H18)</f>
        <v>12</v>
      </c>
      <c r="I19" s="80">
        <f>Table410016115911211512019114[[#This Row],[2002]]-Table410016115911211512019114[[#This Row],[1998]]</f>
        <v>-5</v>
      </c>
      <c r="J19" s="84">
        <f>SUM(J10:J18)</f>
        <v>7</v>
      </c>
      <c r="K19" s="80">
        <f>Table410016115911211512019114[[#This Row],[2006]]-Table410016115911211512019114[[#This Row],[2002]]</f>
        <v>6</v>
      </c>
      <c r="L19" s="84">
        <f>SUM(L10:L18)</f>
        <v>13</v>
      </c>
      <c r="M19" s="80">
        <f>Table410016115911211512019114[[#This Row],[2010]]-Table410016115911211512019114[[#This Row],[2006]]</f>
        <v>1</v>
      </c>
      <c r="N19" s="84">
        <f>SUM(N10:N18)</f>
        <v>14</v>
      </c>
      <c r="O19" s="80">
        <f>Table410016115911211512019114[[#This Row],[2014]]-Table410016115911211512019114[[#This Row],[2010]]</f>
        <v>2</v>
      </c>
      <c r="P19" s="84">
        <f>SUM(P10:P18)</f>
        <v>16</v>
      </c>
      <c r="Q19" s="85">
        <f>SUM(Q10:Q18)</f>
        <v>81</v>
      </c>
      <c r="R19" s="43">
        <v>151</v>
      </c>
      <c r="T19" s="44">
        <f>(L9/T18)*100</f>
        <v>5.2631578947368416</v>
      </c>
      <c r="U19" s="44">
        <f>(L19/U18)*100</f>
        <v>8.6092715231788084</v>
      </c>
      <c r="V19" s="44">
        <f>(L25/V18)*100</f>
        <v>6.1224489795918364</v>
      </c>
      <c r="W19" s="44">
        <f>(L30/W18)*100</f>
        <v>4.4692737430167595</v>
      </c>
      <c r="X19" s="44">
        <f>(L34/X18)*100</f>
        <v>1.2987012987012987</v>
      </c>
    </row>
    <row r="20" spans="1:24" ht="19">
      <c r="A20" s="70" t="s">
        <v>97</v>
      </c>
      <c r="B20" s="71"/>
      <c r="C20" s="72">
        <f>Table410016115911211512019114[[#This Row],[1990]]-Table410016115911211512019114[[#This Row],[1986]]</f>
        <v>0</v>
      </c>
      <c r="D20" s="71"/>
      <c r="E20" s="72">
        <f>Table410016115911211512019114[[#This Row],[1994]]-Table410016115911211512019114[[#This Row],[1990]]</f>
        <v>0</v>
      </c>
      <c r="F20" s="71"/>
      <c r="G20" s="72">
        <f>Table410016115911211512019114[[#This Row],[1998]]-Table410016115911211512019114[[#This Row],[1994]]</f>
        <v>0</v>
      </c>
      <c r="H20" s="71"/>
      <c r="I20" s="72">
        <f>Table410016115911211512019114[[#This Row],[2002]]-Table410016115911211512019114[[#This Row],[1998]]</f>
        <v>0</v>
      </c>
      <c r="J20" s="71"/>
      <c r="K20" s="72">
        <f>Table410016115911211512019114[[#This Row],[2006]]-Table410016115911211512019114[[#This Row],[2002]]</f>
        <v>1</v>
      </c>
      <c r="L20" s="71">
        <v>1</v>
      </c>
      <c r="M20" s="72">
        <f>Table410016115911211512019114[[#This Row],[2010]]-Table410016115911211512019114[[#This Row],[2006]]</f>
        <v>-1</v>
      </c>
      <c r="N20" s="71"/>
      <c r="O20" s="72">
        <f>Table410016115911211512019114[[#This Row],[2014]]-Table410016115911211512019114[[#This Row],[2010]]</f>
        <v>0</v>
      </c>
      <c r="P20" s="71"/>
      <c r="Q20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1</v>
      </c>
      <c r="R20" s="75">
        <v>8</v>
      </c>
    </row>
    <row r="21" spans="1:24" ht="19">
      <c r="A21" s="86" t="s">
        <v>94</v>
      </c>
      <c r="B21" s="71"/>
      <c r="C21" s="72">
        <f>Table410016115911211512019114[[#This Row],[1990]]-Table410016115911211512019114[[#This Row],[1986]]</f>
        <v>0</v>
      </c>
      <c r="D21" s="71"/>
      <c r="E21" s="72">
        <f>Table410016115911211512019114[[#This Row],[1994]]-Table410016115911211512019114[[#This Row],[1990]]</f>
        <v>0</v>
      </c>
      <c r="F21" s="71"/>
      <c r="G21" s="72">
        <f>Table410016115911211512019114[[#This Row],[1998]]-Table410016115911211512019114[[#This Row],[1994]]</f>
        <v>0</v>
      </c>
      <c r="H21" s="71"/>
      <c r="I21" s="72">
        <f>Table410016115911211512019114[[#This Row],[2002]]-Table410016115911211512019114[[#This Row],[1998]]</f>
        <v>0</v>
      </c>
      <c r="J21" s="71"/>
      <c r="K21" s="72">
        <f>Table410016115911211512019114[[#This Row],[2006]]-Table410016115911211512019114[[#This Row],[2002]]</f>
        <v>0</v>
      </c>
      <c r="L21" s="71"/>
      <c r="M21" s="72">
        <f>Table410016115911211512019114[[#This Row],[2010]]-Table410016115911211512019114[[#This Row],[2006]]</f>
        <v>0</v>
      </c>
      <c r="N21" s="71"/>
      <c r="O21" s="72">
        <f>Table410016115911211512019114[[#This Row],[2014]]-Table410016115911211512019114[[#This Row],[2010]]</f>
        <v>0</v>
      </c>
      <c r="P21" s="71"/>
      <c r="Q21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0</v>
      </c>
      <c r="R21" s="75">
        <v>17</v>
      </c>
      <c r="T21" s="178" t="s">
        <v>418</v>
      </c>
      <c r="U21" s="178"/>
      <c r="V21" s="178"/>
      <c r="W21" s="178"/>
      <c r="X21" s="178"/>
    </row>
    <row r="22" spans="1:24" ht="19">
      <c r="A22" s="88" t="s">
        <v>85</v>
      </c>
      <c r="B22" s="71"/>
      <c r="C22" s="72">
        <f>Table410016115911211512019114[[#This Row],[1990]]-Table410016115911211512019114[[#This Row],[1986]]</f>
        <v>0</v>
      </c>
      <c r="D22" s="71"/>
      <c r="E22" s="72">
        <f>Table410016115911211512019114[[#This Row],[1994]]-Table410016115911211512019114[[#This Row],[1990]]</f>
        <v>0</v>
      </c>
      <c r="F22" s="71"/>
      <c r="G22" s="72">
        <f>Table410016115911211512019114[[#This Row],[1998]]-Table410016115911211512019114[[#This Row],[1994]]</f>
        <v>0</v>
      </c>
      <c r="H22" s="71"/>
      <c r="I22" s="72">
        <f>Table410016115911211512019114[[#This Row],[2002]]-Table410016115911211512019114[[#This Row],[1998]]</f>
        <v>0</v>
      </c>
      <c r="J22" s="71"/>
      <c r="K22" s="72">
        <f>Table410016115911211512019114[[#This Row],[2006]]-Table410016115911211512019114[[#This Row],[2002]]</f>
        <v>0</v>
      </c>
      <c r="L22" s="71"/>
      <c r="M22" s="72">
        <f>Table410016115911211512019114[[#This Row],[2010]]-Table410016115911211512019114[[#This Row],[2006]]</f>
        <v>0</v>
      </c>
      <c r="N22" s="71"/>
      <c r="O22" s="72">
        <f>Table410016115911211512019114[[#This Row],[2014]]-Table410016115911211512019114[[#This Row],[2010]]</f>
        <v>1</v>
      </c>
      <c r="P22" s="71">
        <v>1</v>
      </c>
      <c r="Q22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1</v>
      </c>
      <c r="R22" s="75">
        <v>8</v>
      </c>
      <c r="T22" s="65" t="s">
        <v>410</v>
      </c>
      <c r="U22" s="66" t="s">
        <v>411</v>
      </c>
      <c r="V22" s="67" t="s">
        <v>412</v>
      </c>
      <c r="W22" s="68" t="s">
        <v>413</v>
      </c>
      <c r="X22" s="69" t="s">
        <v>414</v>
      </c>
    </row>
    <row r="23" spans="1:24" ht="19">
      <c r="A23" s="88" t="s">
        <v>83</v>
      </c>
      <c r="B23" s="71"/>
      <c r="C23" s="72">
        <f>Table410016115911211512019114[[#This Row],[1990]]-Table410016115911211512019114[[#This Row],[1986]]</f>
        <v>0</v>
      </c>
      <c r="D23" s="71"/>
      <c r="E23" s="72">
        <f>Table410016115911211512019114[[#This Row],[1994]]-Table410016115911211512019114[[#This Row],[1990]]</f>
        <v>0</v>
      </c>
      <c r="F23" s="71"/>
      <c r="G23" s="72">
        <f>Table410016115911211512019114[[#This Row],[1998]]-Table410016115911211512019114[[#This Row],[1994]]</f>
        <v>0</v>
      </c>
      <c r="H23" s="71"/>
      <c r="I23" s="72">
        <f>Table410016115911211512019114[[#This Row],[2002]]-Table410016115911211512019114[[#This Row],[1998]]</f>
        <v>0</v>
      </c>
      <c r="J23" s="71"/>
      <c r="K23" s="72">
        <f>Table410016115911211512019114[[#This Row],[2006]]-Table410016115911211512019114[[#This Row],[2002]]</f>
        <v>1</v>
      </c>
      <c r="L23" s="71">
        <v>1</v>
      </c>
      <c r="M23" s="72">
        <f>Table410016115911211512019114[[#This Row],[2010]]-Table410016115911211512019114[[#This Row],[2006]]</f>
        <v>0</v>
      </c>
      <c r="N23" s="71">
        <v>1</v>
      </c>
      <c r="O23" s="72">
        <f>Table410016115911211512019114[[#This Row],[2014]]-Table410016115911211512019114[[#This Row],[2010]]</f>
        <v>1</v>
      </c>
      <c r="P23" s="71">
        <v>2</v>
      </c>
      <c r="Q23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4</v>
      </c>
      <c r="R23" s="75">
        <v>8</v>
      </c>
      <c r="T23" s="9">
        <f>R9</f>
        <v>57</v>
      </c>
      <c r="U23" s="9">
        <f>R19</f>
        <v>151</v>
      </c>
      <c r="V23" s="9">
        <f>R25</f>
        <v>49</v>
      </c>
      <c r="W23" s="9">
        <f>R30</f>
        <v>179</v>
      </c>
      <c r="X23" s="9">
        <f>R34</f>
        <v>77</v>
      </c>
    </row>
    <row r="24" spans="1:24" ht="19">
      <c r="A24" s="88" t="s">
        <v>52</v>
      </c>
      <c r="B24" s="71"/>
      <c r="C24" s="72">
        <f>Table410016115911211512019114[[#This Row],[1990]]-Table410016115911211512019114[[#This Row],[1986]]</f>
        <v>0</v>
      </c>
      <c r="D24" s="71"/>
      <c r="E24" s="72">
        <f>Table410016115911211512019114[[#This Row],[1994]]-Table410016115911211512019114[[#This Row],[1990]]</f>
        <v>0</v>
      </c>
      <c r="F24" s="71"/>
      <c r="G24" s="72">
        <f>Table410016115911211512019114[[#This Row],[1998]]-Table410016115911211512019114[[#This Row],[1994]]</f>
        <v>0</v>
      </c>
      <c r="H24" s="71"/>
      <c r="I24" s="72">
        <f>Table410016115911211512019114[[#This Row],[2002]]-Table410016115911211512019114[[#This Row],[1998]]</f>
        <v>0</v>
      </c>
      <c r="J24" s="71"/>
      <c r="K24" s="72">
        <f>Table410016115911211512019114[[#This Row],[2006]]-Table410016115911211512019114[[#This Row],[2002]]</f>
        <v>1</v>
      </c>
      <c r="L24" s="71">
        <v>1</v>
      </c>
      <c r="M24" s="72">
        <f>Table410016115911211512019114[[#This Row],[2010]]-Table410016115911211512019114[[#This Row],[2006]]</f>
        <v>0</v>
      </c>
      <c r="N24" s="71">
        <v>1</v>
      </c>
      <c r="O24" s="72">
        <f>Table410016115911211512019114[[#This Row],[2014]]-Table410016115911211512019114[[#This Row],[2010]]</f>
        <v>0</v>
      </c>
      <c r="P24" s="71">
        <v>1</v>
      </c>
      <c r="Q24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3</v>
      </c>
      <c r="R24" s="75">
        <v>8</v>
      </c>
      <c r="T24" s="44">
        <f>(J9/T23)*100</f>
        <v>3.5087719298245612</v>
      </c>
      <c r="U24" s="44">
        <f>(J19/U23)*100</f>
        <v>4.6357615894039732</v>
      </c>
      <c r="V24" s="44">
        <f>(J25/V23)*100</f>
        <v>0</v>
      </c>
      <c r="W24" s="44">
        <f>(J30/W23)*100</f>
        <v>7.2625698324022352</v>
      </c>
      <c r="X24" s="44">
        <f>(J34/X23)*100</f>
        <v>1.2987012987012987</v>
      </c>
    </row>
    <row r="25" spans="1:24" ht="19">
      <c r="A25" s="89" t="s">
        <v>412</v>
      </c>
      <c r="B25" s="79">
        <f>SUM(B20:B24)</f>
        <v>0</v>
      </c>
      <c r="C25" s="79">
        <f>Table410016115911211512019114[[#This Row],[1990]]-Table410016115911211512019114[[#This Row],[1986]]</f>
        <v>0</v>
      </c>
      <c r="D25" s="79">
        <f>SUM(D20:D24)</f>
        <v>0</v>
      </c>
      <c r="E25" s="80">
        <f>Table410016115911211512019114[[#This Row],[1994]]-Table410016115911211512019114[[#This Row],[1990]]</f>
        <v>0</v>
      </c>
      <c r="F25" s="79">
        <f>SUM(F20:F24)</f>
        <v>0</v>
      </c>
      <c r="G25" s="80">
        <f>Table410016115911211512019114[[#This Row],[1998]]-Table410016115911211512019114[[#This Row],[1994]]</f>
        <v>0</v>
      </c>
      <c r="H25" s="79">
        <f>SUM(H20:H24)</f>
        <v>0</v>
      </c>
      <c r="I25" s="80">
        <f>Table410016115911211512019114[[#This Row],[2002]]-Table410016115911211512019114[[#This Row],[1998]]</f>
        <v>0</v>
      </c>
      <c r="J25" s="79">
        <f>SUM(J20:J24)</f>
        <v>0</v>
      </c>
      <c r="K25" s="80">
        <f>Table410016115911211512019114[[#This Row],[2006]]-Table410016115911211512019114[[#This Row],[2002]]</f>
        <v>3</v>
      </c>
      <c r="L25" s="79">
        <f>SUM(L20:L24)</f>
        <v>3</v>
      </c>
      <c r="M25" s="80">
        <f>Table410016115911211512019114[[#This Row],[2010]]-Table410016115911211512019114[[#This Row],[2006]]</f>
        <v>-1</v>
      </c>
      <c r="N25" s="79">
        <f>SUM(N20:N24)</f>
        <v>2</v>
      </c>
      <c r="O25" s="80">
        <f>Table410016115911211512019114[[#This Row],[2014]]-Table410016115911211512019114[[#This Row],[2010]]</f>
        <v>2</v>
      </c>
      <c r="P25" s="79">
        <f>SUM(P20:P24)</f>
        <v>4</v>
      </c>
      <c r="Q25" s="90">
        <f>SUM(Q20:Q24)</f>
        <v>9</v>
      </c>
      <c r="R25" s="91">
        <v>49</v>
      </c>
    </row>
    <row r="26" spans="1:24" ht="19">
      <c r="A26" s="88" t="s">
        <v>95</v>
      </c>
      <c r="B26" s="71"/>
      <c r="C26" s="72">
        <f>Table410016115911211512019114[[#This Row],[1990]]-Table410016115911211512019114[[#This Row],[1986]]</f>
        <v>0</v>
      </c>
      <c r="D26" s="71"/>
      <c r="E26" s="72">
        <f>Table410016115911211512019114[[#This Row],[1994]]-Table410016115911211512019114[[#This Row],[1990]]</f>
        <v>1</v>
      </c>
      <c r="F26" s="71">
        <v>1</v>
      </c>
      <c r="G26" s="72">
        <f>Table410016115911211512019114[[#This Row],[1998]]-Table410016115911211512019114[[#This Row],[1994]]</f>
        <v>-1</v>
      </c>
      <c r="H26" s="71"/>
      <c r="I26" s="72">
        <f>Table410016115911211512019114[[#This Row],[2002]]-Table410016115911211512019114[[#This Row],[1998]]</f>
        <v>1</v>
      </c>
      <c r="J26" s="71">
        <v>1</v>
      </c>
      <c r="K26" s="72">
        <f>Table410016115911211512019114[[#This Row],[2006]]-Table410016115911211512019114[[#This Row],[2002]]</f>
        <v>0</v>
      </c>
      <c r="L26" s="71">
        <v>1</v>
      </c>
      <c r="M26" s="72">
        <f>Table410016115911211512019114[[#This Row],[2010]]-Table410016115911211512019114[[#This Row],[2006]]</f>
        <v>1</v>
      </c>
      <c r="N26" s="71">
        <v>2</v>
      </c>
      <c r="O26" s="72">
        <f>Table410016115911211512019114[[#This Row],[2014]]-Table410016115911211512019114[[#This Row],[2010]]</f>
        <v>-1</v>
      </c>
      <c r="P26" s="71">
        <v>1</v>
      </c>
      <c r="Q26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6</v>
      </c>
      <c r="R26" s="75">
        <v>10</v>
      </c>
      <c r="T26" s="178" t="s">
        <v>419</v>
      </c>
      <c r="U26" s="178"/>
      <c r="V26" s="178"/>
      <c r="W26" s="178"/>
      <c r="X26" s="178"/>
    </row>
    <row r="27" spans="1:24" ht="19">
      <c r="A27" s="88" t="s">
        <v>88</v>
      </c>
      <c r="B27" s="71"/>
      <c r="C27" s="72">
        <f>Table410016115911211512019114[[#This Row],[1990]]-Table410016115911211512019114[[#This Row],[1986]]</f>
        <v>1</v>
      </c>
      <c r="D27" s="71">
        <v>1</v>
      </c>
      <c r="E27" s="72">
        <f>Table410016115911211512019114[[#This Row],[1994]]-Table410016115911211512019114[[#This Row],[1990]]</f>
        <v>-1</v>
      </c>
      <c r="F27" s="71"/>
      <c r="G27" s="72">
        <f>Table410016115911211512019114[[#This Row],[1998]]-Table410016115911211512019114[[#This Row],[1994]]</f>
        <v>0</v>
      </c>
      <c r="H27" s="71"/>
      <c r="I27" s="72">
        <f>Table410016115911211512019114[[#This Row],[2002]]-Table410016115911211512019114[[#This Row],[1998]]</f>
        <v>1</v>
      </c>
      <c r="J27" s="71">
        <v>1</v>
      </c>
      <c r="K27" s="72">
        <f>Table410016115911211512019114[[#This Row],[2006]]-Table410016115911211512019114[[#This Row],[2002]]</f>
        <v>0</v>
      </c>
      <c r="L27" s="71">
        <v>1</v>
      </c>
      <c r="M27" s="72">
        <f>Table410016115911211512019114[[#This Row],[2010]]-Table410016115911211512019114[[#This Row],[2006]]</f>
        <v>0</v>
      </c>
      <c r="N27" s="71">
        <v>1</v>
      </c>
      <c r="O27" s="72">
        <f>Table410016115911211512019114[[#This Row],[2014]]-Table410016115911211512019114[[#This Row],[2010]]</f>
        <v>2</v>
      </c>
      <c r="P27" s="71">
        <v>3</v>
      </c>
      <c r="Q27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7</v>
      </c>
      <c r="R27" s="75">
        <v>53</v>
      </c>
      <c r="T27" s="65" t="s">
        <v>410</v>
      </c>
      <c r="U27" s="66" t="s">
        <v>411</v>
      </c>
      <c r="V27" s="67" t="s">
        <v>412</v>
      </c>
      <c r="W27" s="68" t="s">
        <v>413</v>
      </c>
      <c r="X27" s="69" t="s">
        <v>414</v>
      </c>
    </row>
    <row r="28" spans="1:24" ht="19">
      <c r="A28" s="88" t="s">
        <v>72</v>
      </c>
      <c r="B28" s="71"/>
      <c r="C28" s="72">
        <f>Table410016115911211512019114[[#This Row],[1990]]-Table410016115911211512019114[[#This Row],[1986]]</f>
        <v>1</v>
      </c>
      <c r="D28" s="71">
        <v>1</v>
      </c>
      <c r="E28" s="72">
        <f>Table410016115911211512019114[[#This Row],[1994]]-Table410016115911211512019114[[#This Row],[1990]]</f>
        <v>0</v>
      </c>
      <c r="F28" s="71">
        <v>1</v>
      </c>
      <c r="G28" s="72">
        <f>Table410016115911211512019114[[#This Row],[1998]]-Table410016115911211512019114[[#This Row],[1994]]</f>
        <v>1</v>
      </c>
      <c r="H28" s="71">
        <v>2</v>
      </c>
      <c r="I28" s="72">
        <f>Table410016115911211512019114[[#This Row],[2002]]-Table410016115911211512019114[[#This Row],[1998]]</f>
        <v>4</v>
      </c>
      <c r="J28" s="71">
        <v>6</v>
      </c>
      <c r="K28" s="72">
        <f>Table410016115911211512019114[[#This Row],[2006]]-Table410016115911211512019114[[#This Row],[2002]]</f>
        <v>-4</v>
      </c>
      <c r="L28" s="71">
        <v>2</v>
      </c>
      <c r="M28" s="72">
        <f>Table410016115911211512019114[[#This Row],[2010]]-Table410016115911211512019114[[#This Row],[2006]]</f>
        <v>1</v>
      </c>
      <c r="N28" s="71">
        <v>3</v>
      </c>
      <c r="O28" s="72">
        <f>Table410016115911211512019114[[#This Row],[2014]]-Table410016115911211512019114[[#This Row],[2010]]</f>
        <v>-2</v>
      </c>
      <c r="P28" s="71">
        <v>1</v>
      </c>
      <c r="Q28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16</v>
      </c>
      <c r="R28" s="75">
        <v>46</v>
      </c>
      <c r="T28" s="9">
        <f>R9</f>
        <v>57</v>
      </c>
      <c r="U28" s="9">
        <f>R19</f>
        <v>151</v>
      </c>
      <c r="V28" s="9">
        <f>R25</f>
        <v>49</v>
      </c>
      <c r="W28" s="9">
        <f>R30</f>
        <v>179</v>
      </c>
      <c r="X28" s="9">
        <f>R34</f>
        <v>77</v>
      </c>
    </row>
    <row r="29" spans="1:24" ht="19">
      <c r="A29" s="88" t="s">
        <v>54</v>
      </c>
      <c r="B29" s="71"/>
      <c r="C29" s="72">
        <f>Table410016115911211512019114[[#This Row],[1990]]-Table410016115911211512019114[[#This Row],[1986]]</f>
        <v>0</v>
      </c>
      <c r="D29" s="71"/>
      <c r="E29" s="72">
        <f>Table410016115911211512019114[[#This Row],[1994]]-Table410016115911211512019114[[#This Row],[1990]]</f>
        <v>1</v>
      </c>
      <c r="F29" s="71">
        <v>1</v>
      </c>
      <c r="G29" s="72">
        <f>Table410016115911211512019114[[#This Row],[1998]]-Table410016115911211512019114[[#This Row],[1994]]</f>
        <v>1</v>
      </c>
      <c r="H29" s="71">
        <v>2</v>
      </c>
      <c r="I29" s="72">
        <f>Table410016115911211512019114[[#This Row],[2002]]-Table410016115911211512019114[[#This Row],[1998]]</f>
        <v>3</v>
      </c>
      <c r="J29" s="71">
        <v>5</v>
      </c>
      <c r="K29" s="72">
        <f>Table410016115911211512019114[[#This Row],[2006]]-Table410016115911211512019114[[#This Row],[2002]]</f>
        <v>-1</v>
      </c>
      <c r="L29" s="71">
        <v>4</v>
      </c>
      <c r="M29" s="72">
        <f>Table410016115911211512019114[[#This Row],[2010]]-Table410016115911211512019114[[#This Row],[2006]]</f>
        <v>3</v>
      </c>
      <c r="N29" s="71">
        <v>7</v>
      </c>
      <c r="O29" s="72">
        <f>Table410016115911211512019114[[#This Row],[2014]]-Table410016115911211512019114[[#This Row],[2010]]</f>
        <v>-4</v>
      </c>
      <c r="P29" s="71">
        <v>3</v>
      </c>
      <c r="Q29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22</v>
      </c>
      <c r="R29" s="75">
        <v>70</v>
      </c>
      <c r="T29" s="44">
        <f>(H9/T28)*100</f>
        <v>1.7543859649122806</v>
      </c>
      <c r="U29" s="44">
        <f>(H19/U28)*100</f>
        <v>7.9470198675496695</v>
      </c>
      <c r="V29" s="44">
        <f>(H25/V28)*100</f>
        <v>0</v>
      </c>
      <c r="W29" s="44">
        <f>(H30/W28)*100</f>
        <v>2.2346368715083798</v>
      </c>
      <c r="X29" s="44">
        <f>(H34/X28)*100</f>
        <v>1.2987012987012987</v>
      </c>
    </row>
    <row r="30" spans="1:24" ht="19">
      <c r="A30" s="93" t="s">
        <v>413</v>
      </c>
      <c r="B30" s="79">
        <f>SUM(B26:B29)</f>
        <v>0</v>
      </c>
      <c r="C30" s="79">
        <f>Table410016115911211512019114[[#This Row],[1990]]-Table410016115911211512019114[[#This Row],[1986]]</f>
        <v>2</v>
      </c>
      <c r="D30" s="79">
        <f>SUM(D26:D29)</f>
        <v>2</v>
      </c>
      <c r="E30" s="80">
        <f>Table410016115911211512019114[[#This Row],[1994]]-Table410016115911211512019114[[#This Row],[1990]]</f>
        <v>1</v>
      </c>
      <c r="F30" s="79">
        <f>SUM(F26:F29)</f>
        <v>3</v>
      </c>
      <c r="G30" s="80">
        <f>Table410016115911211512019114[[#This Row],[1998]]-Table410016115911211512019114[[#This Row],[1994]]</f>
        <v>1</v>
      </c>
      <c r="H30" s="79">
        <f>SUM(H26:H29)</f>
        <v>4</v>
      </c>
      <c r="I30" s="80">
        <f>Table410016115911211512019114[[#This Row],[2002]]-Table410016115911211512019114[[#This Row],[1998]]</f>
        <v>9</v>
      </c>
      <c r="J30" s="79">
        <f>SUM(J26:J29)</f>
        <v>13</v>
      </c>
      <c r="K30" s="80">
        <f>Table410016115911211512019114[[#This Row],[2006]]-Table410016115911211512019114[[#This Row],[2002]]</f>
        <v>-5</v>
      </c>
      <c r="L30" s="79">
        <f>SUM(L26:L29)</f>
        <v>8</v>
      </c>
      <c r="M30" s="80">
        <f>Table410016115911211512019114[[#This Row],[2010]]-Table410016115911211512019114[[#This Row],[2006]]</f>
        <v>5</v>
      </c>
      <c r="N30" s="79">
        <f>SUM(N26:N29)</f>
        <v>13</v>
      </c>
      <c r="O30" s="80">
        <f>Table410016115911211512019114[[#This Row],[2014]]-Table410016115911211512019114[[#This Row],[2010]]</f>
        <v>-5</v>
      </c>
      <c r="P30" s="79">
        <f>SUM(P26:P29)</f>
        <v>8</v>
      </c>
      <c r="Q30" s="94">
        <f>SUM(Q26:Q29)</f>
        <v>51</v>
      </c>
      <c r="R30" s="95">
        <v>179</v>
      </c>
    </row>
    <row r="31" spans="1:24" ht="19">
      <c r="A31" s="88" t="s">
        <v>13</v>
      </c>
      <c r="B31" s="71"/>
      <c r="C31" s="72">
        <f>Table410016115911211512019114[[#This Row],[1990]]-Table410016115911211512019114[[#This Row],[1986]]</f>
        <v>0</v>
      </c>
      <c r="D31" s="71"/>
      <c r="E31" s="72">
        <f>Table410016115911211512019114[[#This Row],[1994]]-Table410016115911211512019114[[#This Row],[1990]]</f>
        <v>0</v>
      </c>
      <c r="F31" s="71"/>
      <c r="G31" s="72">
        <f>Table410016115911211512019114[[#This Row],[1998]]-Table410016115911211512019114[[#This Row],[1994]]</f>
        <v>0</v>
      </c>
      <c r="H31" s="71"/>
      <c r="I31" s="72">
        <f>Table410016115911211512019114[[#This Row],[2002]]-Table410016115911211512019114[[#This Row],[1998]]</f>
        <v>0</v>
      </c>
      <c r="J31" s="71"/>
      <c r="K31" s="72">
        <f>Table410016115911211512019114[[#This Row],[2006]]-Table410016115911211512019114[[#This Row],[2002]]</f>
        <v>0</v>
      </c>
      <c r="L31" s="71"/>
      <c r="M31" s="72">
        <f>Table410016115911211512019114[[#This Row],[2010]]-Table410016115911211512019114[[#This Row],[2006]]</f>
        <v>1</v>
      </c>
      <c r="N31" s="71">
        <v>1</v>
      </c>
      <c r="O31" s="72">
        <f>Table410016115911211512019114[[#This Row],[2014]]-Table410016115911211512019114[[#This Row],[2010]]</f>
        <v>1</v>
      </c>
      <c r="P31" s="71">
        <v>2</v>
      </c>
      <c r="Q31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3</v>
      </c>
      <c r="R31" s="75">
        <v>30</v>
      </c>
      <c r="T31" s="178" t="s">
        <v>421</v>
      </c>
      <c r="U31" s="178"/>
      <c r="V31" s="178"/>
      <c r="W31" s="178"/>
      <c r="X31" s="178"/>
    </row>
    <row r="32" spans="1:24" ht="19">
      <c r="A32" s="88" t="s">
        <v>62</v>
      </c>
      <c r="B32" s="72"/>
      <c r="C32" s="72">
        <f>Table410016115911211512019114[[#This Row],[1990]]-Table410016115911211512019114[[#This Row],[1986]]</f>
        <v>0</v>
      </c>
      <c r="D32" s="72"/>
      <c r="E32" s="72">
        <f>Table410016115911211512019114[[#This Row],[1994]]-Table410016115911211512019114[[#This Row],[1990]]</f>
        <v>0</v>
      </c>
      <c r="F32" s="72"/>
      <c r="G32" s="72">
        <f>Table410016115911211512019114[[#This Row],[1998]]-Table410016115911211512019114[[#This Row],[1994]]</f>
        <v>1</v>
      </c>
      <c r="H32" s="72">
        <v>1</v>
      </c>
      <c r="I32" s="72">
        <f>Table410016115911211512019114[[#This Row],[2002]]-Table410016115911211512019114[[#This Row],[1998]]</f>
        <v>0</v>
      </c>
      <c r="J32" s="72">
        <v>1</v>
      </c>
      <c r="K32" s="72">
        <f>Table410016115911211512019114[[#This Row],[2006]]-Table410016115911211512019114[[#This Row],[2002]]</f>
        <v>0</v>
      </c>
      <c r="L32" s="72">
        <v>1</v>
      </c>
      <c r="M32" s="72">
        <f>Table410016115911211512019114[[#This Row],[2010]]-Table410016115911211512019114[[#This Row],[2006]]</f>
        <v>2</v>
      </c>
      <c r="N32" s="72">
        <v>3</v>
      </c>
      <c r="O32" s="72">
        <f>Table410016115911211512019114[[#This Row],[2014]]-Table410016115911211512019114[[#This Row],[2010]]</f>
        <v>-1</v>
      </c>
      <c r="P32" s="72">
        <v>2</v>
      </c>
      <c r="Q32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8</v>
      </c>
      <c r="R32" s="75">
        <v>31</v>
      </c>
      <c r="T32" s="65" t="s">
        <v>410</v>
      </c>
      <c r="U32" s="66" t="s">
        <v>411</v>
      </c>
      <c r="V32" s="67" t="s">
        <v>412</v>
      </c>
      <c r="W32" s="68" t="s">
        <v>413</v>
      </c>
      <c r="X32" s="69" t="s">
        <v>414</v>
      </c>
    </row>
    <row r="33" spans="1:24" ht="19">
      <c r="A33" s="88" t="s">
        <v>60</v>
      </c>
      <c r="B33" s="71"/>
      <c r="C33" s="72">
        <f>Table410016115911211512019114[[#This Row],[1990]]-Table410016115911211512019114[[#This Row],[1986]]</f>
        <v>0</v>
      </c>
      <c r="D33" s="71"/>
      <c r="E33" s="72">
        <f>Table410016115911211512019114[[#This Row],[1994]]-Table410016115911211512019114[[#This Row],[1990]]</f>
        <v>0</v>
      </c>
      <c r="F33" s="71"/>
      <c r="G33" s="72">
        <f>Table410016115911211512019114[[#This Row],[1998]]-Table410016115911211512019114[[#This Row],[1994]]</f>
        <v>0</v>
      </c>
      <c r="H33" s="71"/>
      <c r="I33" s="72">
        <f>Table410016115911211512019114[[#This Row],[2002]]-Table410016115911211512019114[[#This Row],[1998]]</f>
        <v>0</v>
      </c>
      <c r="J33" s="71"/>
      <c r="K33" s="72">
        <f>Table410016115911211512019114[[#This Row],[2006]]-Table410016115911211512019114[[#This Row],[2002]]</f>
        <v>0</v>
      </c>
      <c r="L33" s="71"/>
      <c r="M33" s="72">
        <f>Table410016115911211512019114[[#This Row],[2010]]-Table410016115911211512019114[[#This Row],[2006]]</f>
        <v>0</v>
      </c>
      <c r="N33" s="71"/>
      <c r="O33" s="72">
        <f>Table410016115911211512019114[[#This Row],[2014]]-Table410016115911211512019114[[#This Row],[2010]]</f>
        <v>0</v>
      </c>
      <c r="P33" s="71"/>
      <c r="Q33" s="73">
        <f>SUM(Table410016115911211512019114[[#This Row],[1986]],Table410016115911211512019114[[#This Row],[1990]],Table410016115911211512019114[[#This Row],[1994]],Table410016115911211512019114[[#This Row],[1998]],Table410016115911211512019114[[#This Row],[2002]],Table410016115911211512019114[[#This Row],[2006]],Table410016115911211512019114[[#This Row],[2010]],Table410016115911211512019114[[#This Row],[2014]])</f>
        <v>0</v>
      </c>
      <c r="R33" s="75">
        <v>16</v>
      </c>
      <c r="T33" s="9">
        <f>R9</f>
        <v>57</v>
      </c>
      <c r="U33" s="9">
        <f>R19</f>
        <v>151</v>
      </c>
      <c r="V33" s="9">
        <f>R25</f>
        <v>49</v>
      </c>
      <c r="W33" s="9">
        <f>R30</f>
        <v>179</v>
      </c>
      <c r="X33" s="9">
        <f>R34</f>
        <v>77</v>
      </c>
    </row>
    <row r="34" spans="1:24" ht="19">
      <c r="A34" s="96" t="s">
        <v>414</v>
      </c>
      <c r="B34" s="97">
        <f>SUM(B31:B33)</f>
        <v>0</v>
      </c>
      <c r="C34" s="97">
        <f>Table410016115911211512019114[[#This Row],[1990]]-Table410016115911211512019114[[#This Row],[1986]]</f>
        <v>0</v>
      </c>
      <c r="D34" s="97">
        <f>SUM(D31:D33)</f>
        <v>0</v>
      </c>
      <c r="E34" s="80">
        <f>Table410016115911211512019114[[#This Row],[1994]]-Table410016115911211512019114[[#This Row],[1990]]</f>
        <v>0</v>
      </c>
      <c r="F34" s="97">
        <f>SUM(F31:F33)</f>
        <v>0</v>
      </c>
      <c r="G34" s="80">
        <f>Table410016115911211512019114[[#This Row],[1998]]-Table410016115911211512019114[[#This Row],[1994]]</f>
        <v>1</v>
      </c>
      <c r="H34" s="97">
        <f>SUM(H31:H33)</f>
        <v>1</v>
      </c>
      <c r="I34" s="80">
        <f>Table410016115911211512019114[[#This Row],[2002]]-Table410016115911211512019114[[#This Row],[1998]]</f>
        <v>0</v>
      </c>
      <c r="J34" s="97">
        <f>SUM(J31:J33)</f>
        <v>1</v>
      </c>
      <c r="K34" s="80">
        <f>Table410016115911211512019114[[#This Row],[2006]]-Table410016115911211512019114[[#This Row],[2002]]</f>
        <v>0</v>
      </c>
      <c r="L34" s="97">
        <f>SUM(L31:L33)</f>
        <v>1</v>
      </c>
      <c r="M34" s="80">
        <f>Table410016115911211512019114[[#This Row],[2010]]-Table410016115911211512019114[[#This Row],[2006]]</f>
        <v>3</v>
      </c>
      <c r="N34" s="97">
        <f>SUM(N31:N33)</f>
        <v>4</v>
      </c>
      <c r="O34" s="80">
        <f>Table410016115911211512019114[[#This Row],[2014]]-Table410016115911211512019114[[#This Row],[2010]]</f>
        <v>0</v>
      </c>
      <c r="P34" s="97">
        <f>SUM(P31:P33)</f>
        <v>4</v>
      </c>
      <c r="Q34" s="98">
        <f>SUM(Q31:Q33)</f>
        <v>11</v>
      </c>
      <c r="R34" s="99">
        <v>77</v>
      </c>
      <c r="T34" s="44">
        <f>(F9/T33)*100</f>
        <v>3.5087719298245612</v>
      </c>
      <c r="U34" s="44">
        <f>(F19/U33)*100</f>
        <v>6.6225165562913908</v>
      </c>
      <c r="V34" s="44">
        <f>(F25/V33)*100</f>
        <v>0</v>
      </c>
      <c r="W34" s="44">
        <f>(F30/W33)*100</f>
        <v>1.6759776536312849</v>
      </c>
      <c r="X34" s="44">
        <f>(F34/X33)*100</f>
        <v>0</v>
      </c>
    </row>
    <row r="35" spans="1:24" ht="19">
      <c r="A35" s="100" t="s">
        <v>420</v>
      </c>
      <c r="B35" s="101">
        <f>SUM(B9,B19,B25,B30,B34)</f>
        <v>1</v>
      </c>
      <c r="C35" s="101">
        <f>Table410016115911211512019114[[#This Row],[1990]]-Table410016115911211512019114[[#This Row],[1986]]</f>
        <v>10</v>
      </c>
      <c r="D35" s="101">
        <f>SUM(D9,D19,D25,D30,D34)</f>
        <v>11</v>
      </c>
      <c r="E35" s="80">
        <f>Table410016115911211512019114[[#This Row],[1994]]-Table410016115911211512019114[[#This Row],[1990]]</f>
        <v>4</v>
      </c>
      <c r="F35" s="101">
        <f>SUM(F9,F19,F25,F30,F34)</f>
        <v>15</v>
      </c>
      <c r="G35" s="80">
        <f>Table410016115911211512019114[[#This Row],[1998]]-Table410016115911211512019114[[#This Row],[1994]]</f>
        <v>3</v>
      </c>
      <c r="H35" s="101">
        <f>SUM(H9,H19,H25,H30,H34)</f>
        <v>18</v>
      </c>
      <c r="I35" s="80">
        <f>Table410016115911211512019114[[#This Row],[2002]]-Table410016115911211512019114[[#This Row],[1998]]</f>
        <v>5</v>
      </c>
      <c r="J35" s="101">
        <f>SUM(J9,J19,J25,J30,J34)</f>
        <v>23</v>
      </c>
      <c r="K35" s="80">
        <f>Table410016115911211512019114[[#This Row],[2006]]-Table410016115911211512019114[[#This Row],[2002]]</f>
        <v>5</v>
      </c>
      <c r="L35" s="101">
        <f>SUM(L9,L19,L25,L30,L34)</f>
        <v>28</v>
      </c>
      <c r="M35" s="80">
        <f>Table410016115911211512019114[[#This Row],[2010]]-Table410016115911211512019114[[#This Row],[2006]]</f>
        <v>6</v>
      </c>
      <c r="N35" s="101">
        <f>SUM(N9,N19,N25,N30,N34)</f>
        <v>34</v>
      </c>
      <c r="O35" s="80">
        <f>Table410016115911211512019114[[#This Row],[2014]]-Table410016115911211512019114[[#This Row],[2010]]</f>
        <v>1</v>
      </c>
      <c r="P35" s="101">
        <f>SUM(P9,P19,P25,P30,P34)</f>
        <v>35</v>
      </c>
      <c r="Q35" s="102">
        <f>SUM(Q9,Q19,Q25,Q30,Q34)</f>
        <v>165</v>
      </c>
      <c r="R35" s="75">
        <v>513</v>
      </c>
    </row>
    <row r="36" spans="1:24">
      <c r="T36" s="178" t="s">
        <v>422</v>
      </c>
      <c r="U36" s="178"/>
      <c r="V36" s="178"/>
      <c r="W36" s="178"/>
      <c r="X36" s="178"/>
    </row>
    <row r="37" spans="1:24">
      <c r="T37" s="65" t="s">
        <v>410</v>
      </c>
      <c r="U37" s="66" t="s">
        <v>411</v>
      </c>
      <c r="V37" s="67" t="s">
        <v>412</v>
      </c>
      <c r="W37" s="68" t="s">
        <v>413</v>
      </c>
      <c r="X37" s="69" t="s">
        <v>414</v>
      </c>
    </row>
    <row r="38" spans="1:24">
      <c r="T38" s="9">
        <f>R9</f>
        <v>57</v>
      </c>
      <c r="U38" s="9">
        <f>R19</f>
        <v>151</v>
      </c>
      <c r="V38" s="9">
        <f>R25</f>
        <v>49</v>
      </c>
      <c r="W38" s="17">
        <f>(R30-10)</f>
        <v>169</v>
      </c>
      <c r="X38" s="9">
        <f>R34</f>
        <v>77</v>
      </c>
    </row>
    <row r="39" spans="1:24">
      <c r="T39" s="44">
        <f>(D9/T38)*100</f>
        <v>0</v>
      </c>
      <c r="U39" s="44">
        <f>(D19/U38)*100</f>
        <v>5.9602649006622519</v>
      </c>
      <c r="V39" s="44">
        <f>(D25/V38)*100</f>
        <v>0</v>
      </c>
      <c r="W39" s="44">
        <f>(D30/W38)*100</f>
        <v>1.1834319526627219</v>
      </c>
      <c r="X39" s="44">
        <f>(D34/X38)*100</f>
        <v>0</v>
      </c>
    </row>
    <row r="41" spans="1:24">
      <c r="T41" s="178" t="s">
        <v>428</v>
      </c>
      <c r="U41" s="178"/>
      <c r="V41" s="178"/>
      <c r="W41" s="178"/>
      <c r="X41" s="178"/>
    </row>
    <row r="42" spans="1:24">
      <c r="T42" s="65" t="s">
        <v>410</v>
      </c>
      <c r="U42" s="66" t="s">
        <v>411</v>
      </c>
      <c r="V42" s="67" t="s">
        <v>412</v>
      </c>
      <c r="W42" s="68" t="s">
        <v>413</v>
      </c>
      <c r="X42" s="69" t="s">
        <v>414</v>
      </c>
    </row>
    <row r="43" spans="1:24">
      <c r="T43" s="9">
        <f>R9</f>
        <v>57</v>
      </c>
      <c r="U43" s="9">
        <f>R19</f>
        <v>151</v>
      </c>
      <c r="V43" s="9">
        <f>R25</f>
        <v>49</v>
      </c>
      <c r="W43" s="17">
        <f>(R30-19)</f>
        <v>160</v>
      </c>
      <c r="X43" s="9">
        <f>R34</f>
        <v>77</v>
      </c>
    </row>
    <row r="44" spans="1:24">
      <c r="T44" s="44">
        <f>(B9/T43)*100</f>
        <v>1.7543859649122806</v>
      </c>
      <c r="U44" s="44">
        <f>(B19/U43)*100</f>
        <v>0</v>
      </c>
      <c r="V44" s="44">
        <f>(B25/V43)*100</f>
        <v>0</v>
      </c>
      <c r="W44" s="44">
        <f>(B30/W43)*100</f>
        <v>0</v>
      </c>
      <c r="X44" s="44">
        <f>(B34/X43)*100</f>
        <v>0</v>
      </c>
    </row>
  </sheetData>
  <mergeCells count="10">
    <mergeCell ref="T26:X26"/>
    <mergeCell ref="T31:X31"/>
    <mergeCell ref="T36:X36"/>
    <mergeCell ref="T41:X41"/>
    <mergeCell ref="A1:Q1"/>
    <mergeCell ref="T1:X1"/>
    <mergeCell ref="T6:X6"/>
    <mergeCell ref="T11:X11"/>
    <mergeCell ref="T16:X16"/>
    <mergeCell ref="T21:X21"/>
  </mergeCells>
  <conditionalFormatting sqref="C4:C35">
    <cfRule type="cellIs" dxfId="203" priority="11" operator="greaterThan">
      <formula>0</formula>
    </cfRule>
  </conditionalFormatting>
  <conditionalFormatting sqref="C3">
    <cfRule type="cellIs" dxfId="202" priority="8" operator="greaterThan">
      <formula>0</formula>
    </cfRule>
  </conditionalFormatting>
  <conditionalFormatting sqref="E3">
    <cfRule type="cellIs" dxfId="201" priority="5" operator="greaterThan">
      <formula>0</formula>
    </cfRule>
  </conditionalFormatting>
  <conditionalFormatting sqref="C4:C35 E4:E35 G3:G35 I3:I35 K3:K35 M3:M35">
    <cfRule type="cellIs" dxfId="200" priority="10" operator="greaterThan">
      <formula>0</formula>
    </cfRule>
  </conditionalFormatting>
  <conditionalFormatting sqref="C4:C35 E4:E35 G3:G35 I3:I35 K3:K35 M3:M35">
    <cfRule type="cellIs" dxfId="199" priority="9" operator="lessThan">
      <formula>0</formula>
    </cfRule>
  </conditionalFormatting>
  <conditionalFormatting sqref="C3">
    <cfRule type="cellIs" dxfId="198" priority="7" operator="greaterThan">
      <formula>0</formula>
    </cfRule>
  </conditionalFormatting>
  <conditionalFormatting sqref="C3">
    <cfRule type="cellIs" dxfId="197" priority="6" operator="lessThan">
      <formula>0</formula>
    </cfRule>
  </conditionalFormatting>
  <conditionalFormatting sqref="E3">
    <cfRule type="cellIs" dxfId="196" priority="4" operator="greaterThan">
      <formula>0</formula>
    </cfRule>
  </conditionalFormatting>
  <conditionalFormatting sqref="E3">
    <cfRule type="cellIs" dxfId="195" priority="3" operator="lessThan">
      <formula>0</formula>
    </cfRule>
  </conditionalFormatting>
  <conditionalFormatting sqref="O3:O35">
    <cfRule type="cellIs" dxfId="194" priority="1" operator="lessThan">
      <formula>0</formula>
    </cfRule>
    <cfRule type="cellIs" dxfId="193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44"/>
  <sheetViews>
    <sheetView topLeftCell="J19" workbookViewId="0">
      <selection activeCell="W43" sqref="W43"/>
    </sheetView>
  </sheetViews>
  <sheetFormatPr baseColWidth="10" defaultRowHeight="16"/>
  <cols>
    <col min="1" max="1" width="18.6640625" customWidth="1"/>
    <col min="17" max="17" width="18.6640625" customWidth="1"/>
    <col min="18" max="18" width="20.6640625" customWidth="1"/>
  </cols>
  <sheetData>
    <row r="1" spans="1:24" ht="19">
      <c r="A1" s="179" t="s">
        <v>18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T1" s="178" t="s">
        <v>391</v>
      </c>
      <c r="U1" s="178"/>
      <c r="V1" s="178"/>
      <c r="W1" s="178"/>
      <c r="X1" s="178"/>
    </row>
    <row r="2" spans="1:24" ht="19">
      <c r="A2" s="63" t="s">
        <v>392</v>
      </c>
      <c r="B2" s="63" t="s">
        <v>393</v>
      </c>
      <c r="C2" s="63" t="s">
        <v>394</v>
      </c>
      <c r="D2" s="63" t="s">
        <v>395</v>
      </c>
      <c r="E2" s="63" t="s">
        <v>396</v>
      </c>
      <c r="F2" s="63" t="s">
        <v>397</v>
      </c>
      <c r="G2" s="63" t="s">
        <v>398</v>
      </c>
      <c r="H2" s="63" t="s">
        <v>399</v>
      </c>
      <c r="I2" s="63" t="s">
        <v>400</v>
      </c>
      <c r="J2" s="63" t="s">
        <v>401</v>
      </c>
      <c r="K2" s="63" t="s">
        <v>402</v>
      </c>
      <c r="L2" s="63" t="s">
        <v>403</v>
      </c>
      <c r="M2" s="63" t="s">
        <v>404</v>
      </c>
      <c r="N2" s="63" t="s">
        <v>405</v>
      </c>
      <c r="O2" s="63" t="s">
        <v>406</v>
      </c>
      <c r="P2" s="63" t="s">
        <v>407</v>
      </c>
      <c r="Q2" s="64" t="s">
        <v>408</v>
      </c>
      <c r="R2" s="64" t="s">
        <v>427</v>
      </c>
      <c r="T2" s="65" t="s">
        <v>410</v>
      </c>
      <c r="U2" s="66" t="s">
        <v>411</v>
      </c>
      <c r="V2" s="67" t="s">
        <v>412</v>
      </c>
      <c r="W2" s="68" t="s">
        <v>413</v>
      </c>
      <c r="X2" s="69" t="s">
        <v>414</v>
      </c>
    </row>
    <row r="3" spans="1:24" ht="19">
      <c r="A3" s="70" t="s">
        <v>110</v>
      </c>
      <c r="B3" s="71"/>
      <c r="C3" s="72">
        <f>Table41001611591121151201929303233180123[[#This Row],[1990]]-Table41001611591121151201929303233180123[[#This Row],[1986]]</f>
        <v>1</v>
      </c>
      <c r="D3" s="71">
        <v>1</v>
      </c>
      <c r="E3" s="72">
        <f>Table41001611591121151201929303233180123[[#This Row],[1994]]-Table41001611591121151201929303233180123[[#This Row],[1990]]</f>
        <v>-1</v>
      </c>
      <c r="F3" s="71"/>
      <c r="G3" s="72">
        <f>Table41001611591121151201929303233180123[[#This Row],[1998]]-Table41001611591121151201929303233180123[[#This Row],[1994]]</f>
        <v>0</v>
      </c>
      <c r="H3" s="71"/>
      <c r="I3" s="72">
        <f>Table41001611591121151201929303233180123[[#This Row],[2002]]-Table41001611591121151201929303233180123[[#This Row],[1998]]</f>
        <v>0</v>
      </c>
      <c r="J3" s="71"/>
      <c r="K3" s="72">
        <f>Table41001611591121151201929303233180123[[#This Row],[2006]]-Table41001611591121151201929303233180123[[#This Row],[2002]]</f>
        <v>0</v>
      </c>
      <c r="L3" s="71"/>
      <c r="M3" s="72">
        <f>Table41001611591121151201929303233180123[[#This Row],[2010]]-Table41001611591121151201929303233180123[[#This Row],[2006]]</f>
        <v>1</v>
      </c>
      <c r="N3" s="71">
        <v>1</v>
      </c>
      <c r="O3" s="72">
        <f>Table41001611591121151201929303233180123[[#This Row],[2014]]-Table41001611591121151201929303233180123[[#This Row],[2010]]</f>
        <v>-1</v>
      </c>
      <c r="P3" s="71"/>
      <c r="Q3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2</v>
      </c>
      <c r="R3" s="74">
        <v>8</v>
      </c>
      <c r="T3" s="9">
        <f>R9*8</f>
        <v>456</v>
      </c>
      <c r="U3" s="9">
        <f>R19*8</f>
        <v>1208</v>
      </c>
      <c r="V3" s="9">
        <f>R25*8</f>
        <v>392</v>
      </c>
      <c r="W3" s="9">
        <f>R30*8</f>
        <v>1432</v>
      </c>
      <c r="X3" s="9">
        <f>R34*8</f>
        <v>616</v>
      </c>
    </row>
    <row r="4" spans="1:24" ht="19">
      <c r="A4" s="70" t="s">
        <v>106</v>
      </c>
      <c r="B4" s="71"/>
      <c r="C4" s="72">
        <f>Table41001611591121151201929303233180123[[#This Row],[1990]]-Table41001611591121151201929303233180123[[#This Row],[1986]]</f>
        <v>0</v>
      </c>
      <c r="D4" s="71"/>
      <c r="E4" s="72">
        <f>Table41001611591121151201929303233180123[[#This Row],[1994]]-Table41001611591121151201929303233180123[[#This Row],[1990]]</f>
        <v>0</v>
      </c>
      <c r="F4" s="71"/>
      <c r="G4" s="72">
        <f>Table41001611591121151201929303233180123[[#This Row],[1998]]-Table41001611591121151201929303233180123[[#This Row],[1994]]</f>
        <v>0</v>
      </c>
      <c r="H4" s="71"/>
      <c r="I4" s="72">
        <f>Table41001611591121151201929303233180123[[#This Row],[2002]]-Table41001611591121151201929303233180123[[#This Row],[1998]]</f>
        <v>0</v>
      </c>
      <c r="J4" s="71"/>
      <c r="K4" s="72">
        <f>Table41001611591121151201929303233180123[[#This Row],[2006]]-Table41001611591121151201929303233180123[[#This Row],[2002]]</f>
        <v>0</v>
      </c>
      <c r="L4" s="71"/>
      <c r="M4" s="72">
        <f>Table41001611591121151201929303233180123[[#This Row],[2010]]-Table41001611591121151201929303233180123[[#This Row],[2006]]</f>
        <v>1</v>
      </c>
      <c r="N4" s="71">
        <v>1</v>
      </c>
      <c r="O4" s="72">
        <f>Table41001611591121151201929303233180123[[#This Row],[2014]]-Table41001611591121151201929303233180123[[#This Row],[2010]]</f>
        <v>-1</v>
      </c>
      <c r="P4" s="71"/>
      <c r="Q4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1</v>
      </c>
      <c r="R4" s="75">
        <v>8</v>
      </c>
      <c r="T4" s="44">
        <f>(Q9/T3)*100</f>
        <v>1.5350877192982455</v>
      </c>
      <c r="U4" s="44">
        <f>(Q19/U3)*100</f>
        <v>1.4072847682119205</v>
      </c>
      <c r="V4" s="44">
        <f>(Q25/V3)*100</f>
        <v>0.51020408163265307</v>
      </c>
      <c r="W4" s="44">
        <f>(Q30/W3)*100</f>
        <v>1.1173184357541899</v>
      </c>
      <c r="X4" s="76">
        <f>(Q34/X3)*100</f>
        <v>1.1363636363636365</v>
      </c>
    </row>
    <row r="5" spans="1:24" ht="19">
      <c r="A5" s="70" t="s">
        <v>104</v>
      </c>
      <c r="B5" s="71"/>
      <c r="C5" s="72">
        <f>Table41001611591121151201929303233180123[[#This Row],[1990]]-Table41001611591121151201929303233180123[[#This Row],[1986]]</f>
        <v>0</v>
      </c>
      <c r="D5" s="71"/>
      <c r="E5" s="72">
        <f>Table41001611591121151201929303233180123[[#This Row],[1994]]-Table41001611591121151201929303233180123[[#This Row],[1990]]</f>
        <v>0</v>
      </c>
      <c r="F5" s="71"/>
      <c r="G5" s="72">
        <f>Table41001611591121151201929303233180123[[#This Row],[1998]]-Table41001611591121151201929303233180123[[#This Row],[1994]]</f>
        <v>0</v>
      </c>
      <c r="H5" s="71"/>
      <c r="I5" s="72">
        <f>Table41001611591121151201929303233180123[[#This Row],[2002]]-Table41001611591121151201929303233180123[[#This Row],[1998]]</f>
        <v>0</v>
      </c>
      <c r="J5" s="71"/>
      <c r="K5" s="72">
        <f>Table41001611591121151201929303233180123[[#This Row],[2006]]-Table41001611591121151201929303233180123[[#This Row],[2002]]</f>
        <v>0</v>
      </c>
      <c r="L5" s="71"/>
      <c r="M5" s="72">
        <f>Table41001611591121151201929303233180123[[#This Row],[2010]]-Table41001611591121151201929303233180123[[#This Row],[2006]]</f>
        <v>0</v>
      </c>
      <c r="N5" s="71"/>
      <c r="O5" s="72">
        <f>Table41001611591121151201929303233180123[[#This Row],[2014]]-Table41001611591121151201929303233180123[[#This Row],[2010]]</f>
        <v>0</v>
      </c>
      <c r="P5" s="71"/>
      <c r="Q5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0</v>
      </c>
      <c r="R5" s="75">
        <v>8</v>
      </c>
    </row>
    <row r="6" spans="1:24" ht="19">
      <c r="A6" s="70" t="s">
        <v>73</v>
      </c>
      <c r="B6" s="71"/>
      <c r="C6" s="72">
        <f>Table41001611591121151201929303233180123[[#This Row],[1990]]-Table41001611591121151201929303233180123[[#This Row],[1986]]</f>
        <v>0</v>
      </c>
      <c r="D6" s="71"/>
      <c r="E6" s="72">
        <f>Table41001611591121151201929303233180123[[#This Row],[1994]]-Table41001611591121151201929303233180123[[#This Row],[1990]]</f>
        <v>0</v>
      </c>
      <c r="F6" s="71"/>
      <c r="G6" s="72">
        <f>Table41001611591121151201929303233180123[[#This Row],[1998]]-Table41001611591121151201929303233180123[[#This Row],[1994]]</f>
        <v>0</v>
      </c>
      <c r="H6" s="71"/>
      <c r="I6" s="72">
        <f>Table41001611591121151201929303233180123[[#This Row],[2002]]-Table41001611591121151201929303233180123[[#This Row],[1998]]</f>
        <v>0</v>
      </c>
      <c r="J6" s="71"/>
      <c r="K6" s="72">
        <f>Table41001611591121151201929303233180123[[#This Row],[2006]]-Table41001611591121151201929303233180123[[#This Row],[2002]]</f>
        <v>0</v>
      </c>
      <c r="L6" s="71"/>
      <c r="M6" s="72">
        <f>Table41001611591121151201929303233180123[[#This Row],[2010]]-Table41001611591121151201929303233180123[[#This Row],[2006]]</f>
        <v>1</v>
      </c>
      <c r="N6" s="71">
        <v>1</v>
      </c>
      <c r="O6" s="72">
        <f>Table41001611591121151201929303233180123[[#This Row],[2014]]-Table41001611591121151201929303233180123[[#This Row],[2010]]</f>
        <v>0</v>
      </c>
      <c r="P6" s="71">
        <v>1</v>
      </c>
      <c r="Q6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2</v>
      </c>
      <c r="R6" s="75">
        <v>17</v>
      </c>
      <c r="T6" s="178" t="s">
        <v>415</v>
      </c>
      <c r="U6" s="178"/>
      <c r="V6" s="178"/>
      <c r="W6" s="178"/>
      <c r="X6" s="178"/>
    </row>
    <row r="7" spans="1:24" ht="19">
      <c r="A7" s="70" t="s">
        <v>67</v>
      </c>
      <c r="B7" s="77"/>
      <c r="C7" s="72">
        <f>Table41001611591121151201929303233180123[[#This Row],[1990]]-Table41001611591121151201929303233180123[[#This Row],[1986]]</f>
        <v>0</v>
      </c>
      <c r="D7" s="77"/>
      <c r="E7" s="72">
        <f>Table41001611591121151201929303233180123[[#This Row],[1994]]-Table41001611591121151201929303233180123[[#This Row],[1990]]</f>
        <v>0</v>
      </c>
      <c r="F7" s="77"/>
      <c r="G7" s="72">
        <f>Table41001611591121151201929303233180123[[#This Row],[1998]]-Table41001611591121151201929303233180123[[#This Row],[1994]]</f>
        <v>0</v>
      </c>
      <c r="H7" s="77"/>
      <c r="I7" s="72">
        <f>Table41001611591121151201929303233180123[[#This Row],[2002]]-Table41001611591121151201929303233180123[[#This Row],[1998]]</f>
        <v>0</v>
      </c>
      <c r="J7" s="77"/>
      <c r="K7" s="72">
        <f>Table41001611591121151201929303233180123[[#This Row],[2006]]-Table41001611591121151201929303233180123[[#This Row],[2002]]</f>
        <v>0</v>
      </c>
      <c r="L7" s="77"/>
      <c r="M7" s="72">
        <f>Table41001611591121151201929303233180123[[#This Row],[2010]]-Table41001611591121151201929303233180123[[#This Row],[2006]]</f>
        <v>0</v>
      </c>
      <c r="N7" s="77"/>
      <c r="O7" s="72">
        <f>Table41001611591121151201929303233180123[[#This Row],[2014]]-Table41001611591121151201929303233180123[[#This Row],[2010]]</f>
        <v>0</v>
      </c>
      <c r="P7" s="77"/>
      <c r="Q7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0</v>
      </c>
      <c r="R7" s="75">
        <v>8</v>
      </c>
      <c r="T7" s="65" t="s">
        <v>410</v>
      </c>
      <c r="U7" s="66" t="s">
        <v>411</v>
      </c>
      <c r="V7" s="67" t="s">
        <v>412</v>
      </c>
      <c r="W7" s="68" t="s">
        <v>413</v>
      </c>
      <c r="X7" s="69" t="s">
        <v>414</v>
      </c>
    </row>
    <row r="8" spans="1:24" ht="19">
      <c r="A8" s="70" t="s">
        <v>65</v>
      </c>
      <c r="B8" s="71"/>
      <c r="C8" s="72">
        <f>Table41001611591121151201929303233180123[[#This Row],[1990]]-Table41001611591121151201929303233180123[[#This Row],[1986]]</f>
        <v>0</v>
      </c>
      <c r="D8" s="71"/>
      <c r="E8" s="72">
        <f>Table41001611591121151201929303233180123[[#This Row],[1994]]-Table41001611591121151201929303233180123[[#This Row],[1990]]</f>
        <v>1</v>
      </c>
      <c r="F8" s="71">
        <v>1</v>
      </c>
      <c r="G8" s="72">
        <f>Table41001611591121151201929303233180123[[#This Row],[1998]]-Table41001611591121151201929303233180123[[#This Row],[1994]]</f>
        <v>-1</v>
      </c>
      <c r="H8" s="71"/>
      <c r="I8" s="72">
        <f>Table41001611591121151201929303233180123[[#This Row],[2002]]-Table41001611591121151201929303233180123[[#This Row],[1998]]</f>
        <v>0</v>
      </c>
      <c r="J8" s="71"/>
      <c r="K8" s="72">
        <f>Table41001611591121151201929303233180123[[#This Row],[2006]]-Table41001611591121151201929303233180123[[#This Row],[2002]]</f>
        <v>1</v>
      </c>
      <c r="L8" s="71">
        <v>1</v>
      </c>
      <c r="M8" s="72">
        <f>Table41001611591121151201929303233180123[[#This Row],[2010]]-Table41001611591121151201929303233180123[[#This Row],[2006]]</f>
        <v>-1</v>
      </c>
      <c r="N8" s="71"/>
      <c r="O8" s="72">
        <f>Table41001611591121151201929303233180123[[#This Row],[2014]]-Table41001611591121151201929303233180123[[#This Row],[2010]]</f>
        <v>0</v>
      </c>
      <c r="P8" s="71"/>
      <c r="Q8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2</v>
      </c>
      <c r="R8" s="75">
        <v>8</v>
      </c>
      <c r="T8" s="9">
        <f>R9</f>
        <v>57</v>
      </c>
      <c r="U8" s="9">
        <f>R19</f>
        <v>151</v>
      </c>
      <c r="V8" s="9">
        <f>R25</f>
        <v>49</v>
      </c>
      <c r="W8" s="9">
        <f>R30</f>
        <v>179</v>
      </c>
      <c r="X8" s="9">
        <f>R34</f>
        <v>77</v>
      </c>
    </row>
    <row r="9" spans="1:24" ht="19">
      <c r="A9" s="78" t="s">
        <v>410</v>
      </c>
      <c r="B9" s="79">
        <f>SUM(B3:B8)</f>
        <v>0</v>
      </c>
      <c r="C9" s="79">
        <f>Table41001611591121151201929303233180123[[#This Row],[1990]]-Table41001611591121151201929303233180123[[#This Row],[1986]]</f>
        <v>1</v>
      </c>
      <c r="D9" s="79">
        <f>SUM(D3:D8)</f>
        <v>1</v>
      </c>
      <c r="E9" s="80">
        <f>Table41001611591121151201929303233180123[[#This Row],[1994]]-Table41001611591121151201929303233180123[[#This Row],[1990]]</f>
        <v>0</v>
      </c>
      <c r="F9" s="79">
        <f>SUM(F3:F8)</f>
        <v>1</v>
      </c>
      <c r="G9" s="80">
        <f>Table41001611591121151201929303233180123[[#This Row],[1998]]-Table41001611591121151201929303233180123[[#This Row],[1994]]</f>
        <v>-1</v>
      </c>
      <c r="H9" s="79">
        <f>SUM(H3:H8)</f>
        <v>0</v>
      </c>
      <c r="I9" s="80">
        <f>Table41001611591121151201929303233180123[[#This Row],[2002]]-Table41001611591121151201929303233180123[[#This Row],[1998]]</f>
        <v>0</v>
      </c>
      <c r="J9" s="79">
        <f>SUM(J3:J8)</f>
        <v>0</v>
      </c>
      <c r="K9" s="80">
        <f>Table41001611591121151201929303233180123[[#This Row],[2006]]-Table41001611591121151201929303233180123[[#This Row],[2002]]</f>
        <v>1</v>
      </c>
      <c r="L9" s="79">
        <f>SUM(L3:L8)</f>
        <v>1</v>
      </c>
      <c r="M9" s="80">
        <f>Table41001611591121151201929303233180123[[#This Row],[2010]]-Table41001611591121151201929303233180123[[#This Row],[2006]]</f>
        <v>2</v>
      </c>
      <c r="N9" s="79">
        <f>SUM(N3:N8)</f>
        <v>3</v>
      </c>
      <c r="O9" s="80">
        <f>Table41001611591121151201929303233180123[[#This Row],[2014]]-Table41001611591121151201929303233180123[[#This Row],[2010]]</f>
        <v>-2</v>
      </c>
      <c r="P9" s="79">
        <f>SUM(P3:P8)</f>
        <v>1</v>
      </c>
      <c r="Q9" s="81">
        <f>SUM(Q3:Q8)</f>
        <v>7</v>
      </c>
      <c r="R9" s="82">
        <v>57</v>
      </c>
      <c r="T9" s="44">
        <f>(Table41001611591121151201929303233180123[[#This Row],[2014]]/T8)*100</f>
        <v>1.7543859649122806</v>
      </c>
      <c r="U9" s="44">
        <f>(P19/U8)*100</f>
        <v>2.6490066225165565</v>
      </c>
      <c r="V9" s="44">
        <f>(P25/V8)*100</f>
        <v>2.0408163265306123</v>
      </c>
      <c r="W9" s="44">
        <f>(P30/W8)*100</f>
        <v>2.2346368715083798</v>
      </c>
      <c r="X9" s="44">
        <f>(P34/X8)*100</f>
        <v>2.5974025974025974</v>
      </c>
    </row>
    <row r="10" spans="1:24" ht="19">
      <c r="A10" s="70" t="s">
        <v>108</v>
      </c>
      <c r="B10" s="71"/>
      <c r="C10" s="72">
        <f>Table41001611591121151201929303233180123[[#This Row],[1990]]-Table41001611591121151201929303233180123[[#This Row],[1986]]</f>
        <v>3</v>
      </c>
      <c r="D10" s="71">
        <v>3</v>
      </c>
      <c r="E10" s="72">
        <f>Table41001611591121151201929303233180123[[#This Row],[1994]]-Table41001611591121151201929303233180123[[#This Row],[1990]]</f>
        <v>-2</v>
      </c>
      <c r="F10" s="71">
        <v>1</v>
      </c>
      <c r="G10" s="72">
        <f>Table41001611591121151201929303233180123[[#This Row],[1998]]-Table41001611591121151201929303233180123[[#This Row],[1994]]</f>
        <v>-1</v>
      </c>
      <c r="H10" s="71"/>
      <c r="I10" s="72">
        <f>Table41001611591121151201929303233180123[[#This Row],[2002]]-Table41001611591121151201929303233180123[[#This Row],[1998]]</f>
        <v>0</v>
      </c>
      <c r="J10" s="71"/>
      <c r="K10" s="72">
        <f>Table41001611591121151201929303233180123[[#This Row],[2006]]-Table41001611591121151201929303233180123[[#This Row],[2002]]</f>
        <v>0</v>
      </c>
      <c r="L10" s="71"/>
      <c r="M10" s="72">
        <f>Table41001611591121151201929303233180123[[#This Row],[2010]]-Table41001611591121151201929303233180123[[#This Row],[2006]]</f>
        <v>0</v>
      </c>
      <c r="N10" s="71"/>
      <c r="O10" s="72">
        <f>Table41001611591121151201929303233180123[[#This Row],[2014]]-Table41001611591121151201929303233180123[[#This Row],[2010]]</f>
        <v>0</v>
      </c>
      <c r="P10" s="71"/>
      <c r="Q10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4</v>
      </c>
      <c r="R10" s="75">
        <v>9</v>
      </c>
    </row>
    <row r="11" spans="1:24" ht="19">
      <c r="A11" s="70" t="s">
        <v>101</v>
      </c>
      <c r="B11" s="71"/>
      <c r="C11" s="72">
        <f>Table41001611591121151201929303233180123[[#This Row],[1990]]-Table41001611591121151201929303233180123[[#This Row],[1986]]</f>
        <v>0</v>
      </c>
      <c r="D11" s="71"/>
      <c r="E11" s="72">
        <f>Table41001611591121151201929303233180123[[#This Row],[1994]]-Table41001611591121151201929303233180123[[#This Row],[1990]]</f>
        <v>0</v>
      </c>
      <c r="F11" s="71"/>
      <c r="G11" s="72">
        <f>Table41001611591121151201929303233180123[[#This Row],[1998]]-Table41001611591121151201929303233180123[[#This Row],[1994]]</f>
        <v>0</v>
      </c>
      <c r="H11" s="71"/>
      <c r="I11" s="72">
        <f>Table41001611591121151201929303233180123[[#This Row],[2002]]-Table41001611591121151201929303233180123[[#This Row],[1998]]</f>
        <v>0</v>
      </c>
      <c r="J11" s="71"/>
      <c r="K11" s="72">
        <f>Table41001611591121151201929303233180123[[#This Row],[2006]]-Table41001611591121151201929303233180123[[#This Row],[2002]]</f>
        <v>0</v>
      </c>
      <c r="L11" s="71"/>
      <c r="M11" s="72">
        <f>Table41001611591121151201929303233180123[[#This Row],[2010]]-Table41001611591121151201929303233180123[[#This Row],[2006]]</f>
        <v>2</v>
      </c>
      <c r="N11" s="71">
        <v>2</v>
      </c>
      <c r="O11" s="72">
        <f>Table41001611591121151201929303233180123[[#This Row],[2014]]-Table41001611591121151201929303233180123[[#This Row],[2010]]</f>
        <v>-1</v>
      </c>
      <c r="P11" s="71">
        <v>1</v>
      </c>
      <c r="Q11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3</v>
      </c>
      <c r="R11" s="75">
        <v>39</v>
      </c>
      <c r="T11" s="178" t="s">
        <v>416</v>
      </c>
      <c r="U11" s="178"/>
      <c r="V11" s="178"/>
      <c r="W11" s="178"/>
      <c r="X11" s="178"/>
    </row>
    <row r="12" spans="1:24" ht="19">
      <c r="A12" s="70" t="s">
        <v>99</v>
      </c>
      <c r="B12" s="71"/>
      <c r="C12" s="72">
        <f>Table41001611591121151201929303233180123[[#This Row],[1990]]-Table41001611591121151201929303233180123[[#This Row],[1986]]</f>
        <v>0</v>
      </c>
      <c r="D12" s="71"/>
      <c r="E12" s="72">
        <f>Table41001611591121151201929303233180123[[#This Row],[1994]]-Table41001611591121151201929303233180123[[#This Row],[1990]]</f>
        <v>0</v>
      </c>
      <c r="F12" s="71"/>
      <c r="G12" s="72">
        <f>Table41001611591121151201929303233180123[[#This Row],[1998]]-Table41001611591121151201929303233180123[[#This Row],[1994]]</f>
        <v>0</v>
      </c>
      <c r="H12" s="71"/>
      <c r="I12" s="72">
        <f>Table41001611591121151201929303233180123[[#This Row],[2002]]-Table41001611591121151201929303233180123[[#This Row],[1998]]</f>
        <v>0</v>
      </c>
      <c r="J12" s="71"/>
      <c r="K12" s="72">
        <f>Table41001611591121151201929303233180123[[#This Row],[2006]]-Table41001611591121151201929303233180123[[#This Row],[2002]]</f>
        <v>0</v>
      </c>
      <c r="L12" s="71"/>
      <c r="M12" s="72">
        <f>Table41001611591121151201929303233180123[[#This Row],[2010]]-Table41001611591121151201929303233180123[[#This Row],[2006]]</f>
        <v>0</v>
      </c>
      <c r="N12" s="71"/>
      <c r="O12" s="72">
        <f>Table41001611591121151201929303233180123[[#This Row],[2014]]-Table41001611591121151201929303233180123[[#This Row],[2010]]</f>
        <v>1</v>
      </c>
      <c r="P12" s="71">
        <v>1</v>
      </c>
      <c r="Q12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1</v>
      </c>
      <c r="R12" s="75">
        <v>22</v>
      </c>
      <c r="T12" s="65" t="s">
        <v>410</v>
      </c>
      <c r="U12" s="66" t="s">
        <v>411</v>
      </c>
      <c r="V12" s="67" t="s">
        <v>412</v>
      </c>
      <c r="W12" s="68" t="s">
        <v>413</v>
      </c>
      <c r="X12" s="69" t="s">
        <v>414</v>
      </c>
    </row>
    <row r="13" spans="1:24" ht="19">
      <c r="A13" s="70" t="s">
        <v>90</v>
      </c>
      <c r="B13" s="71"/>
      <c r="C13" s="72">
        <f>Table41001611591121151201929303233180123[[#This Row],[1990]]-Table41001611591121151201929303233180123[[#This Row],[1986]]</f>
        <v>1</v>
      </c>
      <c r="D13" s="71">
        <v>1</v>
      </c>
      <c r="E13" s="72">
        <f>Table41001611591121151201929303233180123[[#This Row],[1994]]-Table41001611591121151201929303233180123[[#This Row],[1990]]</f>
        <v>0</v>
      </c>
      <c r="F13" s="71">
        <v>1</v>
      </c>
      <c r="G13" s="72">
        <f>Table41001611591121151201929303233180123[[#This Row],[1998]]-Table41001611591121151201929303233180123[[#This Row],[1994]]</f>
        <v>0</v>
      </c>
      <c r="H13" s="71">
        <v>1</v>
      </c>
      <c r="I13" s="72">
        <f>Table41001611591121151201929303233180123[[#This Row],[2002]]-Table41001611591121151201929303233180123[[#This Row],[1998]]</f>
        <v>-1</v>
      </c>
      <c r="J13" s="71"/>
      <c r="K13" s="72">
        <f>Table41001611591121151201929303233180123[[#This Row],[2006]]-Table41001611591121151201929303233180123[[#This Row],[2002]]</f>
        <v>0</v>
      </c>
      <c r="L13" s="71"/>
      <c r="M13" s="72">
        <f>Table41001611591121151201929303233180123[[#This Row],[2010]]-Table41001611591121151201929303233180123[[#This Row],[2006]]</f>
        <v>0</v>
      </c>
      <c r="N13" s="71"/>
      <c r="O13" s="72">
        <f>Table41001611591121151201929303233180123[[#This Row],[2014]]-Table41001611591121151201929303233180123[[#This Row],[2010]]</f>
        <v>0</v>
      </c>
      <c r="P13" s="71"/>
      <c r="Q13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3</v>
      </c>
      <c r="R13" s="75">
        <v>18</v>
      </c>
      <c r="T13" s="9">
        <f>R9</f>
        <v>57</v>
      </c>
      <c r="U13" s="9">
        <f>R19</f>
        <v>151</v>
      </c>
      <c r="V13" s="9">
        <f>R25</f>
        <v>49</v>
      </c>
      <c r="W13" s="9">
        <f>R30</f>
        <v>179</v>
      </c>
      <c r="X13" s="9">
        <f>R34</f>
        <v>77</v>
      </c>
    </row>
    <row r="14" spans="1:24" ht="19">
      <c r="A14" s="70" t="s">
        <v>79</v>
      </c>
      <c r="B14" s="71"/>
      <c r="C14" s="72">
        <f>Table41001611591121151201929303233180123[[#This Row],[1990]]-Table41001611591121151201929303233180123[[#This Row],[1986]]</f>
        <v>0</v>
      </c>
      <c r="D14" s="71"/>
      <c r="E14" s="72">
        <f>Table41001611591121151201929303233180123[[#This Row],[1994]]-Table41001611591121151201929303233180123[[#This Row],[1990]]</f>
        <v>0</v>
      </c>
      <c r="F14" s="71"/>
      <c r="G14" s="72">
        <f>Table41001611591121151201929303233180123[[#This Row],[1998]]-Table41001611591121151201929303233180123[[#This Row],[1994]]</f>
        <v>0</v>
      </c>
      <c r="H14" s="71"/>
      <c r="I14" s="72">
        <f>Table41001611591121151201929303233180123[[#This Row],[2002]]-Table41001611591121151201929303233180123[[#This Row],[1998]]</f>
        <v>0</v>
      </c>
      <c r="J14" s="71"/>
      <c r="K14" s="72">
        <f>Table41001611591121151201929303233180123[[#This Row],[2006]]-Table41001611591121151201929303233180123[[#This Row],[2002]]</f>
        <v>0</v>
      </c>
      <c r="L14" s="71"/>
      <c r="M14" s="72">
        <f>Table41001611591121151201929303233180123[[#This Row],[2010]]-Table41001611591121151201929303233180123[[#This Row],[2006]]</f>
        <v>0</v>
      </c>
      <c r="N14" s="71"/>
      <c r="O14" s="72">
        <f>Table41001611591121151201929303233180123[[#This Row],[2014]]-Table41001611591121151201929303233180123[[#This Row],[2010]]</f>
        <v>0</v>
      </c>
      <c r="P14" s="71"/>
      <c r="Q14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0</v>
      </c>
      <c r="R14" s="75">
        <v>12</v>
      </c>
      <c r="T14" s="44">
        <f>(N9/T13)*100</f>
        <v>5.2631578947368416</v>
      </c>
      <c r="U14" s="44">
        <f>(N19/U13)*100</f>
        <v>2.6490066225165565</v>
      </c>
      <c r="V14" s="44">
        <f>(N25/V13)*100</f>
        <v>0</v>
      </c>
      <c r="W14" s="44">
        <f>(N30/W13)*100</f>
        <v>3.3519553072625698</v>
      </c>
      <c r="X14" s="44">
        <f>(N34/X13)*100</f>
        <v>5.1948051948051948</v>
      </c>
    </row>
    <row r="15" spans="1:24" ht="19">
      <c r="A15" s="70" t="s">
        <v>77</v>
      </c>
      <c r="B15" s="71"/>
      <c r="C15" s="72">
        <f>Table41001611591121151201929303233180123[[#This Row],[1990]]-Table41001611591121151201929303233180123[[#This Row],[1986]]</f>
        <v>0</v>
      </c>
      <c r="D15" s="71"/>
      <c r="E15" s="72">
        <f>Table41001611591121151201929303233180123[[#This Row],[1994]]-Table41001611591121151201929303233180123[[#This Row],[1990]]</f>
        <v>0</v>
      </c>
      <c r="F15" s="71"/>
      <c r="G15" s="72">
        <f>Table41001611591121151201929303233180123[[#This Row],[1998]]-Table41001611591121151201929303233180123[[#This Row],[1994]]</f>
        <v>0</v>
      </c>
      <c r="H15" s="71"/>
      <c r="I15" s="72">
        <f>Table41001611591121151201929303233180123[[#This Row],[2002]]-Table41001611591121151201929303233180123[[#This Row],[1998]]</f>
        <v>0</v>
      </c>
      <c r="J15" s="71"/>
      <c r="K15" s="72">
        <f>Table41001611591121151201929303233180123[[#This Row],[2006]]-Table41001611591121151201929303233180123[[#This Row],[2002]]</f>
        <v>1</v>
      </c>
      <c r="L15" s="71">
        <v>1</v>
      </c>
      <c r="M15" s="72">
        <f>Table41001611591121151201929303233180123[[#This Row],[2010]]-Table41001611591121151201929303233180123[[#This Row],[2006]]</f>
        <v>0</v>
      </c>
      <c r="N15" s="71">
        <v>1</v>
      </c>
      <c r="O15" s="72">
        <f>Table41001611591121151201929303233180123[[#This Row],[2014]]-Table41001611591121151201929303233180123[[#This Row],[2010]]</f>
        <v>0</v>
      </c>
      <c r="P15" s="71">
        <v>1</v>
      </c>
      <c r="Q15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3</v>
      </c>
      <c r="R15" s="75">
        <v>25</v>
      </c>
    </row>
    <row r="16" spans="1:24" ht="19">
      <c r="A16" s="70" t="s">
        <v>75</v>
      </c>
      <c r="B16" s="72"/>
      <c r="C16" s="72">
        <f>Table41001611591121151201929303233180123[[#This Row],[1990]]-Table41001611591121151201929303233180123[[#This Row],[1986]]</f>
        <v>0</v>
      </c>
      <c r="D16" s="72"/>
      <c r="E16" s="72">
        <f>Table41001611591121151201929303233180123[[#This Row],[1994]]-Table41001611591121151201929303233180123[[#This Row],[1990]]</f>
        <v>0</v>
      </c>
      <c r="F16" s="72"/>
      <c r="G16" s="72">
        <f>Table41001611591121151201929303233180123[[#This Row],[1998]]-Table41001611591121151201929303233180123[[#This Row],[1994]]</f>
        <v>0</v>
      </c>
      <c r="H16" s="72"/>
      <c r="I16" s="72">
        <f>Table41001611591121151201929303233180123[[#This Row],[2002]]-Table41001611591121151201929303233180123[[#This Row],[1998]]</f>
        <v>0</v>
      </c>
      <c r="J16" s="72"/>
      <c r="K16" s="72">
        <f>Table41001611591121151201929303233180123[[#This Row],[2006]]-Table41001611591121151201929303233180123[[#This Row],[2002]]</f>
        <v>0</v>
      </c>
      <c r="L16" s="72"/>
      <c r="M16" s="72">
        <f>Table41001611591121151201929303233180123[[#This Row],[2010]]-Table41001611591121151201929303233180123[[#This Row],[2006]]</f>
        <v>0</v>
      </c>
      <c r="N16" s="72"/>
      <c r="O16" s="72">
        <f>Table41001611591121151201929303233180123[[#This Row],[2014]]-Table41001611591121151201929303233180123[[#This Row],[2010]]</f>
        <v>0</v>
      </c>
      <c r="P16" s="72"/>
      <c r="Q16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0</v>
      </c>
      <c r="R16" s="75">
        <v>10</v>
      </c>
      <c r="T16" s="178" t="s">
        <v>417</v>
      </c>
      <c r="U16" s="178"/>
      <c r="V16" s="178"/>
      <c r="W16" s="178"/>
      <c r="X16" s="178"/>
    </row>
    <row r="17" spans="1:24" ht="19">
      <c r="A17" s="70" t="s">
        <v>69</v>
      </c>
      <c r="B17" s="71"/>
      <c r="C17" s="72">
        <f>Table41001611591121151201929303233180123[[#This Row],[1990]]-Table41001611591121151201929303233180123[[#This Row],[1986]]</f>
        <v>0</v>
      </c>
      <c r="D17" s="71"/>
      <c r="E17" s="72">
        <f>Table41001611591121151201929303233180123[[#This Row],[1994]]-Table41001611591121151201929303233180123[[#This Row],[1990]]</f>
        <v>0</v>
      </c>
      <c r="F17" s="71"/>
      <c r="G17" s="72">
        <f>Table41001611591121151201929303233180123[[#This Row],[1998]]-Table41001611591121151201929303233180123[[#This Row],[1994]]</f>
        <v>0</v>
      </c>
      <c r="H17" s="71"/>
      <c r="I17" s="72">
        <f>Table41001611591121151201929303233180123[[#This Row],[2002]]-Table41001611591121151201929303233180123[[#This Row],[1998]]</f>
        <v>0</v>
      </c>
      <c r="J17" s="71"/>
      <c r="K17" s="72">
        <f>Table41001611591121151201929303233180123[[#This Row],[2006]]-Table41001611591121151201929303233180123[[#This Row],[2002]]</f>
        <v>0</v>
      </c>
      <c r="L17" s="71"/>
      <c r="M17" s="72">
        <f>Table41001611591121151201929303233180123[[#This Row],[2010]]-Table41001611591121151201929303233180123[[#This Row],[2006]]</f>
        <v>0</v>
      </c>
      <c r="N17" s="71"/>
      <c r="O17" s="72">
        <f>Table41001611591121151201929303233180123[[#This Row],[2014]]-Table41001611591121151201929303233180123[[#This Row],[2010]]</f>
        <v>0</v>
      </c>
      <c r="P17" s="71"/>
      <c r="Q17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0</v>
      </c>
      <c r="R17" s="75">
        <v>8</v>
      </c>
      <c r="T17" s="65" t="s">
        <v>410</v>
      </c>
      <c r="U17" s="66" t="s">
        <v>411</v>
      </c>
      <c r="V17" s="67" t="s">
        <v>412</v>
      </c>
      <c r="W17" s="68" t="s">
        <v>413</v>
      </c>
      <c r="X17" s="69" t="s">
        <v>414</v>
      </c>
    </row>
    <row r="18" spans="1:24" ht="19">
      <c r="A18" s="70" t="s">
        <v>56</v>
      </c>
      <c r="B18" s="71"/>
      <c r="C18" s="72">
        <f>Table41001611591121151201929303233180123[[#This Row],[1990]]-Table41001611591121151201929303233180123[[#This Row],[1986]]</f>
        <v>0</v>
      </c>
      <c r="D18" s="71"/>
      <c r="E18" s="72">
        <f>Table41001611591121151201929303233180123[[#This Row],[1994]]-Table41001611591121151201929303233180123[[#This Row],[1990]]</f>
        <v>0</v>
      </c>
      <c r="F18" s="71"/>
      <c r="G18" s="72">
        <f>Table41001611591121151201929303233180123[[#This Row],[1998]]-Table41001611591121151201929303233180123[[#This Row],[1994]]</f>
        <v>0</v>
      </c>
      <c r="H18" s="71"/>
      <c r="I18" s="72">
        <f>Table41001611591121151201929303233180123[[#This Row],[2002]]-Table41001611591121151201929303233180123[[#This Row],[1998]]</f>
        <v>0</v>
      </c>
      <c r="J18" s="71"/>
      <c r="K18" s="72">
        <f>Table41001611591121151201929303233180123[[#This Row],[2006]]-Table41001611591121151201929303233180123[[#This Row],[2002]]</f>
        <v>1</v>
      </c>
      <c r="L18" s="71">
        <v>1</v>
      </c>
      <c r="M18" s="72">
        <f>Table41001611591121151201929303233180123[[#This Row],[2010]]-Table41001611591121151201929303233180123[[#This Row],[2006]]</f>
        <v>0</v>
      </c>
      <c r="N18" s="71">
        <v>1</v>
      </c>
      <c r="O18" s="72">
        <f>Table41001611591121151201929303233180123[[#This Row],[2014]]-Table41001611591121151201929303233180123[[#This Row],[2010]]</f>
        <v>0</v>
      </c>
      <c r="P18" s="71">
        <v>1</v>
      </c>
      <c r="Q18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3</v>
      </c>
      <c r="R18" s="75">
        <v>8</v>
      </c>
      <c r="T18" s="9">
        <f>R9</f>
        <v>57</v>
      </c>
      <c r="U18" s="9">
        <f>R19</f>
        <v>151</v>
      </c>
      <c r="V18" s="9">
        <f>R25</f>
        <v>49</v>
      </c>
      <c r="W18" s="9">
        <f>R30</f>
        <v>179</v>
      </c>
      <c r="X18" s="9">
        <f>R34</f>
        <v>77</v>
      </c>
    </row>
    <row r="19" spans="1:24" ht="19">
      <c r="A19" s="83" t="s">
        <v>411</v>
      </c>
      <c r="B19" s="84">
        <f>SUM(B10:B18)</f>
        <v>0</v>
      </c>
      <c r="C19" s="84">
        <f>Table41001611591121151201929303233180123[[#This Row],[1990]]-Table41001611591121151201929303233180123[[#This Row],[1986]]</f>
        <v>4</v>
      </c>
      <c r="D19" s="84">
        <f>SUM(D10:D18)</f>
        <v>4</v>
      </c>
      <c r="E19" s="80">
        <f>Table41001611591121151201929303233180123[[#This Row],[1994]]-Table41001611591121151201929303233180123[[#This Row],[1990]]</f>
        <v>-2</v>
      </c>
      <c r="F19" s="84">
        <f>SUM(F10:F18)</f>
        <v>2</v>
      </c>
      <c r="G19" s="80">
        <f>Table41001611591121151201929303233180123[[#This Row],[1998]]-Table41001611591121151201929303233180123[[#This Row],[1994]]</f>
        <v>-1</v>
      </c>
      <c r="H19" s="84">
        <f>SUM(H10:H18)</f>
        <v>1</v>
      </c>
      <c r="I19" s="80">
        <f>Table41001611591121151201929303233180123[[#This Row],[2002]]-Table41001611591121151201929303233180123[[#This Row],[1998]]</f>
        <v>-1</v>
      </c>
      <c r="J19" s="84">
        <f>SUM(J10:J18)</f>
        <v>0</v>
      </c>
      <c r="K19" s="80">
        <f>Table41001611591121151201929303233180123[[#This Row],[2006]]-Table41001611591121151201929303233180123[[#This Row],[2002]]</f>
        <v>2</v>
      </c>
      <c r="L19" s="84">
        <f>SUM(L10:L18)</f>
        <v>2</v>
      </c>
      <c r="M19" s="80">
        <f>Table41001611591121151201929303233180123[[#This Row],[2010]]-Table41001611591121151201929303233180123[[#This Row],[2006]]</f>
        <v>2</v>
      </c>
      <c r="N19" s="84">
        <f>SUM(N10:N18)</f>
        <v>4</v>
      </c>
      <c r="O19" s="80">
        <f>Table41001611591121151201929303233180123[[#This Row],[2014]]-Table41001611591121151201929303233180123[[#This Row],[2010]]</f>
        <v>0</v>
      </c>
      <c r="P19" s="84">
        <f>SUM(P10:P18)</f>
        <v>4</v>
      </c>
      <c r="Q19" s="85">
        <f>SUM(Q10:Q18)</f>
        <v>17</v>
      </c>
      <c r="R19" s="43">
        <v>151</v>
      </c>
      <c r="T19" s="44">
        <f>(L9/T18)*100</f>
        <v>1.7543859649122806</v>
      </c>
      <c r="U19" s="44">
        <f>(L19/U18)*100</f>
        <v>1.3245033112582782</v>
      </c>
      <c r="V19" s="44">
        <f>(L25/V18)*100</f>
        <v>0</v>
      </c>
      <c r="W19" s="44">
        <f>(L30/W18)*100</f>
        <v>2.2346368715083798</v>
      </c>
      <c r="X19" s="44">
        <f>(L34/X18)*100</f>
        <v>0</v>
      </c>
    </row>
    <row r="20" spans="1:24" ht="19">
      <c r="A20" s="70" t="s">
        <v>97</v>
      </c>
      <c r="B20" s="71"/>
      <c r="C20" s="72">
        <f>Table41001611591121151201929303233180123[[#This Row],[1990]]-Table41001611591121151201929303233180123[[#This Row],[1986]]</f>
        <v>0</v>
      </c>
      <c r="D20" s="71"/>
      <c r="E20" s="72">
        <f>Table41001611591121151201929303233180123[[#This Row],[1994]]-Table41001611591121151201929303233180123[[#This Row],[1990]]</f>
        <v>0</v>
      </c>
      <c r="F20" s="71"/>
      <c r="G20" s="72">
        <f>Table41001611591121151201929303233180123[[#This Row],[1998]]-Table41001611591121151201929303233180123[[#This Row],[1994]]</f>
        <v>0</v>
      </c>
      <c r="H20" s="71"/>
      <c r="I20" s="72">
        <f>Table41001611591121151201929303233180123[[#This Row],[2002]]-Table41001611591121151201929303233180123[[#This Row],[1998]]</f>
        <v>0</v>
      </c>
      <c r="J20" s="71"/>
      <c r="K20" s="72">
        <f>Table41001611591121151201929303233180123[[#This Row],[2006]]-Table41001611591121151201929303233180123[[#This Row],[2002]]</f>
        <v>0</v>
      </c>
      <c r="L20" s="71"/>
      <c r="M20" s="72">
        <f>Table41001611591121151201929303233180123[[#This Row],[2010]]-Table41001611591121151201929303233180123[[#This Row],[2006]]</f>
        <v>0</v>
      </c>
      <c r="N20" s="71"/>
      <c r="O20" s="72">
        <f>Table41001611591121151201929303233180123[[#This Row],[2014]]-Table41001611591121151201929303233180123[[#This Row],[2010]]</f>
        <v>0</v>
      </c>
      <c r="P20" s="71"/>
      <c r="Q20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0</v>
      </c>
      <c r="R20" s="75">
        <v>8</v>
      </c>
    </row>
    <row r="21" spans="1:24" ht="19">
      <c r="A21" s="86" t="s">
        <v>94</v>
      </c>
      <c r="B21" s="87"/>
      <c r="C21" s="72">
        <f>Table41001611591121151201929303233180123[[#This Row],[1990]]-Table41001611591121151201929303233180123[[#This Row],[1986]]</f>
        <v>1</v>
      </c>
      <c r="D21" s="87">
        <v>1</v>
      </c>
      <c r="E21" s="72">
        <f>Table41001611591121151201929303233180123[[#This Row],[1994]]-Table41001611591121151201929303233180123[[#This Row],[1990]]</f>
        <v>-1</v>
      </c>
      <c r="F21" s="87"/>
      <c r="G21" s="72">
        <f>Table41001611591121151201929303233180123[[#This Row],[1998]]-Table41001611591121151201929303233180123[[#This Row],[1994]]</f>
        <v>0</v>
      </c>
      <c r="H21" s="87"/>
      <c r="I21" s="72">
        <f>Table41001611591121151201929303233180123[[#This Row],[2002]]-Table41001611591121151201929303233180123[[#This Row],[1998]]</f>
        <v>0</v>
      </c>
      <c r="J21" s="87"/>
      <c r="K21" s="72">
        <f>Table41001611591121151201929303233180123[[#This Row],[2006]]-Table41001611591121151201929303233180123[[#This Row],[2002]]</f>
        <v>0</v>
      </c>
      <c r="L21" s="87"/>
      <c r="M21" s="72">
        <f>Table41001611591121151201929303233180123[[#This Row],[2010]]-Table41001611591121151201929303233180123[[#This Row],[2006]]</f>
        <v>0</v>
      </c>
      <c r="N21" s="87"/>
      <c r="O21" s="72">
        <f>Table41001611591121151201929303233180123[[#This Row],[2014]]-Table41001611591121151201929303233180123[[#This Row],[2010]]</f>
        <v>0</v>
      </c>
      <c r="P21" s="71"/>
      <c r="Q21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1</v>
      </c>
      <c r="R21" s="75">
        <v>17</v>
      </c>
      <c r="T21" s="178" t="s">
        <v>418</v>
      </c>
      <c r="U21" s="178"/>
      <c r="V21" s="178"/>
      <c r="W21" s="178"/>
      <c r="X21" s="178"/>
    </row>
    <row r="22" spans="1:24" ht="19">
      <c r="A22" s="88" t="s">
        <v>85</v>
      </c>
      <c r="B22" s="87"/>
      <c r="C22" s="72">
        <f>Table41001611591121151201929303233180123[[#This Row],[1990]]-Table41001611591121151201929303233180123[[#This Row],[1986]]</f>
        <v>0</v>
      </c>
      <c r="D22" s="87"/>
      <c r="E22" s="72">
        <f>Table41001611591121151201929303233180123[[#This Row],[1994]]-Table41001611591121151201929303233180123[[#This Row],[1990]]</f>
        <v>0</v>
      </c>
      <c r="F22" s="87"/>
      <c r="G22" s="72">
        <f>Table41001611591121151201929303233180123[[#This Row],[1998]]-Table41001611591121151201929303233180123[[#This Row],[1994]]</f>
        <v>0</v>
      </c>
      <c r="H22" s="87"/>
      <c r="I22" s="72">
        <f>Table41001611591121151201929303233180123[[#This Row],[2002]]-Table41001611591121151201929303233180123[[#This Row],[1998]]</f>
        <v>0</v>
      </c>
      <c r="J22" s="87"/>
      <c r="K22" s="72">
        <f>Table41001611591121151201929303233180123[[#This Row],[2006]]-Table41001611591121151201929303233180123[[#This Row],[2002]]</f>
        <v>0</v>
      </c>
      <c r="L22" s="87"/>
      <c r="M22" s="72">
        <f>Table41001611591121151201929303233180123[[#This Row],[2010]]-Table41001611591121151201929303233180123[[#This Row],[2006]]</f>
        <v>0</v>
      </c>
      <c r="N22" s="87"/>
      <c r="O22" s="72">
        <f>Table41001611591121151201929303233180123[[#This Row],[2014]]-Table41001611591121151201929303233180123[[#This Row],[2010]]</f>
        <v>0</v>
      </c>
      <c r="P22" s="71"/>
      <c r="Q22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0</v>
      </c>
      <c r="R22" s="75">
        <v>8</v>
      </c>
      <c r="T22" s="65" t="s">
        <v>410</v>
      </c>
      <c r="U22" s="66" t="s">
        <v>411</v>
      </c>
      <c r="V22" s="67" t="s">
        <v>412</v>
      </c>
      <c r="W22" s="68" t="s">
        <v>413</v>
      </c>
      <c r="X22" s="69" t="s">
        <v>414</v>
      </c>
    </row>
    <row r="23" spans="1:24" ht="19">
      <c r="A23" s="88" t="s">
        <v>83</v>
      </c>
      <c r="B23" s="87"/>
      <c r="C23" s="72">
        <f>Table41001611591121151201929303233180123[[#This Row],[1990]]-Table41001611591121151201929303233180123[[#This Row],[1986]]</f>
        <v>0</v>
      </c>
      <c r="D23" s="87"/>
      <c r="E23" s="72">
        <f>Table41001611591121151201929303233180123[[#This Row],[1994]]-Table41001611591121151201929303233180123[[#This Row],[1990]]</f>
        <v>0</v>
      </c>
      <c r="F23" s="87"/>
      <c r="G23" s="72">
        <f>Table41001611591121151201929303233180123[[#This Row],[1998]]-Table41001611591121151201929303233180123[[#This Row],[1994]]</f>
        <v>0</v>
      </c>
      <c r="H23" s="87"/>
      <c r="I23" s="72">
        <f>Table41001611591121151201929303233180123[[#This Row],[2002]]-Table41001611591121151201929303233180123[[#This Row],[1998]]</f>
        <v>0</v>
      </c>
      <c r="J23" s="87"/>
      <c r="K23" s="72">
        <f>Table41001611591121151201929303233180123[[#This Row],[2006]]-Table41001611591121151201929303233180123[[#This Row],[2002]]</f>
        <v>0</v>
      </c>
      <c r="L23" s="87"/>
      <c r="M23" s="72">
        <f>Table41001611591121151201929303233180123[[#This Row],[2010]]-Table41001611591121151201929303233180123[[#This Row],[2006]]</f>
        <v>0</v>
      </c>
      <c r="N23" s="87"/>
      <c r="O23" s="72">
        <f>Table41001611591121151201929303233180123[[#This Row],[2014]]-Table41001611591121151201929303233180123[[#This Row],[2010]]</f>
        <v>1</v>
      </c>
      <c r="P23" s="71">
        <v>1</v>
      </c>
      <c r="Q23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1</v>
      </c>
      <c r="R23" s="75">
        <v>8</v>
      </c>
      <c r="T23" s="9">
        <f>R9</f>
        <v>57</v>
      </c>
      <c r="U23" s="9">
        <f>R19</f>
        <v>151</v>
      </c>
      <c r="V23" s="9">
        <f>R25</f>
        <v>49</v>
      </c>
      <c r="W23" s="9">
        <f>R30</f>
        <v>179</v>
      </c>
      <c r="X23" s="9">
        <f>R34</f>
        <v>77</v>
      </c>
    </row>
    <row r="24" spans="1:24" ht="19">
      <c r="A24" s="88" t="s">
        <v>52</v>
      </c>
      <c r="B24" s="71"/>
      <c r="C24" s="72">
        <f>Table41001611591121151201929303233180123[[#This Row],[1990]]-Table41001611591121151201929303233180123[[#This Row],[1986]]</f>
        <v>0</v>
      </c>
      <c r="D24" s="71"/>
      <c r="E24" s="72">
        <f>Table41001611591121151201929303233180123[[#This Row],[1994]]-Table41001611591121151201929303233180123[[#This Row],[1990]]</f>
        <v>0</v>
      </c>
      <c r="F24" s="71"/>
      <c r="G24" s="72">
        <f>Table41001611591121151201929303233180123[[#This Row],[1998]]-Table41001611591121151201929303233180123[[#This Row],[1994]]</f>
        <v>0</v>
      </c>
      <c r="H24" s="71"/>
      <c r="I24" s="72">
        <f>Table41001611591121151201929303233180123[[#This Row],[2002]]-Table41001611591121151201929303233180123[[#This Row],[1998]]</f>
        <v>0</v>
      </c>
      <c r="J24" s="71"/>
      <c r="K24" s="72">
        <f>Table41001611591121151201929303233180123[[#This Row],[2006]]-Table41001611591121151201929303233180123[[#This Row],[2002]]</f>
        <v>0</v>
      </c>
      <c r="L24" s="71"/>
      <c r="M24" s="72">
        <f>Table41001611591121151201929303233180123[[#This Row],[2010]]-Table41001611591121151201929303233180123[[#This Row],[2006]]</f>
        <v>0</v>
      </c>
      <c r="N24" s="71"/>
      <c r="O24" s="72">
        <f>Table41001611591121151201929303233180123[[#This Row],[2014]]-Table41001611591121151201929303233180123[[#This Row],[2010]]</f>
        <v>0</v>
      </c>
      <c r="P24" s="71"/>
      <c r="Q24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0</v>
      </c>
      <c r="R24" s="75">
        <v>8</v>
      </c>
      <c r="T24" s="44">
        <f>(J9/T23)*100</f>
        <v>0</v>
      </c>
      <c r="U24" s="44">
        <f>(J19/U23)*100</f>
        <v>0</v>
      </c>
      <c r="V24" s="44">
        <f>(J25/V23)*100</f>
        <v>0</v>
      </c>
      <c r="W24" s="44">
        <f>(J30/W23)*100</f>
        <v>0.55865921787709494</v>
      </c>
      <c r="X24" s="44">
        <f>(J34/X23)*100</f>
        <v>0</v>
      </c>
    </row>
    <row r="25" spans="1:24" ht="19">
      <c r="A25" s="89" t="s">
        <v>412</v>
      </c>
      <c r="B25" s="79">
        <f>SUM(B20:B24)</f>
        <v>0</v>
      </c>
      <c r="C25" s="79">
        <f>Table41001611591121151201929303233180123[[#This Row],[1990]]-Table41001611591121151201929303233180123[[#This Row],[1986]]</f>
        <v>1</v>
      </c>
      <c r="D25" s="79">
        <f>SUM(D20:D24)</f>
        <v>1</v>
      </c>
      <c r="E25" s="80">
        <f>Table41001611591121151201929303233180123[[#This Row],[1994]]-Table41001611591121151201929303233180123[[#This Row],[1990]]</f>
        <v>-1</v>
      </c>
      <c r="F25" s="79">
        <f>SUM(F20:F24)</f>
        <v>0</v>
      </c>
      <c r="G25" s="80">
        <f>Table41001611591121151201929303233180123[[#This Row],[1998]]-Table41001611591121151201929303233180123[[#This Row],[1994]]</f>
        <v>0</v>
      </c>
      <c r="H25" s="79">
        <f>SUM(H20:H24)</f>
        <v>0</v>
      </c>
      <c r="I25" s="80">
        <f>Table41001611591121151201929303233180123[[#This Row],[2002]]-Table41001611591121151201929303233180123[[#This Row],[1998]]</f>
        <v>0</v>
      </c>
      <c r="J25" s="79">
        <f>SUM(J20:J24)</f>
        <v>0</v>
      </c>
      <c r="K25" s="80">
        <f>Table41001611591121151201929303233180123[[#This Row],[2006]]-Table41001611591121151201929303233180123[[#This Row],[2002]]</f>
        <v>0</v>
      </c>
      <c r="L25" s="79">
        <f>SUM(L20:L24)</f>
        <v>0</v>
      </c>
      <c r="M25" s="80">
        <f>Table41001611591121151201929303233180123[[#This Row],[2010]]-Table41001611591121151201929303233180123[[#This Row],[2006]]</f>
        <v>0</v>
      </c>
      <c r="N25" s="79">
        <f>SUM(N20:N24)</f>
        <v>0</v>
      </c>
      <c r="O25" s="80">
        <f>Table41001611591121151201929303233180123[[#This Row],[2014]]-Table41001611591121151201929303233180123[[#This Row],[2010]]</f>
        <v>1</v>
      </c>
      <c r="P25" s="79">
        <f>SUM(P20:P24)</f>
        <v>1</v>
      </c>
      <c r="Q25" s="90">
        <f>SUM(Q20:Q24)</f>
        <v>2</v>
      </c>
      <c r="R25" s="91">
        <v>49</v>
      </c>
    </row>
    <row r="26" spans="1:24" ht="19">
      <c r="A26" s="88" t="s">
        <v>95</v>
      </c>
      <c r="B26" s="71"/>
      <c r="C26" s="72">
        <f>Table41001611591121151201929303233180123[[#This Row],[1990]]-Table41001611591121151201929303233180123[[#This Row],[1986]]</f>
        <v>0</v>
      </c>
      <c r="D26" s="71"/>
      <c r="E26" s="72">
        <f>Table41001611591121151201929303233180123[[#This Row],[1994]]-Table41001611591121151201929303233180123[[#This Row],[1990]]</f>
        <v>0</v>
      </c>
      <c r="F26" s="71"/>
      <c r="G26" s="72">
        <f>Table41001611591121151201929303233180123[[#This Row],[1998]]-Table41001611591121151201929303233180123[[#This Row],[1994]]</f>
        <v>0</v>
      </c>
      <c r="H26" s="71"/>
      <c r="I26" s="72">
        <f>Table41001611591121151201929303233180123[[#This Row],[2002]]-Table41001611591121151201929303233180123[[#This Row],[1998]]</f>
        <v>0</v>
      </c>
      <c r="J26" s="71"/>
      <c r="K26" s="72">
        <f>Table41001611591121151201929303233180123[[#This Row],[2006]]-Table41001611591121151201929303233180123[[#This Row],[2002]]</f>
        <v>0</v>
      </c>
      <c r="L26" s="71"/>
      <c r="M26" s="72">
        <f>Table41001611591121151201929303233180123[[#This Row],[2010]]-Table41001611591121151201929303233180123[[#This Row],[2006]]</f>
        <v>1</v>
      </c>
      <c r="N26" s="71">
        <v>1</v>
      </c>
      <c r="O26" s="72">
        <f>Table41001611591121151201929303233180123[[#This Row],[2014]]-Table41001611591121151201929303233180123[[#This Row],[2010]]</f>
        <v>-1</v>
      </c>
      <c r="P26" s="71"/>
      <c r="Q26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1</v>
      </c>
      <c r="R26" s="75">
        <v>10</v>
      </c>
      <c r="T26" s="178" t="s">
        <v>419</v>
      </c>
      <c r="U26" s="178"/>
      <c r="V26" s="178"/>
      <c r="W26" s="178"/>
      <c r="X26" s="178"/>
    </row>
    <row r="27" spans="1:24" ht="19">
      <c r="A27" s="88" t="s">
        <v>88</v>
      </c>
      <c r="B27" s="71"/>
      <c r="C27" s="72">
        <f>Table41001611591121151201929303233180123[[#This Row],[1990]]-Table41001611591121151201929303233180123[[#This Row],[1986]]</f>
        <v>0</v>
      </c>
      <c r="D27" s="71"/>
      <c r="E27" s="72">
        <f>Table41001611591121151201929303233180123[[#This Row],[1994]]-Table41001611591121151201929303233180123[[#This Row],[1990]]</f>
        <v>0</v>
      </c>
      <c r="F27" s="71"/>
      <c r="G27" s="72">
        <f>Table41001611591121151201929303233180123[[#This Row],[1998]]-Table41001611591121151201929303233180123[[#This Row],[1994]]</f>
        <v>0</v>
      </c>
      <c r="H27" s="71"/>
      <c r="I27" s="72">
        <f>Table41001611591121151201929303233180123[[#This Row],[2002]]-Table41001611591121151201929303233180123[[#This Row],[1998]]</f>
        <v>0</v>
      </c>
      <c r="J27" s="71"/>
      <c r="K27" s="72">
        <f>Table41001611591121151201929303233180123[[#This Row],[2006]]-Table41001611591121151201929303233180123[[#This Row],[2002]]</f>
        <v>0</v>
      </c>
      <c r="L27" s="71"/>
      <c r="M27" s="72">
        <f>Table41001611591121151201929303233180123[[#This Row],[2010]]-Table41001611591121151201929303233180123[[#This Row],[2006]]</f>
        <v>1</v>
      </c>
      <c r="N27" s="71">
        <v>1</v>
      </c>
      <c r="O27" s="72">
        <f>Table41001611591121151201929303233180123[[#This Row],[2014]]-Table41001611591121151201929303233180123[[#This Row],[2010]]</f>
        <v>0</v>
      </c>
      <c r="P27" s="71">
        <v>1</v>
      </c>
      <c r="Q27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2</v>
      </c>
      <c r="R27" s="75">
        <v>53</v>
      </c>
      <c r="T27" s="65" t="s">
        <v>410</v>
      </c>
      <c r="U27" s="66" t="s">
        <v>411</v>
      </c>
      <c r="V27" s="67" t="s">
        <v>412</v>
      </c>
      <c r="W27" s="68" t="s">
        <v>413</v>
      </c>
      <c r="X27" s="69" t="s">
        <v>414</v>
      </c>
    </row>
    <row r="28" spans="1:24" ht="19">
      <c r="A28" s="88" t="s">
        <v>72</v>
      </c>
      <c r="B28" s="71"/>
      <c r="C28" s="72">
        <f>Table41001611591121151201929303233180123[[#This Row],[1990]]-Table41001611591121151201929303233180123[[#This Row],[1986]]</f>
        <v>0</v>
      </c>
      <c r="D28" s="71"/>
      <c r="E28" s="72">
        <f>Table41001611591121151201929303233180123[[#This Row],[1994]]-Table41001611591121151201929303233180123[[#This Row],[1990]]</f>
        <v>0</v>
      </c>
      <c r="F28" s="71"/>
      <c r="G28" s="72">
        <f>Table41001611591121151201929303233180123[[#This Row],[1998]]-Table41001611591121151201929303233180123[[#This Row],[1994]]</f>
        <v>0</v>
      </c>
      <c r="H28" s="71"/>
      <c r="I28" s="72">
        <f>Table41001611591121151201929303233180123[[#This Row],[2002]]-Table41001611591121151201929303233180123[[#This Row],[1998]]</f>
        <v>1</v>
      </c>
      <c r="J28" s="71">
        <v>1</v>
      </c>
      <c r="K28" s="72">
        <f>Table41001611591121151201929303233180123[[#This Row],[2006]]-Table41001611591121151201929303233180123[[#This Row],[2002]]</f>
        <v>2</v>
      </c>
      <c r="L28" s="71">
        <v>3</v>
      </c>
      <c r="M28" s="72">
        <f>Table41001611591121151201929303233180123[[#This Row],[2010]]-Table41001611591121151201929303233180123[[#This Row],[2006]]</f>
        <v>-1</v>
      </c>
      <c r="N28" s="71">
        <v>2</v>
      </c>
      <c r="O28" s="72">
        <f>Table41001611591121151201929303233180123[[#This Row],[2014]]-Table41001611591121151201929303233180123[[#This Row],[2010]]</f>
        <v>-2</v>
      </c>
      <c r="P28" s="71"/>
      <c r="Q28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6</v>
      </c>
      <c r="R28" s="75">
        <v>46</v>
      </c>
      <c r="T28" s="9">
        <f>R9</f>
        <v>57</v>
      </c>
      <c r="U28" s="9">
        <f>R19</f>
        <v>151</v>
      </c>
      <c r="V28" s="9">
        <f>R25</f>
        <v>49</v>
      </c>
      <c r="W28" s="9">
        <f>R30</f>
        <v>179</v>
      </c>
      <c r="X28" s="9">
        <f>R34</f>
        <v>77</v>
      </c>
    </row>
    <row r="29" spans="1:24" ht="19">
      <c r="A29" s="88" t="s">
        <v>54</v>
      </c>
      <c r="B29" s="71">
        <v>1</v>
      </c>
      <c r="C29" s="72">
        <f>Table41001611591121151201929303233180123[[#This Row],[1990]]-Table41001611591121151201929303233180123[[#This Row],[1986]]</f>
        <v>-1</v>
      </c>
      <c r="D29" s="71"/>
      <c r="E29" s="72">
        <f>Table41001611591121151201929303233180123[[#This Row],[1994]]-Table41001611591121151201929303233180123[[#This Row],[1990]]</f>
        <v>0</v>
      </c>
      <c r="F29" s="71"/>
      <c r="G29" s="72">
        <f>Table41001611591121151201929303233180123[[#This Row],[1998]]-Table41001611591121151201929303233180123[[#This Row],[1994]]</f>
        <v>0</v>
      </c>
      <c r="H29" s="71"/>
      <c r="I29" s="72">
        <f>Table41001611591121151201929303233180123[[#This Row],[2002]]-Table41001611591121151201929303233180123[[#This Row],[1998]]</f>
        <v>0</v>
      </c>
      <c r="J29" s="71"/>
      <c r="K29" s="72">
        <f>Table41001611591121151201929303233180123[[#This Row],[2006]]-Table41001611591121151201929303233180123[[#This Row],[2002]]</f>
        <v>1</v>
      </c>
      <c r="L29" s="71">
        <v>1</v>
      </c>
      <c r="M29" s="72">
        <f>Table41001611591121151201929303233180123[[#This Row],[2010]]-Table41001611591121151201929303233180123[[#This Row],[2006]]</f>
        <v>1</v>
      </c>
      <c r="N29" s="71">
        <v>2</v>
      </c>
      <c r="O29" s="72">
        <f>Table41001611591121151201929303233180123[[#This Row],[2014]]-Table41001611591121151201929303233180123[[#This Row],[2010]]</f>
        <v>1</v>
      </c>
      <c r="P29" s="71">
        <v>3</v>
      </c>
      <c r="Q29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7</v>
      </c>
      <c r="R29" s="75">
        <v>70</v>
      </c>
      <c r="T29" s="44">
        <f>(H9/T28)*100</f>
        <v>0</v>
      </c>
      <c r="U29" s="44">
        <f>(H19/U28)*100</f>
        <v>0.66225165562913912</v>
      </c>
      <c r="V29" s="44">
        <f>(H25/V28)*100</f>
        <v>0</v>
      </c>
      <c r="W29" s="44">
        <f>(H30/W28)*100</f>
        <v>0</v>
      </c>
      <c r="X29" s="44">
        <f>(H34/X28)*100</f>
        <v>1.2987012987012987</v>
      </c>
    </row>
    <row r="30" spans="1:24" ht="19">
      <c r="A30" s="93" t="s">
        <v>413</v>
      </c>
      <c r="B30" s="79">
        <f>SUM(B26:B29)</f>
        <v>1</v>
      </c>
      <c r="C30" s="79">
        <f>Table41001611591121151201929303233180123[[#This Row],[1990]]-Table41001611591121151201929303233180123[[#This Row],[1986]]</f>
        <v>-1</v>
      </c>
      <c r="D30" s="79">
        <f>SUM(D26:D29)</f>
        <v>0</v>
      </c>
      <c r="E30" s="80">
        <f>Table41001611591121151201929303233180123[[#This Row],[1994]]-Table41001611591121151201929303233180123[[#This Row],[1990]]</f>
        <v>0</v>
      </c>
      <c r="F30" s="79">
        <f>SUM(F26:F29)</f>
        <v>0</v>
      </c>
      <c r="G30" s="80">
        <f>Table41001611591121151201929303233180123[[#This Row],[1998]]-Table41001611591121151201929303233180123[[#This Row],[1994]]</f>
        <v>0</v>
      </c>
      <c r="H30" s="79">
        <f>SUM(H26:H29)</f>
        <v>0</v>
      </c>
      <c r="I30" s="80">
        <f>Table41001611591121151201929303233180123[[#This Row],[2002]]-Table41001611591121151201929303233180123[[#This Row],[1998]]</f>
        <v>1</v>
      </c>
      <c r="J30" s="79">
        <f>SUM(J26:J29)</f>
        <v>1</v>
      </c>
      <c r="K30" s="80">
        <f>Table41001611591121151201929303233180123[[#This Row],[2006]]-Table41001611591121151201929303233180123[[#This Row],[2002]]</f>
        <v>3</v>
      </c>
      <c r="L30" s="79">
        <f>SUM(L26:L29)</f>
        <v>4</v>
      </c>
      <c r="M30" s="80">
        <f>Table41001611591121151201929303233180123[[#This Row],[2010]]-Table41001611591121151201929303233180123[[#This Row],[2006]]</f>
        <v>2</v>
      </c>
      <c r="N30" s="79">
        <f>SUM(N26:N29)</f>
        <v>6</v>
      </c>
      <c r="O30" s="80">
        <f>Table41001611591121151201929303233180123[[#This Row],[2014]]-Table41001611591121151201929303233180123[[#This Row],[2010]]</f>
        <v>-2</v>
      </c>
      <c r="P30" s="79">
        <f>SUM(P26:P29)</f>
        <v>4</v>
      </c>
      <c r="Q30" s="94">
        <f>SUM(Q26:Q29)</f>
        <v>16</v>
      </c>
      <c r="R30" s="95">
        <v>179</v>
      </c>
    </row>
    <row r="31" spans="1:24" ht="19">
      <c r="A31" s="88" t="s">
        <v>13</v>
      </c>
      <c r="B31" s="71"/>
      <c r="C31" s="72">
        <f>Table41001611591121151201929303233180123[[#This Row],[1990]]-Table41001611591121151201929303233180123[[#This Row],[1986]]</f>
        <v>0</v>
      </c>
      <c r="D31" s="71"/>
      <c r="E31" s="72">
        <f>Table41001611591121151201929303233180123[[#This Row],[1994]]-Table41001611591121151201929303233180123[[#This Row],[1990]]</f>
        <v>0</v>
      </c>
      <c r="F31" s="71"/>
      <c r="G31" s="72">
        <f>Table41001611591121151201929303233180123[[#This Row],[1998]]-Table41001611591121151201929303233180123[[#This Row],[1994]]</f>
        <v>0</v>
      </c>
      <c r="H31" s="71"/>
      <c r="I31" s="72">
        <f>Table41001611591121151201929303233180123[[#This Row],[2002]]-Table41001611591121151201929303233180123[[#This Row],[1998]]</f>
        <v>0</v>
      </c>
      <c r="J31" s="71"/>
      <c r="K31" s="72">
        <f>Table41001611591121151201929303233180123[[#This Row],[2006]]-Table41001611591121151201929303233180123[[#This Row],[2002]]</f>
        <v>0</v>
      </c>
      <c r="L31" s="71"/>
      <c r="M31" s="72">
        <f>Table41001611591121151201929303233180123[[#This Row],[2010]]-Table41001611591121151201929303233180123[[#This Row],[2006]]</f>
        <v>4</v>
      </c>
      <c r="N31" s="71">
        <v>4</v>
      </c>
      <c r="O31" s="72">
        <f>Table41001611591121151201929303233180123[[#This Row],[2014]]-Table41001611591121151201929303233180123[[#This Row],[2010]]</f>
        <v>-2</v>
      </c>
      <c r="P31" s="71">
        <v>2</v>
      </c>
      <c r="Q31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6</v>
      </c>
      <c r="R31" s="75">
        <v>30</v>
      </c>
      <c r="T31" s="178" t="s">
        <v>421</v>
      </c>
      <c r="U31" s="178"/>
      <c r="V31" s="178"/>
      <c r="W31" s="178"/>
      <c r="X31" s="178"/>
    </row>
    <row r="32" spans="1:24" ht="19">
      <c r="A32" s="88" t="s">
        <v>62</v>
      </c>
      <c r="B32" s="72"/>
      <c r="C32" s="72">
        <f>Table41001611591121151201929303233180123[[#This Row],[1990]]-Table41001611591121151201929303233180123[[#This Row],[1986]]</f>
        <v>0</v>
      </c>
      <c r="D32" s="72"/>
      <c r="E32" s="72">
        <f>Table41001611591121151201929303233180123[[#This Row],[1994]]-Table41001611591121151201929303233180123[[#This Row],[1990]]</f>
        <v>0</v>
      </c>
      <c r="F32" s="72"/>
      <c r="G32" s="72">
        <f>Table41001611591121151201929303233180123[[#This Row],[1998]]-Table41001611591121151201929303233180123[[#This Row],[1994]]</f>
        <v>1</v>
      </c>
      <c r="H32" s="72">
        <v>1</v>
      </c>
      <c r="I32" s="72">
        <f>Table41001611591121151201929303233180123[[#This Row],[2002]]-Table41001611591121151201929303233180123[[#This Row],[1998]]</f>
        <v>-1</v>
      </c>
      <c r="J32" s="72"/>
      <c r="K32" s="72">
        <f>Table41001611591121151201929303233180123[[#This Row],[2006]]-Table41001611591121151201929303233180123[[#This Row],[2002]]</f>
        <v>0</v>
      </c>
      <c r="L32" s="72"/>
      <c r="M32" s="72">
        <f>Table41001611591121151201929303233180123[[#This Row],[2010]]-Table41001611591121151201929303233180123[[#This Row],[2006]]</f>
        <v>0</v>
      </c>
      <c r="N32" s="72"/>
      <c r="O32" s="72">
        <f>Table41001611591121151201929303233180123[[#This Row],[2014]]-Table41001611591121151201929303233180123[[#This Row],[2010]]</f>
        <v>0</v>
      </c>
      <c r="P32" s="72"/>
      <c r="Q32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1</v>
      </c>
      <c r="R32" s="75">
        <v>31</v>
      </c>
      <c r="T32" s="65" t="s">
        <v>410</v>
      </c>
      <c r="U32" s="66" t="s">
        <v>411</v>
      </c>
      <c r="V32" s="67" t="s">
        <v>412</v>
      </c>
      <c r="W32" s="68" t="s">
        <v>413</v>
      </c>
      <c r="X32" s="69" t="s">
        <v>414</v>
      </c>
    </row>
    <row r="33" spans="1:24" ht="19">
      <c r="A33" s="88" t="s">
        <v>60</v>
      </c>
      <c r="B33" s="71"/>
      <c r="C33" s="72">
        <f>Table41001611591121151201929303233180123[[#This Row],[1990]]-Table41001611591121151201929303233180123[[#This Row],[1986]]</f>
        <v>0</v>
      </c>
      <c r="D33" s="71"/>
      <c r="E33" s="72">
        <f>Table41001611591121151201929303233180123[[#This Row],[1994]]-Table41001611591121151201929303233180123[[#This Row],[1990]]</f>
        <v>0</v>
      </c>
      <c r="F33" s="71"/>
      <c r="G33" s="72">
        <f>Table41001611591121151201929303233180123[[#This Row],[1998]]-Table41001611591121151201929303233180123[[#This Row],[1994]]</f>
        <v>0</v>
      </c>
      <c r="H33" s="71"/>
      <c r="I33" s="72">
        <f>Table41001611591121151201929303233180123[[#This Row],[2002]]-Table41001611591121151201929303233180123[[#This Row],[1998]]</f>
        <v>0</v>
      </c>
      <c r="J33" s="71"/>
      <c r="K33" s="72">
        <f>Table41001611591121151201929303233180123[[#This Row],[2006]]-Table41001611591121151201929303233180123[[#This Row],[2002]]</f>
        <v>0</v>
      </c>
      <c r="L33" s="71"/>
      <c r="M33" s="72">
        <f>Table41001611591121151201929303233180123[[#This Row],[2010]]-Table41001611591121151201929303233180123[[#This Row],[2006]]</f>
        <v>0</v>
      </c>
      <c r="N33" s="71"/>
      <c r="O33" s="72">
        <f>Table41001611591121151201929303233180123[[#This Row],[2014]]-Table41001611591121151201929303233180123[[#This Row],[2010]]</f>
        <v>0</v>
      </c>
      <c r="P33" s="71"/>
      <c r="Q33" s="73">
        <f>SUM(Table41001611591121151201929303233180123[[#This Row],[1986]],Table41001611591121151201929303233180123[[#This Row],[1990]],Table41001611591121151201929303233180123[[#This Row],[1994]],Table41001611591121151201929303233180123[[#This Row],[1998]],Table41001611591121151201929303233180123[[#This Row],[2002]],Table41001611591121151201929303233180123[[#This Row],[2006]],Table41001611591121151201929303233180123[[#This Row],[2010]],Table41001611591121151201929303233180123[[#This Row],[2014]])</f>
        <v>0</v>
      </c>
      <c r="R33" s="75">
        <v>16</v>
      </c>
      <c r="T33" s="9">
        <f>R9</f>
        <v>57</v>
      </c>
      <c r="U33" s="9">
        <f>R19</f>
        <v>151</v>
      </c>
      <c r="V33" s="9">
        <f>R25</f>
        <v>49</v>
      </c>
      <c r="W33" s="9">
        <f>R30</f>
        <v>179</v>
      </c>
      <c r="X33" s="9">
        <f>R34</f>
        <v>77</v>
      </c>
    </row>
    <row r="34" spans="1:24" ht="19">
      <c r="A34" s="96" t="s">
        <v>414</v>
      </c>
      <c r="B34" s="97">
        <f>SUM(B31:B33)</f>
        <v>0</v>
      </c>
      <c r="C34" s="97">
        <f>Table41001611591121151201929303233180123[[#This Row],[1990]]-Table41001611591121151201929303233180123[[#This Row],[1986]]</f>
        <v>0</v>
      </c>
      <c r="D34" s="97">
        <f>SUM(D31:D33)</f>
        <v>0</v>
      </c>
      <c r="E34" s="80">
        <f>Table41001611591121151201929303233180123[[#This Row],[1994]]-Table41001611591121151201929303233180123[[#This Row],[1990]]</f>
        <v>0</v>
      </c>
      <c r="F34" s="97">
        <f>SUM(F31:F33)</f>
        <v>0</v>
      </c>
      <c r="G34" s="80">
        <f>Table41001611591121151201929303233180123[[#This Row],[1998]]-Table41001611591121151201929303233180123[[#This Row],[1994]]</f>
        <v>1</v>
      </c>
      <c r="H34" s="97">
        <f>SUM(H31:H33)</f>
        <v>1</v>
      </c>
      <c r="I34" s="80">
        <f>Table41001611591121151201929303233180123[[#This Row],[2002]]-Table41001611591121151201929303233180123[[#This Row],[1998]]</f>
        <v>-1</v>
      </c>
      <c r="J34" s="97">
        <f>SUM(J31:J33)</f>
        <v>0</v>
      </c>
      <c r="K34" s="80">
        <f>Table41001611591121151201929303233180123[[#This Row],[2006]]-Table41001611591121151201929303233180123[[#This Row],[2002]]</f>
        <v>0</v>
      </c>
      <c r="L34" s="97">
        <f>SUM(L31:L33)</f>
        <v>0</v>
      </c>
      <c r="M34" s="80">
        <f>Table41001611591121151201929303233180123[[#This Row],[2010]]-Table41001611591121151201929303233180123[[#This Row],[2006]]</f>
        <v>4</v>
      </c>
      <c r="N34" s="97">
        <f>SUM(N31:N33)</f>
        <v>4</v>
      </c>
      <c r="O34" s="80">
        <f>Table41001611591121151201929303233180123[[#This Row],[2014]]-Table41001611591121151201929303233180123[[#This Row],[2010]]</f>
        <v>-2</v>
      </c>
      <c r="P34" s="97">
        <f>SUM(P31:P33)</f>
        <v>2</v>
      </c>
      <c r="Q34" s="98">
        <f>SUM(Q31:Q33)</f>
        <v>7</v>
      </c>
      <c r="R34" s="99">
        <v>77</v>
      </c>
      <c r="T34" s="44">
        <f>(F9/T33)*100</f>
        <v>1.7543859649122806</v>
      </c>
      <c r="U34" s="44">
        <f>(F19/U33)*100</f>
        <v>1.3245033112582782</v>
      </c>
      <c r="V34" s="44">
        <f>(F25/V33)*100</f>
        <v>0</v>
      </c>
      <c r="W34" s="44">
        <f>(F30/W33)*100</f>
        <v>0</v>
      </c>
      <c r="X34" s="44">
        <f>(F34/X33)*100</f>
        <v>0</v>
      </c>
    </row>
    <row r="35" spans="1:24" ht="19">
      <c r="A35" s="100" t="s">
        <v>420</v>
      </c>
      <c r="B35" s="101">
        <f>SUM(B9,B19,B25,B30,B34)</f>
        <v>1</v>
      </c>
      <c r="C35" s="101">
        <f>Table41001611591121151201929303233180123[[#This Row],[1990]]-Table41001611591121151201929303233180123[[#This Row],[1986]]</f>
        <v>5</v>
      </c>
      <c r="D35" s="101">
        <f>SUM(D9,D19,D25,D30,D34)</f>
        <v>6</v>
      </c>
      <c r="E35" s="80">
        <f>Table41001611591121151201929303233180123[[#This Row],[1994]]-Table41001611591121151201929303233180123[[#This Row],[1990]]</f>
        <v>-3</v>
      </c>
      <c r="F35" s="101">
        <f>SUM(F9,F19,F25,F30,F34)</f>
        <v>3</v>
      </c>
      <c r="G35" s="80">
        <f>Table41001611591121151201929303233180123[[#This Row],[1998]]-Table41001611591121151201929303233180123[[#This Row],[1994]]</f>
        <v>-1</v>
      </c>
      <c r="H35" s="101">
        <f>SUM(H9,H19,H25,H30,H34)</f>
        <v>2</v>
      </c>
      <c r="I35" s="80">
        <f>Table41001611591121151201929303233180123[[#This Row],[2002]]-Table41001611591121151201929303233180123[[#This Row],[1998]]</f>
        <v>-1</v>
      </c>
      <c r="J35" s="101">
        <f>SUM(J9,J19,J25,J30,J34)</f>
        <v>1</v>
      </c>
      <c r="K35" s="80">
        <f>Table41001611591121151201929303233180123[[#This Row],[2006]]-Table41001611591121151201929303233180123[[#This Row],[2002]]</f>
        <v>6</v>
      </c>
      <c r="L35" s="101">
        <f>SUM(L9,L19,L25,L30,L34)</f>
        <v>7</v>
      </c>
      <c r="M35" s="80">
        <f>Table41001611591121151201929303233180123[[#This Row],[2010]]-Table41001611591121151201929303233180123[[#This Row],[2006]]</f>
        <v>10</v>
      </c>
      <c r="N35" s="101">
        <f>SUM(N9,N19,N25,N30,N34)</f>
        <v>17</v>
      </c>
      <c r="O35" s="80">
        <f>Table41001611591121151201929303233180123[[#This Row],[2014]]-Table41001611591121151201929303233180123[[#This Row],[2010]]</f>
        <v>-5</v>
      </c>
      <c r="P35" s="101">
        <f>SUM(P9,P19,P25,P30,P34)</f>
        <v>12</v>
      </c>
      <c r="Q35" s="102">
        <f>SUM(Q9,Q19,Q25,Q30,Q34)</f>
        <v>49</v>
      </c>
      <c r="R35" s="75">
        <v>513</v>
      </c>
    </row>
    <row r="36" spans="1:24">
      <c r="T36" s="178" t="s">
        <v>422</v>
      </c>
      <c r="U36" s="178"/>
      <c r="V36" s="178"/>
      <c r="W36" s="178"/>
      <c r="X36" s="178"/>
    </row>
    <row r="37" spans="1:24">
      <c r="T37" s="65" t="s">
        <v>410</v>
      </c>
      <c r="U37" s="66" t="s">
        <v>411</v>
      </c>
      <c r="V37" s="67" t="s">
        <v>412</v>
      </c>
      <c r="W37" s="68" t="s">
        <v>413</v>
      </c>
      <c r="X37" s="69" t="s">
        <v>414</v>
      </c>
    </row>
    <row r="38" spans="1:24">
      <c r="T38" s="9">
        <f>R9</f>
        <v>57</v>
      </c>
      <c r="U38" s="9">
        <f>R19</f>
        <v>151</v>
      </c>
      <c r="V38" s="9">
        <f>R25</f>
        <v>49</v>
      </c>
      <c r="W38" s="17">
        <f>(R30-10)</f>
        <v>169</v>
      </c>
      <c r="X38" s="9">
        <f>R34</f>
        <v>77</v>
      </c>
    </row>
    <row r="39" spans="1:24">
      <c r="T39" s="44">
        <f>(D9/T38)*100</f>
        <v>1.7543859649122806</v>
      </c>
      <c r="U39" s="44">
        <f>(D19/U38)*100</f>
        <v>2.6490066225165565</v>
      </c>
      <c r="V39" s="44">
        <f>(D25/V38)*100</f>
        <v>2.0408163265306123</v>
      </c>
      <c r="W39" s="44">
        <f>(D30/W38)*100</f>
        <v>0</v>
      </c>
      <c r="X39" s="44">
        <f>(D34/X38)*100</f>
        <v>0</v>
      </c>
    </row>
    <row r="41" spans="1:24">
      <c r="T41" s="178" t="s">
        <v>428</v>
      </c>
      <c r="U41" s="178"/>
      <c r="V41" s="178"/>
      <c r="W41" s="178"/>
      <c r="X41" s="178"/>
    </row>
    <row r="42" spans="1:24">
      <c r="T42" s="65" t="s">
        <v>410</v>
      </c>
      <c r="U42" s="66" t="s">
        <v>411</v>
      </c>
      <c r="V42" s="67" t="s">
        <v>412</v>
      </c>
      <c r="W42" s="68" t="s">
        <v>413</v>
      </c>
      <c r="X42" s="69" t="s">
        <v>414</v>
      </c>
    </row>
    <row r="43" spans="1:24">
      <c r="T43" s="9">
        <f>R9</f>
        <v>57</v>
      </c>
      <c r="U43" s="9">
        <f>R19</f>
        <v>151</v>
      </c>
      <c r="V43" s="9">
        <f>R25</f>
        <v>49</v>
      </c>
      <c r="W43" s="17">
        <f>(R30-19)</f>
        <v>160</v>
      </c>
      <c r="X43" s="9">
        <f>R34</f>
        <v>77</v>
      </c>
    </row>
    <row r="44" spans="1:24">
      <c r="T44" s="44">
        <f>(B9/T43)*100</f>
        <v>0</v>
      </c>
      <c r="U44" s="44">
        <f>(B19/U43)*100</f>
        <v>0</v>
      </c>
      <c r="V44" s="44">
        <f>(B25/V43)*100</f>
        <v>0</v>
      </c>
      <c r="W44" s="44">
        <f>(B30/W43)*100</f>
        <v>0.625</v>
      </c>
      <c r="X44" s="44">
        <f>(B34/X43)*100</f>
        <v>0</v>
      </c>
    </row>
  </sheetData>
  <mergeCells count="10">
    <mergeCell ref="T26:X26"/>
    <mergeCell ref="T31:X31"/>
    <mergeCell ref="T36:X36"/>
    <mergeCell ref="T41:X41"/>
    <mergeCell ref="A1:Q1"/>
    <mergeCell ref="T1:X1"/>
    <mergeCell ref="T6:X6"/>
    <mergeCell ref="T11:X11"/>
    <mergeCell ref="T16:X16"/>
    <mergeCell ref="T21:X21"/>
  </mergeCells>
  <conditionalFormatting sqref="C4:C35">
    <cfRule type="cellIs" dxfId="171" priority="11" operator="greaterThan">
      <formula>0</formula>
    </cfRule>
  </conditionalFormatting>
  <conditionalFormatting sqref="C4:C35 E4:E35 G3:G35 I3:I35 K3:K35 M3:M35">
    <cfRule type="cellIs" dxfId="170" priority="10" operator="greaterThan">
      <formula>0</formula>
    </cfRule>
  </conditionalFormatting>
  <conditionalFormatting sqref="C4:C35 E4:E35 G3:G35 I3:I35 K3:K35 M3:M35">
    <cfRule type="cellIs" dxfId="169" priority="9" operator="lessThan">
      <formula>0</formula>
    </cfRule>
  </conditionalFormatting>
  <conditionalFormatting sqref="C3">
    <cfRule type="cellIs" dxfId="168" priority="8" operator="greaterThan">
      <formula>0</formula>
    </cfRule>
  </conditionalFormatting>
  <conditionalFormatting sqref="C3">
    <cfRule type="cellIs" dxfId="167" priority="7" operator="greaterThan">
      <formula>0</formula>
    </cfRule>
  </conditionalFormatting>
  <conditionalFormatting sqref="C3">
    <cfRule type="cellIs" dxfId="166" priority="6" operator="lessThan">
      <formula>0</formula>
    </cfRule>
  </conditionalFormatting>
  <conditionalFormatting sqref="E3">
    <cfRule type="cellIs" dxfId="165" priority="5" operator="greaterThan">
      <formula>0</formula>
    </cfRule>
  </conditionalFormatting>
  <conditionalFormatting sqref="E3">
    <cfRule type="cellIs" dxfId="164" priority="4" operator="greaterThan">
      <formula>0</formula>
    </cfRule>
  </conditionalFormatting>
  <conditionalFormatting sqref="E3">
    <cfRule type="cellIs" dxfId="163" priority="3" operator="lessThan">
      <formula>0</formula>
    </cfRule>
  </conditionalFormatting>
  <conditionalFormatting sqref="O3:O35">
    <cfRule type="cellIs" dxfId="162" priority="1" operator="lessThan">
      <formula>0</formula>
    </cfRule>
    <cfRule type="cellIs" dxfId="161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44"/>
  <sheetViews>
    <sheetView topLeftCell="F22" workbookViewId="0">
      <selection activeCell="W43" sqref="W43"/>
    </sheetView>
  </sheetViews>
  <sheetFormatPr baseColWidth="10" defaultRowHeight="16"/>
  <cols>
    <col min="1" max="1" width="19.6640625" customWidth="1"/>
    <col min="17" max="17" width="17.1640625" customWidth="1"/>
    <col min="18" max="18" width="19.83203125" customWidth="1"/>
  </cols>
  <sheetData>
    <row r="1" spans="1:24" ht="19">
      <c r="A1" s="183" t="s">
        <v>17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T1" s="178" t="s">
        <v>391</v>
      </c>
      <c r="U1" s="178"/>
      <c r="V1" s="178"/>
      <c r="W1" s="178"/>
      <c r="X1" s="178"/>
    </row>
    <row r="2" spans="1:24" ht="19">
      <c r="A2" s="63" t="s">
        <v>392</v>
      </c>
      <c r="B2" s="63" t="s">
        <v>393</v>
      </c>
      <c r="C2" s="63" t="s">
        <v>394</v>
      </c>
      <c r="D2" s="63" t="s">
        <v>395</v>
      </c>
      <c r="E2" s="63" t="s">
        <v>396</v>
      </c>
      <c r="F2" s="63" t="s">
        <v>397</v>
      </c>
      <c r="G2" s="63" t="s">
        <v>398</v>
      </c>
      <c r="H2" s="63" t="s">
        <v>399</v>
      </c>
      <c r="I2" s="63" t="s">
        <v>400</v>
      </c>
      <c r="J2" s="63" t="s">
        <v>401</v>
      </c>
      <c r="K2" s="63" t="s">
        <v>402</v>
      </c>
      <c r="L2" s="63" t="s">
        <v>403</v>
      </c>
      <c r="M2" s="63" t="s">
        <v>404</v>
      </c>
      <c r="N2" s="63" t="s">
        <v>405</v>
      </c>
      <c r="O2" s="63" t="s">
        <v>406</v>
      </c>
      <c r="P2" s="63" t="s">
        <v>407</v>
      </c>
      <c r="Q2" s="64" t="s">
        <v>408</v>
      </c>
      <c r="R2" s="64" t="s">
        <v>427</v>
      </c>
      <c r="T2" s="65" t="s">
        <v>410</v>
      </c>
      <c r="U2" s="66" t="s">
        <v>411</v>
      </c>
      <c r="V2" s="67" t="s">
        <v>412</v>
      </c>
      <c r="W2" s="68" t="s">
        <v>413</v>
      </c>
      <c r="X2" s="69" t="s">
        <v>414</v>
      </c>
    </row>
    <row r="3" spans="1:24" ht="19">
      <c r="A3" s="70" t="s">
        <v>110</v>
      </c>
      <c r="B3" s="71"/>
      <c r="C3" s="72">
        <f>Table4100161159112115120192931175117[[#This Row],[1990]]-Table4100161159112115120192931175117[[#This Row],[1986]]</f>
        <v>0</v>
      </c>
      <c r="D3" s="71"/>
      <c r="E3" s="72">
        <f>Table4100161159112115120192931175117[[#This Row],[1994]]-Table4100161159112115120192931175117[[#This Row],[1990]]</f>
        <v>0</v>
      </c>
      <c r="F3" s="71"/>
      <c r="G3" s="72">
        <f>Table4100161159112115120192931175117[[#This Row],[1998]]-Table4100161159112115120192931175117[[#This Row],[1994]]</f>
        <v>0</v>
      </c>
      <c r="H3" s="71"/>
      <c r="I3" s="72">
        <f>Table4100161159112115120192931175117[[#This Row],[2002]]-Table4100161159112115120192931175117[[#This Row],[1998]]</f>
        <v>0</v>
      </c>
      <c r="J3" s="71"/>
      <c r="K3" s="72">
        <f>Table4100161159112115120192931175117[[#This Row],[2006]]-Table4100161159112115120192931175117[[#This Row],[2002]]</f>
        <v>0</v>
      </c>
      <c r="L3" s="71"/>
      <c r="M3" s="72">
        <f>Table4100161159112115120192931175117[[#This Row],[2010]]-Table4100161159112115120192931175117[[#This Row],[2006]]</f>
        <v>0</v>
      </c>
      <c r="N3" s="71"/>
      <c r="O3" s="72">
        <f>Table4100161159112115120192931175117[[#This Row],[2014]]-Table4100161159112115120192931175117[[#This Row],[2010]]</f>
        <v>0</v>
      </c>
      <c r="P3" s="71"/>
      <c r="Q3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0</v>
      </c>
      <c r="R3" s="74">
        <v>8</v>
      </c>
      <c r="T3" s="9">
        <f>R9*8</f>
        <v>456</v>
      </c>
      <c r="U3" s="9">
        <f>R19*8</f>
        <v>1208</v>
      </c>
      <c r="V3" s="9">
        <f>R25*8</f>
        <v>392</v>
      </c>
      <c r="W3" s="9">
        <f>R30*8</f>
        <v>1432</v>
      </c>
      <c r="X3" s="9">
        <f>R34*8</f>
        <v>616</v>
      </c>
    </row>
    <row r="4" spans="1:24" ht="19">
      <c r="A4" s="70" t="s">
        <v>106</v>
      </c>
      <c r="B4" s="71"/>
      <c r="C4" s="72">
        <f>Table4100161159112115120192931175117[[#This Row],[1990]]-Table4100161159112115120192931175117[[#This Row],[1986]]</f>
        <v>0</v>
      </c>
      <c r="D4" s="71"/>
      <c r="E4" s="72">
        <f>Table4100161159112115120192931175117[[#This Row],[1994]]-Table4100161159112115120192931175117[[#This Row],[1990]]</f>
        <v>0</v>
      </c>
      <c r="F4" s="71"/>
      <c r="G4" s="72">
        <f>Table4100161159112115120192931175117[[#This Row],[1998]]-Table4100161159112115120192931175117[[#This Row],[1994]]</f>
        <v>0</v>
      </c>
      <c r="H4" s="71"/>
      <c r="I4" s="72">
        <f>Table4100161159112115120192931175117[[#This Row],[2002]]-Table4100161159112115120192931175117[[#This Row],[1998]]</f>
        <v>0</v>
      </c>
      <c r="J4" s="71"/>
      <c r="K4" s="72">
        <f>Table4100161159112115120192931175117[[#This Row],[2006]]-Table4100161159112115120192931175117[[#This Row],[2002]]</f>
        <v>0</v>
      </c>
      <c r="L4" s="71"/>
      <c r="M4" s="72">
        <f>Table4100161159112115120192931175117[[#This Row],[2010]]-Table4100161159112115120192931175117[[#This Row],[2006]]</f>
        <v>0</v>
      </c>
      <c r="N4" s="71"/>
      <c r="O4" s="72">
        <f>Table4100161159112115120192931175117[[#This Row],[2014]]-Table4100161159112115120192931175117[[#This Row],[2010]]</f>
        <v>1</v>
      </c>
      <c r="P4" s="71">
        <v>1</v>
      </c>
      <c r="Q4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1</v>
      </c>
      <c r="R4" s="75">
        <v>8</v>
      </c>
      <c r="T4" s="44">
        <f>(Q9/T3)*100</f>
        <v>1.3157894736842104</v>
      </c>
      <c r="U4" s="44">
        <f>(Q19/U3)*100</f>
        <v>0.91059602649006621</v>
      </c>
      <c r="V4" s="44">
        <f>(Q25/V3)*100</f>
        <v>1.0204081632653061</v>
      </c>
      <c r="W4" s="44">
        <f>(Q30/W3)*100</f>
        <v>0.83798882681564246</v>
      </c>
      <c r="X4" s="76">
        <f>(Q34/X3)*100</f>
        <v>0.81168831168831157</v>
      </c>
    </row>
    <row r="5" spans="1:24" ht="19">
      <c r="A5" s="70" t="s">
        <v>104</v>
      </c>
      <c r="B5" s="71"/>
      <c r="C5" s="72">
        <f>Table4100161159112115120192931175117[[#This Row],[1990]]-Table4100161159112115120192931175117[[#This Row],[1986]]</f>
        <v>0</v>
      </c>
      <c r="D5" s="71"/>
      <c r="E5" s="72">
        <f>Table4100161159112115120192931175117[[#This Row],[1994]]-Table4100161159112115120192931175117[[#This Row],[1990]]</f>
        <v>0</v>
      </c>
      <c r="F5" s="71"/>
      <c r="G5" s="72">
        <f>Table4100161159112115120192931175117[[#This Row],[1998]]-Table4100161159112115120192931175117[[#This Row],[1994]]</f>
        <v>0</v>
      </c>
      <c r="H5" s="71"/>
      <c r="I5" s="72">
        <f>Table4100161159112115120192931175117[[#This Row],[2002]]-Table4100161159112115120192931175117[[#This Row],[1998]]</f>
        <v>0</v>
      </c>
      <c r="J5" s="71"/>
      <c r="K5" s="72">
        <f>Table4100161159112115120192931175117[[#This Row],[2006]]-Table4100161159112115120192931175117[[#This Row],[2002]]</f>
        <v>0</v>
      </c>
      <c r="L5" s="71"/>
      <c r="M5" s="72">
        <f>Table4100161159112115120192931175117[[#This Row],[2010]]-Table4100161159112115120192931175117[[#This Row],[2006]]</f>
        <v>0</v>
      </c>
      <c r="N5" s="71"/>
      <c r="O5" s="72">
        <f>Table4100161159112115120192931175117[[#This Row],[2014]]-Table4100161159112115120192931175117[[#This Row],[2010]]</f>
        <v>1</v>
      </c>
      <c r="P5" s="71">
        <v>1</v>
      </c>
      <c r="Q5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1</v>
      </c>
      <c r="R5" s="75">
        <v>8</v>
      </c>
    </row>
    <row r="6" spans="1:24" ht="19">
      <c r="A6" s="70" t="s">
        <v>73</v>
      </c>
      <c r="B6" s="71"/>
      <c r="C6" s="72">
        <f>Table4100161159112115120192931175117[[#This Row],[1990]]-Table4100161159112115120192931175117[[#This Row],[1986]]</f>
        <v>0</v>
      </c>
      <c r="D6" s="71"/>
      <c r="E6" s="72">
        <f>Table4100161159112115120192931175117[[#This Row],[1994]]-Table4100161159112115120192931175117[[#This Row],[1990]]</f>
        <v>0</v>
      </c>
      <c r="F6" s="71"/>
      <c r="G6" s="72">
        <f>Table4100161159112115120192931175117[[#This Row],[1998]]-Table4100161159112115120192931175117[[#This Row],[1994]]</f>
        <v>0</v>
      </c>
      <c r="H6" s="71"/>
      <c r="I6" s="72">
        <f>Table4100161159112115120192931175117[[#This Row],[2002]]-Table4100161159112115120192931175117[[#This Row],[1998]]</f>
        <v>0</v>
      </c>
      <c r="J6" s="71"/>
      <c r="K6" s="72">
        <f>Table4100161159112115120192931175117[[#This Row],[2006]]-Table4100161159112115120192931175117[[#This Row],[2002]]</f>
        <v>0</v>
      </c>
      <c r="L6" s="71"/>
      <c r="M6" s="72">
        <f>Table4100161159112115120192931175117[[#This Row],[2010]]-Table4100161159112115120192931175117[[#This Row],[2006]]</f>
        <v>0</v>
      </c>
      <c r="N6" s="71"/>
      <c r="O6" s="72">
        <f>Table4100161159112115120192931175117[[#This Row],[2014]]-Table4100161159112115120192931175117[[#This Row],[2010]]</f>
        <v>3</v>
      </c>
      <c r="P6" s="71">
        <v>3</v>
      </c>
      <c r="Q6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3</v>
      </c>
      <c r="R6" s="75">
        <v>17</v>
      </c>
      <c r="T6" s="178" t="s">
        <v>415</v>
      </c>
      <c r="U6" s="178"/>
      <c r="V6" s="178"/>
      <c r="W6" s="178"/>
      <c r="X6" s="178"/>
    </row>
    <row r="7" spans="1:24" ht="19">
      <c r="A7" s="70" t="s">
        <v>67</v>
      </c>
      <c r="B7" s="77"/>
      <c r="C7" s="72">
        <f>Table4100161159112115120192931175117[[#This Row],[1990]]-Table4100161159112115120192931175117[[#This Row],[1986]]</f>
        <v>0</v>
      </c>
      <c r="D7" s="77"/>
      <c r="E7" s="72">
        <f>Table4100161159112115120192931175117[[#This Row],[1994]]-Table4100161159112115120192931175117[[#This Row],[1990]]</f>
        <v>0</v>
      </c>
      <c r="F7" s="77"/>
      <c r="G7" s="72">
        <f>Table4100161159112115120192931175117[[#This Row],[1998]]-Table4100161159112115120192931175117[[#This Row],[1994]]</f>
        <v>0</v>
      </c>
      <c r="H7" s="77"/>
      <c r="I7" s="72">
        <f>Table4100161159112115120192931175117[[#This Row],[2002]]-Table4100161159112115120192931175117[[#This Row],[1998]]</f>
        <v>0</v>
      </c>
      <c r="J7" s="77"/>
      <c r="K7" s="72">
        <f>Table4100161159112115120192931175117[[#This Row],[2006]]-Table4100161159112115120192931175117[[#This Row],[2002]]</f>
        <v>0</v>
      </c>
      <c r="L7" s="77"/>
      <c r="M7" s="72">
        <f>Table4100161159112115120192931175117[[#This Row],[2010]]-Table4100161159112115120192931175117[[#This Row],[2006]]</f>
        <v>0</v>
      </c>
      <c r="N7" s="77"/>
      <c r="O7" s="72">
        <f>Table4100161159112115120192931175117[[#This Row],[2014]]-Table4100161159112115120192931175117[[#This Row],[2010]]</f>
        <v>1</v>
      </c>
      <c r="P7" s="77">
        <v>1</v>
      </c>
      <c r="Q7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1</v>
      </c>
      <c r="R7" s="75">
        <v>8</v>
      </c>
      <c r="T7" s="65" t="s">
        <v>410</v>
      </c>
      <c r="U7" s="66" t="s">
        <v>411</v>
      </c>
      <c r="V7" s="67" t="s">
        <v>412</v>
      </c>
      <c r="W7" s="68" t="s">
        <v>413</v>
      </c>
      <c r="X7" s="69" t="s">
        <v>414</v>
      </c>
    </row>
    <row r="8" spans="1:24" ht="19">
      <c r="A8" s="70" t="s">
        <v>65</v>
      </c>
      <c r="B8" s="71"/>
      <c r="C8" s="72">
        <f>Table4100161159112115120192931175117[[#This Row],[1990]]-Table4100161159112115120192931175117[[#This Row],[1986]]</f>
        <v>0</v>
      </c>
      <c r="D8" s="71"/>
      <c r="E8" s="72">
        <f>Table4100161159112115120192931175117[[#This Row],[1994]]-Table4100161159112115120192931175117[[#This Row],[1990]]</f>
        <v>0</v>
      </c>
      <c r="F8" s="71"/>
      <c r="G8" s="72">
        <f>Table4100161159112115120192931175117[[#This Row],[1998]]-Table4100161159112115120192931175117[[#This Row],[1994]]</f>
        <v>0</v>
      </c>
      <c r="H8" s="71"/>
      <c r="I8" s="72">
        <f>Table4100161159112115120192931175117[[#This Row],[2002]]-Table4100161159112115120192931175117[[#This Row],[1998]]</f>
        <v>0</v>
      </c>
      <c r="J8" s="71"/>
      <c r="K8" s="72">
        <f>Table4100161159112115120192931175117[[#This Row],[2006]]-Table4100161159112115120192931175117[[#This Row],[2002]]</f>
        <v>0</v>
      </c>
      <c r="L8" s="71"/>
      <c r="M8" s="72">
        <f>Table4100161159112115120192931175117[[#This Row],[2010]]-Table4100161159112115120192931175117[[#This Row],[2006]]</f>
        <v>0</v>
      </c>
      <c r="N8" s="71"/>
      <c r="O8" s="72">
        <f>Table4100161159112115120192931175117[[#This Row],[2014]]-Table4100161159112115120192931175117[[#This Row],[2010]]</f>
        <v>0</v>
      </c>
      <c r="P8" s="71"/>
      <c r="Q8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0</v>
      </c>
      <c r="R8" s="75">
        <v>8</v>
      </c>
      <c r="T8" s="9">
        <f>R9</f>
        <v>57</v>
      </c>
      <c r="U8" s="9">
        <f>R19</f>
        <v>151</v>
      </c>
      <c r="V8" s="9">
        <f>R25</f>
        <v>49</v>
      </c>
      <c r="W8" s="9">
        <f>R30</f>
        <v>179</v>
      </c>
      <c r="X8" s="9">
        <f>R34</f>
        <v>77</v>
      </c>
    </row>
    <row r="9" spans="1:24" ht="19">
      <c r="A9" s="78" t="s">
        <v>410</v>
      </c>
      <c r="B9" s="79">
        <f>SUM(B3:B8)</f>
        <v>0</v>
      </c>
      <c r="C9" s="79">
        <f>Table4100161159112115120192931175117[[#This Row],[1990]]-Table4100161159112115120192931175117[[#This Row],[1986]]</f>
        <v>0</v>
      </c>
      <c r="D9" s="79">
        <f>SUM(D3:D8)</f>
        <v>0</v>
      </c>
      <c r="E9" s="80">
        <f>Table4100161159112115120192931175117[[#This Row],[1994]]-Table4100161159112115120192931175117[[#This Row],[1990]]</f>
        <v>0</v>
      </c>
      <c r="F9" s="79">
        <f>SUM(F3:F8)</f>
        <v>0</v>
      </c>
      <c r="G9" s="80">
        <f>Table4100161159112115120192931175117[[#This Row],[1998]]-Table4100161159112115120192931175117[[#This Row],[1994]]</f>
        <v>0</v>
      </c>
      <c r="H9" s="79">
        <f>SUM(H3:H8)</f>
        <v>0</v>
      </c>
      <c r="I9" s="80">
        <f>Table4100161159112115120192931175117[[#This Row],[2002]]-Table4100161159112115120192931175117[[#This Row],[1998]]</f>
        <v>0</v>
      </c>
      <c r="J9" s="79">
        <f>SUM(J3:J8)</f>
        <v>0</v>
      </c>
      <c r="K9" s="80">
        <f>Table4100161159112115120192931175117[[#This Row],[2006]]-Table4100161159112115120192931175117[[#This Row],[2002]]</f>
        <v>0</v>
      </c>
      <c r="L9" s="79">
        <f>SUM(L3:L8)</f>
        <v>0</v>
      </c>
      <c r="M9" s="80">
        <f>Table4100161159112115120192931175117[[#This Row],[2010]]-Table4100161159112115120192931175117[[#This Row],[2006]]</f>
        <v>0</v>
      </c>
      <c r="N9" s="79">
        <f>SUM(N3:N8)</f>
        <v>0</v>
      </c>
      <c r="O9" s="80">
        <f>Table4100161159112115120192931175117[[#This Row],[2014]]-Table4100161159112115120192931175117[[#This Row],[2010]]</f>
        <v>6</v>
      </c>
      <c r="P9" s="79">
        <f>SUM(P3:P8)</f>
        <v>6</v>
      </c>
      <c r="Q9" s="81">
        <f>SUM(Q3:Q8)</f>
        <v>6</v>
      </c>
      <c r="R9" s="82">
        <v>57</v>
      </c>
      <c r="T9" s="44">
        <f>(Table4100161159112115120192931175117[[#This Row],[2014]]/T8)*100</f>
        <v>10.526315789473683</v>
      </c>
      <c r="U9" s="44">
        <f>(P19/U8)*100</f>
        <v>7.2847682119205297</v>
      </c>
      <c r="V9" s="44">
        <f>(P25/V8)*100</f>
        <v>8.1632653061224492</v>
      </c>
      <c r="W9" s="44">
        <f>(P30/W8)*100</f>
        <v>6.7039106145251397</v>
      </c>
      <c r="X9" s="44">
        <f>(P34/X8)*100</f>
        <v>6.4935064935064926</v>
      </c>
    </row>
    <row r="10" spans="1:24" ht="19">
      <c r="A10" s="70" t="s">
        <v>108</v>
      </c>
      <c r="B10" s="71"/>
      <c r="C10" s="72">
        <f>Table4100161159112115120192931175117[[#This Row],[1990]]-Table4100161159112115120192931175117[[#This Row],[1986]]</f>
        <v>0</v>
      </c>
      <c r="D10" s="71"/>
      <c r="E10" s="72">
        <f>Table4100161159112115120192931175117[[#This Row],[1994]]-Table4100161159112115120192931175117[[#This Row],[1990]]</f>
        <v>0</v>
      </c>
      <c r="F10" s="71"/>
      <c r="G10" s="72">
        <f>Table4100161159112115120192931175117[[#This Row],[1998]]-Table4100161159112115120192931175117[[#This Row],[1994]]</f>
        <v>0</v>
      </c>
      <c r="H10" s="71"/>
      <c r="I10" s="72">
        <f>Table4100161159112115120192931175117[[#This Row],[2002]]-Table4100161159112115120192931175117[[#This Row],[1998]]</f>
        <v>0</v>
      </c>
      <c r="J10" s="71"/>
      <c r="K10" s="72">
        <f>Table4100161159112115120192931175117[[#This Row],[2006]]-Table4100161159112115120192931175117[[#This Row],[2002]]</f>
        <v>0</v>
      </c>
      <c r="L10" s="71"/>
      <c r="M10" s="72">
        <f>Table4100161159112115120192931175117[[#This Row],[2010]]-Table4100161159112115120192931175117[[#This Row],[2006]]</f>
        <v>0</v>
      </c>
      <c r="N10" s="71"/>
      <c r="O10" s="72">
        <f>Table4100161159112115120192931175117[[#This Row],[2014]]-Table4100161159112115120192931175117[[#This Row],[2010]]</f>
        <v>0</v>
      </c>
      <c r="P10" s="71"/>
      <c r="Q10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0</v>
      </c>
      <c r="R10" s="75">
        <v>9</v>
      </c>
    </row>
    <row r="11" spans="1:24" ht="19">
      <c r="A11" s="70" t="s">
        <v>101</v>
      </c>
      <c r="B11" s="71"/>
      <c r="C11" s="72">
        <f>Table4100161159112115120192931175117[[#This Row],[1990]]-Table4100161159112115120192931175117[[#This Row],[1986]]</f>
        <v>0</v>
      </c>
      <c r="D11" s="71"/>
      <c r="E11" s="72">
        <f>Table4100161159112115120192931175117[[#This Row],[1994]]-Table4100161159112115120192931175117[[#This Row],[1990]]</f>
        <v>0</v>
      </c>
      <c r="F11" s="71"/>
      <c r="G11" s="72">
        <f>Table4100161159112115120192931175117[[#This Row],[1998]]-Table4100161159112115120192931175117[[#This Row],[1994]]</f>
        <v>0</v>
      </c>
      <c r="H11" s="71"/>
      <c r="I11" s="72">
        <f>Table4100161159112115120192931175117[[#This Row],[2002]]-Table4100161159112115120192931175117[[#This Row],[1998]]</f>
        <v>0</v>
      </c>
      <c r="J11" s="71"/>
      <c r="K11" s="72">
        <f>Table4100161159112115120192931175117[[#This Row],[2006]]-Table4100161159112115120192931175117[[#This Row],[2002]]</f>
        <v>0</v>
      </c>
      <c r="L11" s="71"/>
      <c r="M11" s="72">
        <f>Table4100161159112115120192931175117[[#This Row],[2010]]-Table4100161159112115120192931175117[[#This Row],[2006]]</f>
        <v>0</v>
      </c>
      <c r="N11" s="71"/>
      <c r="O11" s="72">
        <f>Table4100161159112115120192931175117[[#This Row],[2014]]-Table4100161159112115120192931175117[[#This Row],[2010]]</f>
        <v>6</v>
      </c>
      <c r="P11" s="71">
        <v>6</v>
      </c>
      <c r="Q11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6</v>
      </c>
      <c r="R11" s="75">
        <v>39</v>
      </c>
      <c r="T11" s="178" t="s">
        <v>416</v>
      </c>
      <c r="U11" s="178"/>
      <c r="V11" s="178"/>
      <c r="W11" s="178"/>
      <c r="X11" s="178"/>
    </row>
    <row r="12" spans="1:24" ht="19">
      <c r="A12" s="70" t="s">
        <v>99</v>
      </c>
      <c r="B12" s="71"/>
      <c r="C12" s="72">
        <f>Table4100161159112115120192931175117[[#This Row],[1990]]-Table4100161159112115120192931175117[[#This Row],[1986]]</f>
        <v>0</v>
      </c>
      <c r="D12" s="71"/>
      <c r="E12" s="72">
        <f>Table4100161159112115120192931175117[[#This Row],[1994]]-Table4100161159112115120192931175117[[#This Row],[1990]]</f>
        <v>0</v>
      </c>
      <c r="F12" s="71"/>
      <c r="G12" s="72">
        <f>Table4100161159112115120192931175117[[#This Row],[1998]]-Table4100161159112115120192931175117[[#This Row],[1994]]</f>
        <v>0</v>
      </c>
      <c r="H12" s="71"/>
      <c r="I12" s="72">
        <f>Table4100161159112115120192931175117[[#This Row],[2002]]-Table4100161159112115120192931175117[[#This Row],[1998]]</f>
        <v>0</v>
      </c>
      <c r="J12" s="71"/>
      <c r="K12" s="72">
        <f>Table4100161159112115120192931175117[[#This Row],[2006]]-Table4100161159112115120192931175117[[#This Row],[2002]]</f>
        <v>0</v>
      </c>
      <c r="L12" s="71"/>
      <c r="M12" s="72">
        <f>Table4100161159112115120192931175117[[#This Row],[2010]]-Table4100161159112115120192931175117[[#This Row],[2006]]</f>
        <v>0</v>
      </c>
      <c r="N12" s="71"/>
      <c r="O12" s="72">
        <f>Table4100161159112115120192931175117[[#This Row],[2014]]-Table4100161159112115120192931175117[[#This Row],[2010]]</f>
        <v>0</v>
      </c>
      <c r="P12" s="71"/>
      <c r="Q12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0</v>
      </c>
      <c r="R12" s="75">
        <v>22</v>
      </c>
      <c r="T12" s="65" t="s">
        <v>410</v>
      </c>
      <c r="U12" s="66" t="s">
        <v>411</v>
      </c>
      <c r="V12" s="67" t="s">
        <v>412</v>
      </c>
      <c r="W12" s="68" t="s">
        <v>413</v>
      </c>
      <c r="X12" s="69" t="s">
        <v>414</v>
      </c>
    </row>
    <row r="13" spans="1:24" ht="19">
      <c r="A13" s="70" t="s">
        <v>90</v>
      </c>
      <c r="B13" s="71"/>
      <c r="C13" s="72">
        <f>Table4100161159112115120192931175117[[#This Row],[1990]]-Table4100161159112115120192931175117[[#This Row],[1986]]</f>
        <v>0</v>
      </c>
      <c r="D13" s="71"/>
      <c r="E13" s="72">
        <f>Table4100161159112115120192931175117[[#This Row],[1994]]-Table4100161159112115120192931175117[[#This Row],[1990]]</f>
        <v>0</v>
      </c>
      <c r="F13" s="71"/>
      <c r="G13" s="72">
        <f>Table4100161159112115120192931175117[[#This Row],[1998]]-Table4100161159112115120192931175117[[#This Row],[1994]]</f>
        <v>0</v>
      </c>
      <c r="H13" s="71"/>
      <c r="I13" s="72">
        <f>Table4100161159112115120192931175117[[#This Row],[2002]]-Table4100161159112115120192931175117[[#This Row],[1998]]</f>
        <v>0</v>
      </c>
      <c r="J13" s="71"/>
      <c r="K13" s="72">
        <f>Table4100161159112115120192931175117[[#This Row],[2006]]-Table4100161159112115120192931175117[[#This Row],[2002]]</f>
        <v>0</v>
      </c>
      <c r="L13" s="71"/>
      <c r="M13" s="72">
        <f>Table4100161159112115120192931175117[[#This Row],[2010]]-Table4100161159112115120192931175117[[#This Row],[2006]]</f>
        <v>0</v>
      </c>
      <c r="N13" s="71"/>
      <c r="O13" s="72">
        <f>Table4100161159112115120192931175117[[#This Row],[2014]]-Table4100161159112115120192931175117[[#This Row],[2010]]</f>
        <v>1</v>
      </c>
      <c r="P13" s="71">
        <v>1</v>
      </c>
      <c r="Q13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1</v>
      </c>
      <c r="R13" s="75">
        <v>18</v>
      </c>
      <c r="T13" s="9">
        <f>R9</f>
        <v>57</v>
      </c>
      <c r="U13" s="9">
        <f>R19</f>
        <v>151</v>
      </c>
      <c r="V13" s="9">
        <f>R25</f>
        <v>49</v>
      </c>
      <c r="W13" s="9">
        <f>R30</f>
        <v>179</v>
      </c>
      <c r="X13" s="9">
        <f>R34</f>
        <v>77</v>
      </c>
    </row>
    <row r="14" spans="1:24" ht="19">
      <c r="A14" s="70" t="s">
        <v>79</v>
      </c>
      <c r="B14" s="71"/>
      <c r="C14" s="72">
        <f>Table4100161159112115120192931175117[[#This Row],[1990]]-Table4100161159112115120192931175117[[#This Row],[1986]]</f>
        <v>0</v>
      </c>
      <c r="D14" s="71"/>
      <c r="E14" s="72">
        <f>Table4100161159112115120192931175117[[#This Row],[1994]]-Table4100161159112115120192931175117[[#This Row],[1990]]</f>
        <v>0</v>
      </c>
      <c r="F14" s="71"/>
      <c r="G14" s="72">
        <f>Table4100161159112115120192931175117[[#This Row],[1998]]-Table4100161159112115120192931175117[[#This Row],[1994]]</f>
        <v>0</v>
      </c>
      <c r="H14" s="71"/>
      <c r="I14" s="72">
        <f>Table4100161159112115120192931175117[[#This Row],[2002]]-Table4100161159112115120192931175117[[#This Row],[1998]]</f>
        <v>0</v>
      </c>
      <c r="J14" s="71"/>
      <c r="K14" s="72">
        <f>Table4100161159112115120192931175117[[#This Row],[2006]]-Table4100161159112115120192931175117[[#This Row],[2002]]</f>
        <v>0</v>
      </c>
      <c r="L14" s="71"/>
      <c r="M14" s="72">
        <f>Table4100161159112115120192931175117[[#This Row],[2010]]-Table4100161159112115120192931175117[[#This Row],[2006]]</f>
        <v>0</v>
      </c>
      <c r="N14" s="71"/>
      <c r="O14" s="72">
        <f>Table4100161159112115120192931175117[[#This Row],[2014]]-Table4100161159112115120192931175117[[#This Row],[2010]]</f>
        <v>1</v>
      </c>
      <c r="P14" s="71">
        <v>1</v>
      </c>
      <c r="Q14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1</v>
      </c>
      <c r="R14" s="75">
        <v>12</v>
      </c>
      <c r="T14" s="44">
        <f>(N9/T13)*100</f>
        <v>0</v>
      </c>
      <c r="U14" s="44">
        <f>(N19/U13)*100</f>
        <v>0</v>
      </c>
      <c r="V14" s="44">
        <f>(N25/V13)*100</f>
        <v>0</v>
      </c>
      <c r="W14" s="44">
        <f>(N30/W13)*100</f>
        <v>0</v>
      </c>
      <c r="X14" s="44">
        <f>(N34/X13)*100</f>
        <v>0</v>
      </c>
    </row>
    <row r="15" spans="1:24" ht="19">
      <c r="A15" s="70" t="s">
        <v>77</v>
      </c>
      <c r="B15" s="71"/>
      <c r="C15" s="72">
        <f>Table4100161159112115120192931175117[[#This Row],[1990]]-Table4100161159112115120192931175117[[#This Row],[1986]]</f>
        <v>0</v>
      </c>
      <c r="D15" s="71"/>
      <c r="E15" s="72">
        <f>Table4100161159112115120192931175117[[#This Row],[1994]]-Table4100161159112115120192931175117[[#This Row],[1990]]</f>
        <v>0</v>
      </c>
      <c r="F15" s="71"/>
      <c r="G15" s="72">
        <f>Table4100161159112115120192931175117[[#This Row],[1998]]-Table4100161159112115120192931175117[[#This Row],[1994]]</f>
        <v>0</v>
      </c>
      <c r="H15" s="71"/>
      <c r="I15" s="72">
        <f>Table4100161159112115120192931175117[[#This Row],[2002]]-Table4100161159112115120192931175117[[#This Row],[1998]]</f>
        <v>0</v>
      </c>
      <c r="J15" s="71"/>
      <c r="K15" s="72">
        <f>Table4100161159112115120192931175117[[#This Row],[2006]]-Table4100161159112115120192931175117[[#This Row],[2002]]</f>
        <v>0</v>
      </c>
      <c r="L15" s="71"/>
      <c r="M15" s="72">
        <f>Table4100161159112115120192931175117[[#This Row],[2010]]-Table4100161159112115120192931175117[[#This Row],[2006]]</f>
        <v>0</v>
      </c>
      <c r="N15" s="71"/>
      <c r="O15" s="72">
        <f>Table4100161159112115120192931175117[[#This Row],[2014]]-Table4100161159112115120192931175117[[#This Row],[2010]]</f>
        <v>1</v>
      </c>
      <c r="P15" s="71">
        <v>1</v>
      </c>
      <c r="Q15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1</v>
      </c>
      <c r="R15" s="75">
        <v>25</v>
      </c>
    </row>
    <row r="16" spans="1:24" ht="19">
      <c r="A16" s="70" t="s">
        <v>75</v>
      </c>
      <c r="B16" s="72"/>
      <c r="C16" s="72">
        <f>Table4100161159112115120192931175117[[#This Row],[1990]]-Table4100161159112115120192931175117[[#This Row],[1986]]</f>
        <v>0</v>
      </c>
      <c r="D16" s="72"/>
      <c r="E16" s="72">
        <f>Table4100161159112115120192931175117[[#This Row],[1994]]-Table4100161159112115120192931175117[[#This Row],[1990]]</f>
        <v>0</v>
      </c>
      <c r="F16" s="72"/>
      <c r="G16" s="72">
        <f>Table4100161159112115120192931175117[[#This Row],[1998]]-Table4100161159112115120192931175117[[#This Row],[1994]]</f>
        <v>0</v>
      </c>
      <c r="H16" s="72"/>
      <c r="I16" s="72">
        <f>Table4100161159112115120192931175117[[#This Row],[2002]]-Table4100161159112115120192931175117[[#This Row],[1998]]</f>
        <v>0</v>
      </c>
      <c r="J16" s="72"/>
      <c r="K16" s="72">
        <f>Table4100161159112115120192931175117[[#This Row],[2006]]-Table4100161159112115120192931175117[[#This Row],[2002]]</f>
        <v>0</v>
      </c>
      <c r="L16" s="72"/>
      <c r="M16" s="72">
        <f>Table4100161159112115120192931175117[[#This Row],[2010]]-Table4100161159112115120192931175117[[#This Row],[2006]]</f>
        <v>0</v>
      </c>
      <c r="N16" s="72"/>
      <c r="O16" s="72">
        <f>Table4100161159112115120192931175117[[#This Row],[2014]]-Table4100161159112115120192931175117[[#This Row],[2010]]</f>
        <v>1</v>
      </c>
      <c r="P16" s="72">
        <v>1</v>
      </c>
      <c r="Q16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1</v>
      </c>
      <c r="R16" s="75">
        <v>10</v>
      </c>
      <c r="T16" s="178" t="s">
        <v>417</v>
      </c>
      <c r="U16" s="178"/>
      <c r="V16" s="178"/>
      <c r="W16" s="178"/>
      <c r="X16" s="178"/>
    </row>
    <row r="17" spans="1:24" ht="19">
      <c r="A17" s="70" t="s">
        <v>69</v>
      </c>
      <c r="B17" s="71"/>
      <c r="C17" s="72">
        <f>Table4100161159112115120192931175117[[#This Row],[1990]]-Table4100161159112115120192931175117[[#This Row],[1986]]</f>
        <v>0</v>
      </c>
      <c r="D17" s="71"/>
      <c r="E17" s="72">
        <f>Table4100161159112115120192931175117[[#This Row],[1994]]-Table4100161159112115120192931175117[[#This Row],[1990]]</f>
        <v>0</v>
      </c>
      <c r="F17" s="71"/>
      <c r="G17" s="72">
        <f>Table4100161159112115120192931175117[[#This Row],[1998]]-Table4100161159112115120192931175117[[#This Row],[1994]]</f>
        <v>0</v>
      </c>
      <c r="H17" s="71"/>
      <c r="I17" s="72">
        <f>Table4100161159112115120192931175117[[#This Row],[2002]]-Table4100161159112115120192931175117[[#This Row],[1998]]</f>
        <v>0</v>
      </c>
      <c r="J17" s="71"/>
      <c r="K17" s="72">
        <f>Table4100161159112115120192931175117[[#This Row],[2006]]-Table4100161159112115120192931175117[[#This Row],[2002]]</f>
        <v>0</v>
      </c>
      <c r="L17" s="71"/>
      <c r="M17" s="72">
        <f>Table4100161159112115120192931175117[[#This Row],[2010]]-Table4100161159112115120192931175117[[#This Row],[2006]]</f>
        <v>0</v>
      </c>
      <c r="N17" s="71"/>
      <c r="O17" s="72">
        <f>Table4100161159112115120192931175117[[#This Row],[2014]]-Table4100161159112115120192931175117[[#This Row],[2010]]</f>
        <v>0</v>
      </c>
      <c r="P17" s="71"/>
      <c r="Q17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0</v>
      </c>
      <c r="R17" s="75">
        <v>8</v>
      </c>
      <c r="T17" s="65" t="s">
        <v>410</v>
      </c>
      <c r="U17" s="66" t="s">
        <v>411</v>
      </c>
      <c r="V17" s="67" t="s">
        <v>412</v>
      </c>
      <c r="W17" s="68" t="s">
        <v>413</v>
      </c>
      <c r="X17" s="69" t="s">
        <v>414</v>
      </c>
    </row>
    <row r="18" spans="1:24" ht="19">
      <c r="A18" s="70" t="s">
        <v>56</v>
      </c>
      <c r="B18" s="71"/>
      <c r="C18" s="72">
        <f>Table4100161159112115120192931175117[[#This Row],[1990]]-Table4100161159112115120192931175117[[#This Row],[1986]]</f>
        <v>0</v>
      </c>
      <c r="D18" s="71"/>
      <c r="E18" s="72">
        <f>Table4100161159112115120192931175117[[#This Row],[1994]]-Table4100161159112115120192931175117[[#This Row],[1990]]</f>
        <v>0</v>
      </c>
      <c r="F18" s="71"/>
      <c r="G18" s="72">
        <f>Table4100161159112115120192931175117[[#This Row],[1998]]-Table4100161159112115120192931175117[[#This Row],[1994]]</f>
        <v>0</v>
      </c>
      <c r="H18" s="71"/>
      <c r="I18" s="72">
        <f>Table4100161159112115120192931175117[[#This Row],[2002]]-Table4100161159112115120192931175117[[#This Row],[1998]]</f>
        <v>0</v>
      </c>
      <c r="J18" s="71"/>
      <c r="K18" s="72">
        <f>Table4100161159112115120192931175117[[#This Row],[2006]]-Table4100161159112115120192931175117[[#This Row],[2002]]</f>
        <v>0</v>
      </c>
      <c r="L18" s="71"/>
      <c r="M18" s="72">
        <f>Table4100161159112115120192931175117[[#This Row],[2010]]-Table4100161159112115120192931175117[[#This Row],[2006]]</f>
        <v>0</v>
      </c>
      <c r="N18" s="71"/>
      <c r="O18" s="72">
        <f>Table4100161159112115120192931175117[[#This Row],[2014]]-Table4100161159112115120192931175117[[#This Row],[2010]]</f>
        <v>1</v>
      </c>
      <c r="P18" s="71">
        <v>1</v>
      </c>
      <c r="Q18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1</v>
      </c>
      <c r="R18" s="75">
        <v>8</v>
      </c>
      <c r="T18" s="9">
        <f>R9</f>
        <v>57</v>
      </c>
      <c r="U18" s="9">
        <f>R19</f>
        <v>151</v>
      </c>
      <c r="V18" s="9">
        <f>R25</f>
        <v>49</v>
      </c>
      <c r="W18" s="9">
        <f>R30</f>
        <v>179</v>
      </c>
      <c r="X18" s="9">
        <f>R34</f>
        <v>77</v>
      </c>
    </row>
    <row r="19" spans="1:24" ht="19">
      <c r="A19" s="83" t="s">
        <v>411</v>
      </c>
      <c r="B19" s="84">
        <f>SUM(B10:B18)</f>
        <v>0</v>
      </c>
      <c r="C19" s="84">
        <f>Table4100161159112115120192931175117[[#This Row],[1990]]-Table4100161159112115120192931175117[[#This Row],[1986]]</f>
        <v>0</v>
      </c>
      <c r="D19" s="84">
        <f>SUM(D10:D18)</f>
        <v>0</v>
      </c>
      <c r="E19" s="80">
        <f>Table4100161159112115120192931175117[[#This Row],[1994]]-Table4100161159112115120192931175117[[#This Row],[1990]]</f>
        <v>0</v>
      </c>
      <c r="F19" s="84">
        <f>SUM(F10:F18)</f>
        <v>0</v>
      </c>
      <c r="G19" s="80">
        <f>Table4100161159112115120192931175117[[#This Row],[1998]]-Table4100161159112115120192931175117[[#This Row],[1994]]</f>
        <v>0</v>
      </c>
      <c r="H19" s="84">
        <f>SUM(H10:H18)</f>
        <v>0</v>
      </c>
      <c r="I19" s="80">
        <f>Table4100161159112115120192931175117[[#This Row],[2002]]-Table4100161159112115120192931175117[[#This Row],[1998]]</f>
        <v>0</v>
      </c>
      <c r="J19" s="84">
        <f>SUM(J10:J18)</f>
        <v>0</v>
      </c>
      <c r="K19" s="80">
        <f>Table4100161159112115120192931175117[[#This Row],[2006]]-Table4100161159112115120192931175117[[#This Row],[2002]]</f>
        <v>0</v>
      </c>
      <c r="L19" s="84">
        <f>SUM(L10:L18)</f>
        <v>0</v>
      </c>
      <c r="M19" s="80">
        <f>Table4100161159112115120192931175117[[#This Row],[2010]]-Table4100161159112115120192931175117[[#This Row],[2006]]</f>
        <v>0</v>
      </c>
      <c r="N19" s="84">
        <f>SUM(N10:N18)</f>
        <v>0</v>
      </c>
      <c r="O19" s="80">
        <f>Table4100161159112115120192931175117[[#This Row],[2014]]-Table4100161159112115120192931175117[[#This Row],[2010]]</f>
        <v>11</v>
      </c>
      <c r="P19" s="84">
        <f>SUM(P10:P18)</f>
        <v>11</v>
      </c>
      <c r="Q19" s="85">
        <f>SUM(Q10:Q18)</f>
        <v>11</v>
      </c>
      <c r="R19" s="43">
        <v>151</v>
      </c>
      <c r="T19" s="44">
        <f>(L9/T18)*100</f>
        <v>0</v>
      </c>
      <c r="U19" s="44">
        <f>(L19/U18)*100</f>
        <v>0</v>
      </c>
      <c r="V19" s="44">
        <f>(L25/V18)*100</f>
        <v>0</v>
      </c>
      <c r="W19" s="44">
        <f>(L30/W18)*100</f>
        <v>0</v>
      </c>
      <c r="X19" s="44">
        <f>(L34/X18)*100</f>
        <v>0</v>
      </c>
    </row>
    <row r="20" spans="1:24" ht="19">
      <c r="A20" s="70" t="s">
        <v>97</v>
      </c>
      <c r="B20" s="71"/>
      <c r="C20" s="72">
        <f>Table4100161159112115120192931175117[[#This Row],[1990]]-Table4100161159112115120192931175117[[#This Row],[1986]]</f>
        <v>0</v>
      </c>
      <c r="D20" s="71"/>
      <c r="E20" s="72">
        <f>Table4100161159112115120192931175117[[#This Row],[1994]]-Table4100161159112115120192931175117[[#This Row],[1990]]</f>
        <v>0</v>
      </c>
      <c r="F20" s="71"/>
      <c r="G20" s="72">
        <f>Table4100161159112115120192931175117[[#This Row],[1998]]-Table4100161159112115120192931175117[[#This Row],[1994]]</f>
        <v>0</v>
      </c>
      <c r="H20" s="71"/>
      <c r="I20" s="72">
        <f>Table4100161159112115120192931175117[[#This Row],[2002]]-Table4100161159112115120192931175117[[#This Row],[1998]]</f>
        <v>0</v>
      </c>
      <c r="J20" s="71"/>
      <c r="K20" s="72">
        <f>Table4100161159112115120192931175117[[#This Row],[2006]]-Table4100161159112115120192931175117[[#This Row],[2002]]</f>
        <v>0</v>
      </c>
      <c r="L20" s="71"/>
      <c r="M20" s="72">
        <f>Table4100161159112115120192931175117[[#This Row],[2010]]-Table4100161159112115120192931175117[[#This Row],[2006]]</f>
        <v>0</v>
      </c>
      <c r="N20" s="71"/>
      <c r="O20" s="72">
        <f>Table4100161159112115120192931175117[[#This Row],[2014]]-Table4100161159112115120192931175117[[#This Row],[2010]]</f>
        <v>1</v>
      </c>
      <c r="P20" s="71">
        <v>1</v>
      </c>
      <c r="Q20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1</v>
      </c>
      <c r="R20" s="75">
        <v>8</v>
      </c>
    </row>
    <row r="21" spans="1:24" ht="19">
      <c r="A21" s="86" t="s">
        <v>94</v>
      </c>
      <c r="B21" s="87"/>
      <c r="C21" s="72">
        <f>Table4100161159112115120192931175117[[#This Row],[1990]]-Table4100161159112115120192931175117[[#This Row],[1986]]</f>
        <v>0</v>
      </c>
      <c r="D21" s="87"/>
      <c r="E21" s="72">
        <f>Table4100161159112115120192931175117[[#This Row],[1994]]-Table4100161159112115120192931175117[[#This Row],[1990]]</f>
        <v>0</v>
      </c>
      <c r="F21" s="87"/>
      <c r="G21" s="72">
        <f>Table4100161159112115120192931175117[[#This Row],[1998]]-Table4100161159112115120192931175117[[#This Row],[1994]]</f>
        <v>0</v>
      </c>
      <c r="H21" s="87"/>
      <c r="I21" s="72">
        <f>Table4100161159112115120192931175117[[#This Row],[2002]]-Table4100161159112115120192931175117[[#This Row],[1998]]</f>
        <v>0</v>
      </c>
      <c r="J21" s="87"/>
      <c r="K21" s="72">
        <f>Table4100161159112115120192931175117[[#This Row],[2006]]-Table4100161159112115120192931175117[[#This Row],[2002]]</f>
        <v>0</v>
      </c>
      <c r="L21" s="87"/>
      <c r="M21" s="72">
        <f>Table4100161159112115120192931175117[[#This Row],[2010]]-Table4100161159112115120192931175117[[#This Row],[2006]]</f>
        <v>0</v>
      </c>
      <c r="N21" s="87"/>
      <c r="O21" s="72">
        <f>Table4100161159112115120192931175117[[#This Row],[2014]]-Table4100161159112115120192931175117[[#This Row],[2010]]</f>
        <v>2</v>
      </c>
      <c r="P21" s="71">
        <v>2</v>
      </c>
      <c r="Q21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2</v>
      </c>
      <c r="R21" s="75">
        <v>17</v>
      </c>
      <c r="T21" s="178" t="s">
        <v>418</v>
      </c>
      <c r="U21" s="178"/>
      <c r="V21" s="178"/>
      <c r="W21" s="178"/>
      <c r="X21" s="178"/>
    </row>
    <row r="22" spans="1:24" ht="19">
      <c r="A22" s="88" t="s">
        <v>85</v>
      </c>
      <c r="B22" s="87"/>
      <c r="C22" s="72">
        <f>Table4100161159112115120192931175117[[#This Row],[1990]]-Table4100161159112115120192931175117[[#This Row],[1986]]</f>
        <v>0</v>
      </c>
      <c r="D22" s="87"/>
      <c r="E22" s="72">
        <f>Table4100161159112115120192931175117[[#This Row],[1994]]-Table4100161159112115120192931175117[[#This Row],[1990]]</f>
        <v>0</v>
      </c>
      <c r="F22" s="87"/>
      <c r="G22" s="72">
        <f>Table4100161159112115120192931175117[[#This Row],[1998]]-Table4100161159112115120192931175117[[#This Row],[1994]]</f>
        <v>0</v>
      </c>
      <c r="H22" s="87"/>
      <c r="I22" s="72">
        <f>Table4100161159112115120192931175117[[#This Row],[2002]]-Table4100161159112115120192931175117[[#This Row],[1998]]</f>
        <v>0</v>
      </c>
      <c r="J22" s="87"/>
      <c r="K22" s="72">
        <f>Table4100161159112115120192931175117[[#This Row],[2006]]-Table4100161159112115120192931175117[[#This Row],[2002]]</f>
        <v>0</v>
      </c>
      <c r="L22" s="87"/>
      <c r="M22" s="72">
        <f>Table4100161159112115120192931175117[[#This Row],[2010]]-Table4100161159112115120192931175117[[#This Row],[2006]]</f>
        <v>0</v>
      </c>
      <c r="N22" s="87"/>
      <c r="O22" s="72">
        <f>Table4100161159112115120192931175117[[#This Row],[2014]]-Table4100161159112115120192931175117[[#This Row],[2010]]</f>
        <v>0</v>
      </c>
      <c r="P22" s="71"/>
      <c r="Q22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0</v>
      </c>
      <c r="R22" s="75">
        <v>8</v>
      </c>
      <c r="T22" s="65" t="s">
        <v>410</v>
      </c>
      <c r="U22" s="66" t="s">
        <v>411</v>
      </c>
      <c r="V22" s="67" t="s">
        <v>412</v>
      </c>
      <c r="W22" s="68" t="s">
        <v>413</v>
      </c>
      <c r="X22" s="69" t="s">
        <v>414</v>
      </c>
    </row>
    <row r="23" spans="1:24" ht="19">
      <c r="A23" s="88" t="s">
        <v>83</v>
      </c>
      <c r="B23" s="87"/>
      <c r="C23" s="72">
        <f>Table4100161159112115120192931175117[[#This Row],[1990]]-Table4100161159112115120192931175117[[#This Row],[1986]]</f>
        <v>0</v>
      </c>
      <c r="D23" s="87"/>
      <c r="E23" s="72">
        <f>Table4100161159112115120192931175117[[#This Row],[1994]]-Table4100161159112115120192931175117[[#This Row],[1990]]</f>
        <v>0</v>
      </c>
      <c r="F23" s="87"/>
      <c r="G23" s="72">
        <f>Table4100161159112115120192931175117[[#This Row],[1998]]-Table4100161159112115120192931175117[[#This Row],[1994]]</f>
        <v>0</v>
      </c>
      <c r="H23" s="87"/>
      <c r="I23" s="72">
        <f>Table4100161159112115120192931175117[[#This Row],[2002]]-Table4100161159112115120192931175117[[#This Row],[1998]]</f>
        <v>0</v>
      </c>
      <c r="J23" s="87"/>
      <c r="K23" s="72">
        <f>Table4100161159112115120192931175117[[#This Row],[2006]]-Table4100161159112115120192931175117[[#This Row],[2002]]</f>
        <v>0</v>
      </c>
      <c r="L23" s="87"/>
      <c r="M23" s="72">
        <f>Table4100161159112115120192931175117[[#This Row],[2010]]-Table4100161159112115120192931175117[[#This Row],[2006]]</f>
        <v>0</v>
      </c>
      <c r="N23" s="87"/>
      <c r="O23" s="72">
        <f>Table4100161159112115120192931175117[[#This Row],[2014]]-Table4100161159112115120192931175117[[#This Row],[2010]]</f>
        <v>0</v>
      </c>
      <c r="P23" s="71"/>
      <c r="Q23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0</v>
      </c>
      <c r="R23" s="75">
        <v>8</v>
      </c>
      <c r="T23" s="9">
        <f>R9</f>
        <v>57</v>
      </c>
      <c r="U23" s="9">
        <f>R19</f>
        <v>151</v>
      </c>
      <c r="V23" s="9">
        <f>R25</f>
        <v>49</v>
      </c>
      <c r="W23" s="9">
        <f>R30</f>
        <v>179</v>
      </c>
      <c r="X23" s="9">
        <f>R34</f>
        <v>77</v>
      </c>
    </row>
    <row r="24" spans="1:24" ht="19">
      <c r="A24" s="88" t="s">
        <v>52</v>
      </c>
      <c r="B24" s="71"/>
      <c r="C24" s="72">
        <f>Table4100161159112115120192931175117[[#This Row],[1990]]-Table4100161159112115120192931175117[[#This Row],[1986]]</f>
        <v>0</v>
      </c>
      <c r="D24" s="71"/>
      <c r="E24" s="72">
        <f>Table4100161159112115120192931175117[[#This Row],[1994]]-Table4100161159112115120192931175117[[#This Row],[1990]]</f>
        <v>0</v>
      </c>
      <c r="F24" s="71"/>
      <c r="G24" s="72">
        <f>Table4100161159112115120192931175117[[#This Row],[1998]]-Table4100161159112115120192931175117[[#This Row],[1994]]</f>
        <v>0</v>
      </c>
      <c r="H24" s="71"/>
      <c r="I24" s="72">
        <f>Table4100161159112115120192931175117[[#This Row],[2002]]-Table4100161159112115120192931175117[[#This Row],[1998]]</f>
        <v>0</v>
      </c>
      <c r="J24" s="71"/>
      <c r="K24" s="72">
        <f>Table4100161159112115120192931175117[[#This Row],[2006]]-Table4100161159112115120192931175117[[#This Row],[2002]]</f>
        <v>0</v>
      </c>
      <c r="L24" s="71"/>
      <c r="M24" s="72">
        <f>Table4100161159112115120192931175117[[#This Row],[2010]]-Table4100161159112115120192931175117[[#This Row],[2006]]</f>
        <v>0</v>
      </c>
      <c r="N24" s="71"/>
      <c r="O24" s="72">
        <f>Table4100161159112115120192931175117[[#This Row],[2014]]-Table4100161159112115120192931175117[[#This Row],[2010]]</f>
        <v>1</v>
      </c>
      <c r="P24" s="71">
        <v>1</v>
      </c>
      <c r="Q24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1</v>
      </c>
      <c r="R24" s="75">
        <v>8</v>
      </c>
      <c r="T24" s="44">
        <f>(J9/T23)*100</f>
        <v>0</v>
      </c>
      <c r="U24" s="44">
        <f>(J19/U23)*100</f>
        <v>0</v>
      </c>
      <c r="V24" s="44">
        <f>(J25/V23)*100</f>
        <v>0</v>
      </c>
      <c r="W24" s="44">
        <f>(J30/W23)*100</f>
        <v>0</v>
      </c>
      <c r="X24" s="44">
        <f>(J34/X23)*100</f>
        <v>0</v>
      </c>
    </row>
    <row r="25" spans="1:24" ht="19">
      <c r="A25" s="89" t="s">
        <v>412</v>
      </c>
      <c r="B25" s="79">
        <f>SUM(B20:B24)</f>
        <v>0</v>
      </c>
      <c r="C25" s="79">
        <f>Table4100161159112115120192931175117[[#This Row],[1990]]-Table4100161159112115120192931175117[[#This Row],[1986]]</f>
        <v>0</v>
      </c>
      <c r="D25" s="79">
        <f>SUM(D20:D24)</f>
        <v>0</v>
      </c>
      <c r="E25" s="80">
        <f>Table4100161159112115120192931175117[[#This Row],[1994]]-Table4100161159112115120192931175117[[#This Row],[1990]]</f>
        <v>0</v>
      </c>
      <c r="F25" s="79">
        <f>SUM(F20:F24)</f>
        <v>0</v>
      </c>
      <c r="G25" s="80">
        <f>Table4100161159112115120192931175117[[#This Row],[1998]]-Table4100161159112115120192931175117[[#This Row],[1994]]</f>
        <v>0</v>
      </c>
      <c r="H25" s="79">
        <f>SUM(H20:H24)</f>
        <v>0</v>
      </c>
      <c r="I25" s="80">
        <f>Table4100161159112115120192931175117[[#This Row],[2002]]-Table4100161159112115120192931175117[[#This Row],[1998]]</f>
        <v>0</v>
      </c>
      <c r="J25" s="79">
        <f>SUM(J20:J24)</f>
        <v>0</v>
      </c>
      <c r="K25" s="80">
        <f>Table4100161159112115120192931175117[[#This Row],[2006]]-Table4100161159112115120192931175117[[#This Row],[2002]]</f>
        <v>0</v>
      </c>
      <c r="L25" s="79">
        <f>SUM(L20:L24)</f>
        <v>0</v>
      </c>
      <c r="M25" s="80">
        <f>Table4100161159112115120192931175117[[#This Row],[2010]]-Table4100161159112115120192931175117[[#This Row],[2006]]</f>
        <v>0</v>
      </c>
      <c r="N25" s="79">
        <f>SUM(N20:N24)</f>
        <v>0</v>
      </c>
      <c r="O25" s="80">
        <f>Table4100161159112115120192931175117[[#This Row],[2014]]-Table4100161159112115120192931175117[[#This Row],[2010]]</f>
        <v>4</v>
      </c>
      <c r="P25" s="79">
        <f>SUM(P20:P24)</f>
        <v>4</v>
      </c>
      <c r="Q25" s="90">
        <f>SUM(Q20:Q24)</f>
        <v>4</v>
      </c>
      <c r="R25" s="91">
        <v>49</v>
      </c>
    </row>
    <row r="26" spans="1:24" ht="19">
      <c r="A26" s="88" t="s">
        <v>95</v>
      </c>
      <c r="B26" s="71"/>
      <c r="C26" s="72">
        <f>Table4100161159112115120192931175117[[#This Row],[1990]]-Table4100161159112115120192931175117[[#This Row],[1986]]</f>
        <v>0</v>
      </c>
      <c r="D26" s="71"/>
      <c r="E26" s="72">
        <f>Table4100161159112115120192931175117[[#This Row],[1994]]-Table4100161159112115120192931175117[[#This Row],[1990]]</f>
        <v>0</v>
      </c>
      <c r="F26" s="71"/>
      <c r="G26" s="72">
        <f>Table4100161159112115120192931175117[[#This Row],[1998]]-Table4100161159112115120192931175117[[#This Row],[1994]]</f>
        <v>0</v>
      </c>
      <c r="H26" s="71"/>
      <c r="I26" s="72">
        <f>Table4100161159112115120192931175117[[#This Row],[2002]]-Table4100161159112115120192931175117[[#This Row],[1998]]</f>
        <v>0</v>
      </c>
      <c r="J26" s="71"/>
      <c r="K26" s="72">
        <f>Table4100161159112115120192931175117[[#This Row],[2006]]-Table4100161159112115120192931175117[[#This Row],[2002]]</f>
        <v>0</v>
      </c>
      <c r="L26" s="71"/>
      <c r="M26" s="72">
        <f>Table4100161159112115120192931175117[[#This Row],[2010]]-Table4100161159112115120192931175117[[#This Row],[2006]]</f>
        <v>0</v>
      </c>
      <c r="N26" s="71"/>
      <c r="O26" s="72">
        <f>Table4100161159112115120192931175117[[#This Row],[2014]]-Table4100161159112115120192931175117[[#This Row],[2010]]</f>
        <v>0</v>
      </c>
      <c r="P26" s="71"/>
      <c r="Q26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0</v>
      </c>
      <c r="R26" s="75">
        <v>10</v>
      </c>
      <c r="T26" s="178" t="s">
        <v>419</v>
      </c>
      <c r="U26" s="178"/>
      <c r="V26" s="178"/>
      <c r="W26" s="178"/>
      <c r="X26" s="178"/>
    </row>
    <row r="27" spans="1:24" ht="19">
      <c r="A27" s="88" t="s">
        <v>88</v>
      </c>
      <c r="B27" s="71"/>
      <c r="C27" s="72">
        <f>Table4100161159112115120192931175117[[#This Row],[1990]]-Table4100161159112115120192931175117[[#This Row],[1986]]</f>
        <v>0</v>
      </c>
      <c r="D27" s="71"/>
      <c r="E27" s="72">
        <f>Table4100161159112115120192931175117[[#This Row],[1994]]-Table4100161159112115120192931175117[[#This Row],[1990]]</f>
        <v>0</v>
      </c>
      <c r="F27" s="71"/>
      <c r="G27" s="72">
        <f>Table4100161159112115120192931175117[[#This Row],[1998]]-Table4100161159112115120192931175117[[#This Row],[1994]]</f>
        <v>0</v>
      </c>
      <c r="H27" s="71"/>
      <c r="I27" s="72">
        <f>Table4100161159112115120192931175117[[#This Row],[2002]]-Table4100161159112115120192931175117[[#This Row],[1998]]</f>
        <v>0</v>
      </c>
      <c r="J27" s="71"/>
      <c r="K27" s="72">
        <f>Table4100161159112115120192931175117[[#This Row],[2006]]-Table4100161159112115120192931175117[[#This Row],[2002]]</f>
        <v>0</v>
      </c>
      <c r="L27" s="71"/>
      <c r="M27" s="72">
        <f>Table4100161159112115120192931175117[[#This Row],[2010]]-Table4100161159112115120192931175117[[#This Row],[2006]]</f>
        <v>0</v>
      </c>
      <c r="N27" s="71"/>
      <c r="O27" s="72">
        <f>Table4100161159112115120192931175117[[#This Row],[2014]]-Table4100161159112115120192931175117[[#This Row],[2010]]</f>
        <v>3</v>
      </c>
      <c r="P27" s="71">
        <v>3</v>
      </c>
      <c r="Q27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3</v>
      </c>
      <c r="R27" s="75">
        <v>53</v>
      </c>
      <c r="T27" s="65" t="s">
        <v>410</v>
      </c>
      <c r="U27" s="66" t="s">
        <v>411</v>
      </c>
      <c r="V27" s="67" t="s">
        <v>412</v>
      </c>
      <c r="W27" s="68" t="s">
        <v>413</v>
      </c>
      <c r="X27" s="69" t="s">
        <v>414</v>
      </c>
    </row>
    <row r="28" spans="1:24" ht="19">
      <c r="A28" s="88" t="s">
        <v>72</v>
      </c>
      <c r="B28" s="71"/>
      <c r="C28" s="72">
        <f>Table4100161159112115120192931175117[[#This Row],[1990]]-Table4100161159112115120192931175117[[#This Row],[1986]]</f>
        <v>0</v>
      </c>
      <c r="D28" s="71"/>
      <c r="E28" s="72">
        <f>Table4100161159112115120192931175117[[#This Row],[1994]]-Table4100161159112115120192931175117[[#This Row],[1990]]</f>
        <v>0</v>
      </c>
      <c r="F28" s="71"/>
      <c r="G28" s="72">
        <f>Table4100161159112115120192931175117[[#This Row],[1998]]-Table4100161159112115120192931175117[[#This Row],[1994]]</f>
        <v>0</v>
      </c>
      <c r="H28" s="71"/>
      <c r="I28" s="72">
        <f>Table4100161159112115120192931175117[[#This Row],[2002]]-Table4100161159112115120192931175117[[#This Row],[1998]]</f>
        <v>0</v>
      </c>
      <c r="J28" s="71"/>
      <c r="K28" s="72">
        <f>Table4100161159112115120192931175117[[#This Row],[2006]]-Table4100161159112115120192931175117[[#This Row],[2002]]</f>
        <v>0</v>
      </c>
      <c r="L28" s="71"/>
      <c r="M28" s="72">
        <f>Table4100161159112115120192931175117[[#This Row],[2010]]-Table4100161159112115120192931175117[[#This Row],[2006]]</f>
        <v>0</v>
      </c>
      <c r="N28" s="71"/>
      <c r="O28" s="72">
        <f>Table4100161159112115120192931175117[[#This Row],[2014]]-Table4100161159112115120192931175117[[#This Row],[2010]]</f>
        <v>4</v>
      </c>
      <c r="P28" s="71">
        <v>4</v>
      </c>
      <c r="Q28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4</v>
      </c>
      <c r="R28" s="75">
        <v>46</v>
      </c>
      <c r="T28" s="9">
        <f>R9</f>
        <v>57</v>
      </c>
      <c r="U28" s="9">
        <f>R19</f>
        <v>151</v>
      </c>
      <c r="V28" s="9">
        <f>R25</f>
        <v>49</v>
      </c>
      <c r="W28" s="9">
        <f>R30</f>
        <v>179</v>
      </c>
      <c r="X28" s="9">
        <f>R34</f>
        <v>77</v>
      </c>
    </row>
    <row r="29" spans="1:24" ht="19">
      <c r="A29" s="88" t="s">
        <v>54</v>
      </c>
      <c r="B29" s="71"/>
      <c r="C29" s="72">
        <f>Table4100161159112115120192931175117[[#This Row],[1990]]-Table4100161159112115120192931175117[[#This Row],[1986]]</f>
        <v>0</v>
      </c>
      <c r="D29" s="71"/>
      <c r="E29" s="72">
        <f>Table4100161159112115120192931175117[[#This Row],[1994]]-Table4100161159112115120192931175117[[#This Row],[1990]]</f>
        <v>0</v>
      </c>
      <c r="F29" s="71"/>
      <c r="G29" s="72">
        <f>Table4100161159112115120192931175117[[#This Row],[1998]]-Table4100161159112115120192931175117[[#This Row],[1994]]</f>
        <v>0</v>
      </c>
      <c r="H29" s="71"/>
      <c r="I29" s="72">
        <f>Table4100161159112115120192931175117[[#This Row],[2002]]-Table4100161159112115120192931175117[[#This Row],[1998]]</f>
        <v>0</v>
      </c>
      <c r="J29" s="71"/>
      <c r="K29" s="72">
        <f>Table4100161159112115120192931175117[[#This Row],[2006]]-Table4100161159112115120192931175117[[#This Row],[2002]]</f>
        <v>0</v>
      </c>
      <c r="L29" s="71"/>
      <c r="M29" s="72">
        <f>Table4100161159112115120192931175117[[#This Row],[2010]]-Table4100161159112115120192931175117[[#This Row],[2006]]</f>
        <v>0</v>
      </c>
      <c r="N29" s="71"/>
      <c r="O29" s="72">
        <f>Table4100161159112115120192931175117[[#This Row],[2014]]-Table4100161159112115120192931175117[[#This Row],[2010]]</f>
        <v>5</v>
      </c>
      <c r="P29" s="71">
        <v>5</v>
      </c>
      <c r="Q29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5</v>
      </c>
      <c r="R29" s="75">
        <v>70</v>
      </c>
      <c r="T29" s="44">
        <f>(H9/T28)*100</f>
        <v>0</v>
      </c>
      <c r="U29" s="44">
        <f>(H19/U28)*100</f>
        <v>0</v>
      </c>
      <c r="V29" s="44">
        <f>(H25/V28)*100</f>
        <v>0</v>
      </c>
      <c r="W29" s="44">
        <f>(H30/W28)*100</f>
        <v>0</v>
      </c>
      <c r="X29" s="44">
        <f>(H34/X28)*100</f>
        <v>0</v>
      </c>
    </row>
    <row r="30" spans="1:24" ht="19">
      <c r="A30" s="93" t="s">
        <v>413</v>
      </c>
      <c r="B30" s="79">
        <f>SUM(B26:B29)</f>
        <v>0</v>
      </c>
      <c r="C30" s="79">
        <f>Table4100161159112115120192931175117[[#This Row],[1990]]-Table4100161159112115120192931175117[[#This Row],[1986]]</f>
        <v>0</v>
      </c>
      <c r="D30" s="79">
        <f>SUM(D26:D29)</f>
        <v>0</v>
      </c>
      <c r="E30" s="80">
        <f>Table4100161159112115120192931175117[[#This Row],[1994]]-Table4100161159112115120192931175117[[#This Row],[1990]]</f>
        <v>0</v>
      </c>
      <c r="F30" s="79">
        <f>SUM(F26:F29)</f>
        <v>0</v>
      </c>
      <c r="G30" s="80">
        <f>Table4100161159112115120192931175117[[#This Row],[1998]]-Table4100161159112115120192931175117[[#This Row],[1994]]</f>
        <v>0</v>
      </c>
      <c r="H30" s="79">
        <f>SUM(H26:H29)</f>
        <v>0</v>
      </c>
      <c r="I30" s="80">
        <f>Table4100161159112115120192931175117[[#This Row],[2002]]-Table4100161159112115120192931175117[[#This Row],[1998]]</f>
        <v>0</v>
      </c>
      <c r="J30" s="79">
        <f>SUM(J26:J29)</f>
        <v>0</v>
      </c>
      <c r="K30" s="80">
        <f>Table4100161159112115120192931175117[[#This Row],[2006]]-Table4100161159112115120192931175117[[#This Row],[2002]]</f>
        <v>0</v>
      </c>
      <c r="L30" s="79">
        <f>SUM(L26:L29)</f>
        <v>0</v>
      </c>
      <c r="M30" s="80">
        <f>Table4100161159112115120192931175117[[#This Row],[2010]]-Table4100161159112115120192931175117[[#This Row],[2006]]</f>
        <v>0</v>
      </c>
      <c r="N30" s="79">
        <f>SUM(N26:N29)</f>
        <v>0</v>
      </c>
      <c r="O30" s="80">
        <f>Table4100161159112115120192931175117[[#This Row],[2014]]-Table4100161159112115120192931175117[[#This Row],[2010]]</f>
        <v>12</v>
      </c>
      <c r="P30" s="79">
        <f>SUM(P26:P29)</f>
        <v>12</v>
      </c>
      <c r="Q30" s="94">
        <f>SUM(Q26:Q29)</f>
        <v>12</v>
      </c>
      <c r="R30" s="95">
        <v>179</v>
      </c>
    </row>
    <row r="31" spans="1:24" ht="19">
      <c r="A31" s="88" t="s">
        <v>13</v>
      </c>
      <c r="B31" s="71"/>
      <c r="C31" s="72">
        <f>Table4100161159112115120192931175117[[#This Row],[1990]]-Table4100161159112115120192931175117[[#This Row],[1986]]</f>
        <v>0</v>
      </c>
      <c r="D31" s="71"/>
      <c r="E31" s="72">
        <f>Table4100161159112115120192931175117[[#This Row],[1994]]-Table4100161159112115120192931175117[[#This Row],[1990]]</f>
        <v>0</v>
      </c>
      <c r="F31" s="71"/>
      <c r="G31" s="72">
        <f>Table4100161159112115120192931175117[[#This Row],[1998]]-Table4100161159112115120192931175117[[#This Row],[1994]]</f>
        <v>0</v>
      </c>
      <c r="H31" s="71"/>
      <c r="I31" s="72">
        <f>Table4100161159112115120192931175117[[#This Row],[2002]]-Table4100161159112115120192931175117[[#This Row],[1998]]</f>
        <v>0</v>
      </c>
      <c r="J31" s="71"/>
      <c r="K31" s="72">
        <f>Table4100161159112115120192931175117[[#This Row],[2006]]-Table4100161159112115120192931175117[[#This Row],[2002]]</f>
        <v>0</v>
      </c>
      <c r="L31" s="71"/>
      <c r="M31" s="72">
        <f>Table4100161159112115120192931175117[[#This Row],[2010]]-Table4100161159112115120192931175117[[#This Row],[2006]]</f>
        <v>0</v>
      </c>
      <c r="N31" s="71"/>
      <c r="O31" s="72">
        <f>Table4100161159112115120192931175117[[#This Row],[2014]]-Table4100161159112115120192931175117[[#This Row],[2010]]</f>
        <v>1</v>
      </c>
      <c r="P31" s="71">
        <v>1</v>
      </c>
      <c r="Q31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1</v>
      </c>
      <c r="R31" s="75">
        <v>30</v>
      </c>
      <c r="T31" s="178" t="s">
        <v>421</v>
      </c>
      <c r="U31" s="178"/>
      <c r="V31" s="178"/>
      <c r="W31" s="178"/>
      <c r="X31" s="178"/>
    </row>
    <row r="32" spans="1:24" ht="19">
      <c r="A32" s="88" t="s">
        <v>62</v>
      </c>
      <c r="B32" s="72"/>
      <c r="C32" s="72">
        <f>Table4100161159112115120192931175117[[#This Row],[1990]]-Table4100161159112115120192931175117[[#This Row],[1986]]</f>
        <v>0</v>
      </c>
      <c r="D32" s="72"/>
      <c r="E32" s="72">
        <f>Table4100161159112115120192931175117[[#This Row],[1994]]-Table4100161159112115120192931175117[[#This Row],[1990]]</f>
        <v>0</v>
      </c>
      <c r="F32" s="72"/>
      <c r="G32" s="72">
        <f>Table4100161159112115120192931175117[[#This Row],[1998]]-Table4100161159112115120192931175117[[#This Row],[1994]]</f>
        <v>0</v>
      </c>
      <c r="H32" s="72"/>
      <c r="I32" s="72">
        <f>Table4100161159112115120192931175117[[#This Row],[2002]]-Table4100161159112115120192931175117[[#This Row],[1998]]</f>
        <v>0</v>
      </c>
      <c r="J32" s="72"/>
      <c r="K32" s="72">
        <f>Table4100161159112115120192931175117[[#This Row],[2006]]-Table4100161159112115120192931175117[[#This Row],[2002]]</f>
        <v>0</v>
      </c>
      <c r="L32" s="72"/>
      <c r="M32" s="72">
        <f>Table4100161159112115120192931175117[[#This Row],[2010]]-Table4100161159112115120192931175117[[#This Row],[2006]]</f>
        <v>0</v>
      </c>
      <c r="N32" s="72"/>
      <c r="O32" s="72">
        <f>Table4100161159112115120192931175117[[#This Row],[2014]]-Table4100161159112115120192931175117[[#This Row],[2010]]</f>
        <v>1</v>
      </c>
      <c r="P32" s="72">
        <v>1</v>
      </c>
      <c r="Q32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1</v>
      </c>
      <c r="R32" s="75">
        <v>31</v>
      </c>
      <c r="T32" s="65" t="s">
        <v>410</v>
      </c>
      <c r="U32" s="66" t="s">
        <v>411</v>
      </c>
      <c r="V32" s="67" t="s">
        <v>412</v>
      </c>
      <c r="W32" s="68" t="s">
        <v>413</v>
      </c>
      <c r="X32" s="69" t="s">
        <v>414</v>
      </c>
    </row>
    <row r="33" spans="1:24" ht="19">
      <c r="A33" s="88" t="s">
        <v>60</v>
      </c>
      <c r="B33" s="71"/>
      <c r="C33" s="72">
        <f>Table4100161159112115120192931175117[[#This Row],[1990]]-Table4100161159112115120192931175117[[#This Row],[1986]]</f>
        <v>0</v>
      </c>
      <c r="D33" s="71"/>
      <c r="E33" s="72">
        <f>Table4100161159112115120192931175117[[#This Row],[1994]]-Table4100161159112115120192931175117[[#This Row],[1990]]</f>
        <v>0</v>
      </c>
      <c r="F33" s="71"/>
      <c r="G33" s="72">
        <f>Table4100161159112115120192931175117[[#This Row],[1998]]-Table4100161159112115120192931175117[[#This Row],[1994]]</f>
        <v>0</v>
      </c>
      <c r="H33" s="71"/>
      <c r="I33" s="72">
        <f>Table4100161159112115120192931175117[[#This Row],[2002]]-Table4100161159112115120192931175117[[#This Row],[1998]]</f>
        <v>0</v>
      </c>
      <c r="J33" s="71"/>
      <c r="K33" s="72">
        <f>Table4100161159112115120192931175117[[#This Row],[2006]]-Table4100161159112115120192931175117[[#This Row],[2002]]</f>
        <v>0</v>
      </c>
      <c r="L33" s="71"/>
      <c r="M33" s="72">
        <f>Table4100161159112115120192931175117[[#This Row],[2010]]-Table4100161159112115120192931175117[[#This Row],[2006]]</f>
        <v>0</v>
      </c>
      <c r="N33" s="71"/>
      <c r="O33" s="72">
        <f>Table4100161159112115120192931175117[[#This Row],[2014]]-Table4100161159112115120192931175117[[#This Row],[2010]]</f>
        <v>3</v>
      </c>
      <c r="P33" s="71">
        <v>3</v>
      </c>
      <c r="Q33" s="73">
        <f>SUM(Table4100161159112115120192931175117[[#This Row],[1986]],Table4100161159112115120192931175117[[#This Row],[1990]],Table4100161159112115120192931175117[[#This Row],[1994]],Table4100161159112115120192931175117[[#This Row],[1998]],Table4100161159112115120192931175117[[#This Row],[2002]],Table4100161159112115120192931175117[[#This Row],[2006]],Table4100161159112115120192931175117[[#This Row],[2010]],Table4100161159112115120192931175117[[#This Row],[2014]])</f>
        <v>3</v>
      </c>
      <c r="R33" s="75">
        <v>16</v>
      </c>
      <c r="T33" s="9">
        <f>R9</f>
        <v>57</v>
      </c>
      <c r="U33" s="9">
        <f>R19</f>
        <v>151</v>
      </c>
      <c r="V33" s="9">
        <f>R25</f>
        <v>49</v>
      </c>
      <c r="W33" s="9">
        <f>R30</f>
        <v>179</v>
      </c>
      <c r="X33" s="9">
        <f>R34</f>
        <v>77</v>
      </c>
    </row>
    <row r="34" spans="1:24" ht="19">
      <c r="A34" s="96" t="s">
        <v>414</v>
      </c>
      <c r="B34" s="97">
        <f>SUM(B31:B33)</f>
        <v>0</v>
      </c>
      <c r="C34" s="97">
        <f>Table4100161159112115120192931175117[[#This Row],[1990]]-Table4100161159112115120192931175117[[#This Row],[1986]]</f>
        <v>0</v>
      </c>
      <c r="D34" s="97">
        <f>SUM(D31:D33)</f>
        <v>0</v>
      </c>
      <c r="E34" s="80">
        <f>Table4100161159112115120192931175117[[#This Row],[1994]]-Table4100161159112115120192931175117[[#This Row],[1990]]</f>
        <v>0</v>
      </c>
      <c r="F34" s="97">
        <f>SUM(F31:F33)</f>
        <v>0</v>
      </c>
      <c r="G34" s="80">
        <f>Table4100161159112115120192931175117[[#This Row],[1998]]-Table4100161159112115120192931175117[[#This Row],[1994]]</f>
        <v>0</v>
      </c>
      <c r="H34" s="97">
        <f>SUM(H31:H33)</f>
        <v>0</v>
      </c>
      <c r="I34" s="80">
        <f>Table4100161159112115120192931175117[[#This Row],[2002]]-Table4100161159112115120192931175117[[#This Row],[1998]]</f>
        <v>0</v>
      </c>
      <c r="J34" s="97">
        <f>SUM(J31:J33)</f>
        <v>0</v>
      </c>
      <c r="K34" s="80">
        <f>Table4100161159112115120192931175117[[#This Row],[2006]]-Table4100161159112115120192931175117[[#This Row],[2002]]</f>
        <v>0</v>
      </c>
      <c r="L34" s="97">
        <f>SUM(L31:L33)</f>
        <v>0</v>
      </c>
      <c r="M34" s="80">
        <f>Table4100161159112115120192931175117[[#This Row],[2010]]-Table4100161159112115120192931175117[[#This Row],[2006]]</f>
        <v>0</v>
      </c>
      <c r="N34" s="97">
        <f>SUM(N31:N33)</f>
        <v>0</v>
      </c>
      <c r="O34" s="80">
        <f>Table4100161159112115120192931175117[[#This Row],[2014]]-Table4100161159112115120192931175117[[#This Row],[2010]]</f>
        <v>5</v>
      </c>
      <c r="P34" s="97">
        <f>SUM(P31:P33)</f>
        <v>5</v>
      </c>
      <c r="Q34" s="98">
        <f>SUM(Q31:Q33)</f>
        <v>5</v>
      </c>
      <c r="R34" s="99">
        <v>77</v>
      </c>
      <c r="T34" s="44">
        <f>(F9/T33)*100</f>
        <v>0</v>
      </c>
      <c r="U34" s="44">
        <f>(F19/U33)*100</f>
        <v>0</v>
      </c>
      <c r="V34" s="44">
        <f>(F25/V33)*100</f>
        <v>0</v>
      </c>
      <c r="W34" s="44">
        <f>(F30/W33)*100</f>
        <v>0</v>
      </c>
      <c r="X34" s="44">
        <f>(F34/X33)*100</f>
        <v>0</v>
      </c>
    </row>
    <row r="35" spans="1:24" ht="19">
      <c r="A35" s="100" t="s">
        <v>420</v>
      </c>
      <c r="B35" s="101">
        <f>SUM(B9,B19,B25,B30,B34)</f>
        <v>0</v>
      </c>
      <c r="C35" s="101">
        <f>Table4100161159112115120192931175117[[#This Row],[1990]]-Table4100161159112115120192931175117[[#This Row],[1986]]</f>
        <v>0</v>
      </c>
      <c r="D35" s="101">
        <f>SUM(D9,D19,D25,D30,D34)</f>
        <v>0</v>
      </c>
      <c r="E35" s="80">
        <f>Table4100161159112115120192931175117[[#This Row],[1994]]-Table4100161159112115120192931175117[[#This Row],[1990]]</f>
        <v>0</v>
      </c>
      <c r="F35" s="101">
        <f>SUM(F9,F19,F25,F30,F34)</f>
        <v>0</v>
      </c>
      <c r="G35" s="80">
        <f>Table4100161159112115120192931175117[[#This Row],[1998]]-Table4100161159112115120192931175117[[#This Row],[1994]]</f>
        <v>0</v>
      </c>
      <c r="H35" s="101">
        <f>SUM(H9,H19,H25,H30,H34)</f>
        <v>0</v>
      </c>
      <c r="I35" s="80">
        <f>Table4100161159112115120192931175117[[#This Row],[2002]]-Table4100161159112115120192931175117[[#This Row],[1998]]</f>
        <v>0</v>
      </c>
      <c r="J35" s="101">
        <f>SUM(J9,J19,J25,J30,J34)</f>
        <v>0</v>
      </c>
      <c r="K35" s="80">
        <f>Table4100161159112115120192931175117[[#This Row],[2006]]-Table4100161159112115120192931175117[[#This Row],[2002]]</f>
        <v>0</v>
      </c>
      <c r="L35" s="101">
        <f>SUM(L9,L19,L25,L30,L34)</f>
        <v>0</v>
      </c>
      <c r="M35" s="80">
        <f>Table4100161159112115120192931175117[[#This Row],[2010]]-Table4100161159112115120192931175117[[#This Row],[2006]]</f>
        <v>0</v>
      </c>
      <c r="N35" s="101">
        <f>SUM(N9,N19,N25,N30,N34)</f>
        <v>0</v>
      </c>
      <c r="O35" s="80">
        <f>Table4100161159112115120192931175117[[#This Row],[2014]]-Table4100161159112115120192931175117[[#This Row],[2010]]</f>
        <v>38</v>
      </c>
      <c r="P35" s="101">
        <f>SUM(P9,P19,P25,P30,P34)</f>
        <v>38</v>
      </c>
      <c r="Q35" s="102">
        <f>SUM(Q9,Q19,Q25,Q30,Q34)</f>
        <v>38</v>
      </c>
      <c r="R35" s="75">
        <v>513</v>
      </c>
    </row>
    <row r="36" spans="1:24">
      <c r="T36" s="178" t="s">
        <v>422</v>
      </c>
      <c r="U36" s="178"/>
      <c r="V36" s="178"/>
      <c r="W36" s="178"/>
      <c r="X36" s="178"/>
    </row>
    <row r="37" spans="1:24">
      <c r="T37" s="65" t="s">
        <v>410</v>
      </c>
      <c r="U37" s="66" t="s">
        <v>411</v>
      </c>
      <c r="V37" s="67" t="s">
        <v>412</v>
      </c>
      <c r="W37" s="68" t="s">
        <v>413</v>
      </c>
      <c r="X37" s="69" t="s">
        <v>414</v>
      </c>
    </row>
    <row r="38" spans="1:24">
      <c r="T38" s="9">
        <f>R9</f>
        <v>57</v>
      </c>
      <c r="U38" s="9">
        <f>R19</f>
        <v>151</v>
      </c>
      <c r="V38" s="9">
        <f>R25</f>
        <v>49</v>
      </c>
      <c r="W38" s="17">
        <f>(R30-10)</f>
        <v>169</v>
      </c>
      <c r="X38" s="9">
        <f>R34</f>
        <v>77</v>
      </c>
    </row>
    <row r="39" spans="1:24">
      <c r="T39" s="44">
        <f>(D9/T38)*100</f>
        <v>0</v>
      </c>
      <c r="U39" s="44">
        <f>(D19/U38)*100</f>
        <v>0</v>
      </c>
      <c r="V39" s="44">
        <f>(D25/V38)*100</f>
        <v>0</v>
      </c>
      <c r="W39" s="44">
        <f>(D30/W38)*100</f>
        <v>0</v>
      </c>
      <c r="X39" s="44">
        <f>(D34/X38)*100</f>
        <v>0</v>
      </c>
    </row>
    <row r="41" spans="1:24">
      <c r="T41" s="178" t="s">
        <v>428</v>
      </c>
      <c r="U41" s="178"/>
      <c r="V41" s="178"/>
      <c r="W41" s="178"/>
      <c r="X41" s="178"/>
    </row>
    <row r="42" spans="1:24">
      <c r="T42" s="65" t="s">
        <v>410</v>
      </c>
      <c r="U42" s="66" t="s">
        <v>411</v>
      </c>
      <c r="V42" s="67" t="s">
        <v>412</v>
      </c>
      <c r="W42" s="68" t="s">
        <v>413</v>
      </c>
      <c r="X42" s="69" t="s">
        <v>414</v>
      </c>
    </row>
    <row r="43" spans="1:24">
      <c r="T43" s="9">
        <f>R9</f>
        <v>57</v>
      </c>
      <c r="U43" s="9">
        <f>R19</f>
        <v>151</v>
      </c>
      <c r="V43" s="9">
        <f>R25</f>
        <v>49</v>
      </c>
      <c r="W43" s="17">
        <f>(R30-19)</f>
        <v>160</v>
      </c>
      <c r="X43" s="9">
        <f>R34</f>
        <v>77</v>
      </c>
    </row>
    <row r="44" spans="1:24">
      <c r="T44" s="44">
        <f>(B9/T43)*100</f>
        <v>0</v>
      </c>
      <c r="U44" s="44">
        <f>(B19/U43)*100</f>
        <v>0</v>
      </c>
      <c r="V44" s="44">
        <f>(B25/V43)*100</f>
        <v>0</v>
      </c>
      <c r="W44" s="44">
        <f>(B30/W43)*100</f>
        <v>0</v>
      </c>
      <c r="X44" s="44">
        <f>(B34/X43)*100</f>
        <v>0</v>
      </c>
    </row>
  </sheetData>
  <mergeCells count="10">
    <mergeCell ref="T26:X26"/>
    <mergeCell ref="T31:X31"/>
    <mergeCell ref="T36:X36"/>
    <mergeCell ref="T41:X41"/>
    <mergeCell ref="A1:Q1"/>
    <mergeCell ref="T1:X1"/>
    <mergeCell ref="T6:X6"/>
    <mergeCell ref="T11:X11"/>
    <mergeCell ref="T16:X16"/>
    <mergeCell ref="T21:X21"/>
  </mergeCells>
  <conditionalFormatting sqref="C4:C35">
    <cfRule type="cellIs" dxfId="147" priority="11" operator="greaterThan">
      <formula>0</formula>
    </cfRule>
  </conditionalFormatting>
  <conditionalFormatting sqref="C3">
    <cfRule type="cellIs" dxfId="146" priority="8" operator="greaterThan">
      <formula>0</formula>
    </cfRule>
  </conditionalFormatting>
  <conditionalFormatting sqref="E3">
    <cfRule type="cellIs" dxfId="145" priority="5" operator="greaterThan">
      <formula>0</formula>
    </cfRule>
  </conditionalFormatting>
  <conditionalFormatting sqref="C4:C35 E4:E35 G3:G35 I3:I35 K3:K35 M3:M35">
    <cfRule type="cellIs" dxfId="144" priority="10" operator="greaterThan">
      <formula>0</formula>
    </cfRule>
  </conditionalFormatting>
  <conditionalFormatting sqref="C4:C35 E4:E35 G3:G35 I3:I35 K3:K35 M3:M35">
    <cfRule type="cellIs" dxfId="143" priority="9" operator="lessThan">
      <formula>0</formula>
    </cfRule>
  </conditionalFormatting>
  <conditionalFormatting sqref="C3">
    <cfRule type="cellIs" dxfId="142" priority="7" operator="greaterThan">
      <formula>0</formula>
    </cfRule>
  </conditionalFormatting>
  <conditionalFormatting sqref="C3">
    <cfRule type="cellIs" dxfId="141" priority="6" operator="lessThan">
      <formula>0</formula>
    </cfRule>
  </conditionalFormatting>
  <conditionalFormatting sqref="E3">
    <cfRule type="cellIs" dxfId="140" priority="4" operator="greaterThan">
      <formula>0</formula>
    </cfRule>
  </conditionalFormatting>
  <conditionalFormatting sqref="E3">
    <cfRule type="cellIs" dxfId="139" priority="3" operator="lessThan">
      <formula>0</formula>
    </cfRule>
  </conditionalFormatting>
  <conditionalFormatting sqref="O3:O35">
    <cfRule type="cellIs" dxfId="138" priority="1" operator="lessThan">
      <formula>0</formula>
    </cfRule>
    <cfRule type="cellIs" dxfId="137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44"/>
  <sheetViews>
    <sheetView topLeftCell="J22" workbookViewId="0">
      <selection activeCell="W43" sqref="W43"/>
    </sheetView>
  </sheetViews>
  <sheetFormatPr baseColWidth="10" defaultRowHeight="16"/>
  <cols>
    <col min="1" max="1" width="19.33203125" customWidth="1"/>
    <col min="17" max="17" width="16.5" customWidth="1"/>
    <col min="18" max="18" width="23.6640625" customWidth="1"/>
    <col min="20" max="21" width="15.33203125" customWidth="1"/>
    <col min="22" max="22" width="15.5" customWidth="1"/>
    <col min="23" max="23" width="15" customWidth="1"/>
    <col min="24" max="24" width="14.33203125" customWidth="1"/>
  </cols>
  <sheetData>
    <row r="1" spans="1:24" ht="19">
      <c r="A1" s="179" t="s">
        <v>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6"/>
      <c r="R1" s="18"/>
      <c r="S1" s="18"/>
      <c r="T1" s="187" t="s">
        <v>391</v>
      </c>
      <c r="U1" s="188"/>
      <c r="V1" s="188"/>
      <c r="W1" s="188"/>
      <c r="X1" s="189"/>
    </row>
    <row r="2" spans="1:24" ht="19">
      <c r="A2" s="105" t="s">
        <v>392</v>
      </c>
      <c r="B2" s="106">
        <v>1986</v>
      </c>
      <c r="C2" s="106" t="s">
        <v>394</v>
      </c>
      <c r="D2" s="106">
        <v>1990</v>
      </c>
      <c r="E2" s="106" t="s">
        <v>396</v>
      </c>
      <c r="F2" s="106">
        <v>1994</v>
      </c>
      <c r="G2" s="106" t="s">
        <v>398</v>
      </c>
      <c r="H2" s="106">
        <v>1998</v>
      </c>
      <c r="I2" s="106" t="s">
        <v>400</v>
      </c>
      <c r="J2" s="106">
        <v>2002</v>
      </c>
      <c r="K2" s="106" t="s">
        <v>402</v>
      </c>
      <c r="L2" s="106">
        <v>2006</v>
      </c>
      <c r="M2" s="106" t="s">
        <v>404</v>
      </c>
      <c r="N2" s="106">
        <v>2010</v>
      </c>
      <c r="O2" s="106" t="s">
        <v>406</v>
      </c>
      <c r="P2" s="106">
        <v>2014</v>
      </c>
      <c r="Q2" s="134" t="s">
        <v>408</v>
      </c>
      <c r="R2" s="106" t="s">
        <v>427</v>
      </c>
      <c r="S2" s="18"/>
      <c r="T2" s="135" t="s">
        <v>410</v>
      </c>
      <c r="U2" s="136" t="s">
        <v>411</v>
      </c>
      <c r="V2" s="137" t="s">
        <v>412</v>
      </c>
      <c r="W2" s="138" t="s">
        <v>413</v>
      </c>
      <c r="X2" s="139" t="s">
        <v>414</v>
      </c>
    </row>
    <row r="3" spans="1:24" ht="19">
      <c r="A3" s="107" t="s">
        <v>110</v>
      </c>
      <c r="B3" s="108"/>
      <c r="C3" s="109">
        <v>0</v>
      </c>
      <c r="D3" s="108"/>
      <c r="E3" s="109">
        <v>0</v>
      </c>
      <c r="F3" s="108"/>
      <c r="G3" s="109">
        <v>0</v>
      </c>
      <c r="H3" s="108"/>
      <c r="I3" s="109">
        <v>0</v>
      </c>
      <c r="J3" s="108"/>
      <c r="K3" s="109">
        <v>0</v>
      </c>
      <c r="L3" s="108"/>
      <c r="M3" s="92">
        <v>1</v>
      </c>
      <c r="N3" s="108">
        <v>1</v>
      </c>
      <c r="O3" s="109">
        <v>0</v>
      </c>
      <c r="P3" s="108">
        <v>1</v>
      </c>
      <c r="Q3" s="140">
        <v>2</v>
      </c>
      <c r="R3" s="74">
        <v>8</v>
      </c>
      <c r="S3" s="18"/>
      <c r="T3" s="47">
        <v>456</v>
      </c>
      <c r="U3" s="31">
        <v>1208</v>
      </c>
      <c r="V3" s="31">
        <v>392</v>
      </c>
      <c r="W3" s="31">
        <v>1432</v>
      </c>
      <c r="X3" s="31">
        <v>616</v>
      </c>
    </row>
    <row r="4" spans="1:24" ht="19">
      <c r="A4" s="107" t="s">
        <v>106</v>
      </c>
      <c r="B4" s="108"/>
      <c r="C4" s="109">
        <v>0</v>
      </c>
      <c r="D4" s="108"/>
      <c r="E4" s="92">
        <v>1</v>
      </c>
      <c r="F4" s="108">
        <v>1</v>
      </c>
      <c r="G4" s="109">
        <v>0</v>
      </c>
      <c r="H4" s="108">
        <v>1</v>
      </c>
      <c r="I4" s="110">
        <v>-1</v>
      </c>
      <c r="J4" s="108"/>
      <c r="K4" s="109">
        <v>0</v>
      </c>
      <c r="L4" s="108"/>
      <c r="M4" s="109">
        <v>0</v>
      </c>
      <c r="N4" s="108"/>
      <c r="O4" s="92">
        <v>1</v>
      </c>
      <c r="P4" s="108">
        <v>1</v>
      </c>
      <c r="Q4" s="140">
        <v>3</v>
      </c>
      <c r="R4" s="141">
        <v>8</v>
      </c>
      <c r="S4" s="18"/>
      <c r="T4" s="142">
        <v>8.33</v>
      </c>
      <c r="U4" s="143">
        <v>9.93</v>
      </c>
      <c r="V4" s="143">
        <v>10.46</v>
      </c>
      <c r="W4" s="143">
        <v>13.27</v>
      </c>
      <c r="X4" s="144">
        <v>6.8</v>
      </c>
    </row>
    <row r="5" spans="1:24" ht="19">
      <c r="A5" s="107" t="s">
        <v>104</v>
      </c>
      <c r="B5" s="108"/>
      <c r="C5" s="109">
        <v>0</v>
      </c>
      <c r="D5" s="108"/>
      <c r="E5" s="109">
        <v>0</v>
      </c>
      <c r="F5" s="108"/>
      <c r="G5" s="92">
        <v>3</v>
      </c>
      <c r="H5" s="108">
        <v>3</v>
      </c>
      <c r="I5" s="110">
        <v>-2</v>
      </c>
      <c r="J5" s="108">
        <v>1</v>
      </c>
      <c r="K5" s="110">
        <v>-1</v>
      </c>
      <c r="L5" s="108"/>
      <c r="M5" s="92">
        <v>1</v>
      </c>
      <c r="N5" s="108">
        <v>1</v>
      </c>
      <c r="O5" s="110">
        <v>-1</v>
      </c>
      <c r="P5" s="108"/>
      <c r="Q5" s="140">
        <v>5</v>
      </c>
      <c r="R5" s="141">
        <v>8</v>
      </c>
      <c r="S5" s="18"/>
      <c r="T5" s="18"/>
      <c r="U5" s="18"/>
      <c r="V5" s="18"/>
      <c r="W5" s="18"/>
      <c r="X5" s="18"/>
    </row>
    <row r="6" spans="1:24" ht="19">
      <c r="A6" s="107" t="s">
        <v>73</v>
      </c>
      <c r="B6" s="108"/>
      <c r="C6" s="109">
        <v>0</v>
      </c>
      <c r="D6" s="108"/>
      <c r="E6" s="109">
        <v>0</v>
      </c>
      <c r="F6" s="108"/>
      <c r="G6" s="92">
        <v>4</v>
      </c>
      <c r="H6" s="108">
        <v>4</v>
      </c>
      <c r="I6" s="109">
        <v>0</v>
      </c>
      <c r="J6" s="108">
        <v>4</v>
      </c>
      <c r="K6" s="110">
        <v>-1</v>
      </c>
      <c r="L6" s="108">
        <v>3</v>
      </c>
      <c r="M6" s="109">
        <v>0</v>
      </c>
      <c r="N6" s="108">
        <v>3</v>
      </c>
      <c r="O6" s="110">
        <v>-2</v>
      </c>
      <c r="P6" s="108">
        <v>1</v>
      </c>
      <c r="Q6" s="140">
        <v>15</v>
      </c>
      <c r="R6" s="141">
        <v>17</v>
      </c>
      <c r="S6" s="18"/>
      <c r="T6" s="187" t="s">
        <v>415</v>
      </c>
      <c r="U6" s="188"/>
      <c r="V6" s="188"/>
      <c r="W6" s="188"/>
      <c r="X6" s="189"/>
    </row>
    <row r="7" spans="1:24" ht="19">
      <c r="A7" s="107" t="s">
        <v>67</v>
      </c>
      <c r="B7" s="111"/>
      <c r="C7" s="109">
        <v>0</v>
      </c>
      <c r="D7" s="111"/>
      <c r="E7" s="92">
        <v>3</v>
      </c>
      <c r="F7" s="111">
        <v>3</v>
      </c>
      <c r="G7" s="110">
        <v>-1</v>
      </c>
      <c r="H7" s="111">
        <v>2</v>
      </c>
      <c r="I7" s="110">
        <v>-1</v>
      </c>
      <c r="J7" s="111">
        <v>1</v>
      </c>
      <c r="K7" s="110">
        <v>-1</v>
      </c>
      <c r="L7" s="111"/>
      <c r="M7" s="109">
        <v>0</v>
      </c>
      <c r="N7" s="111"/>
      <c r="O7" s="92">
        <v>1</v>
      </c>
      <c r="P7" s="111">
        <v>1</v>
      </c>
      <c r="Q7" s="140">
        <v>7</v>
      </c>
      <c r="R7" s="141">
        <v>8</v>
      </c>
      <c r="S7" s="18"/>
      <c r="T7" s="135" t="s">
        <v>410</v>
      </c>
      <c r="U7" s="136" t="s">
        <v>411</v>
      </c>
      <c r="V7" s="137" t="s">
        <v>412</v>
      </c>
      <c r="W7" s="138" t="s">
        <v>413</v>
      </c>
      <c r="X7" s="139" t="s">
        <v>414</v>
      </c>
    </row>
    <row r="8" spans="1:24" ht="19">
      <c r="A8" s="107" t="s">
        <v>65</v>
      </c>
      <c r="B8" s="108"/>
      <c r="C8" s="109">
        <v>0</v>
      </c>
      <c r="D8" s="108"/>
      <c r="E8" s="92">
        <v>1</v>
      </c>
      <c r="F8" s="108">
        <v>1</v>
      </c>
      <c r="G8" s="92">
        <v>1</v>
      </c>
      <c r="H8" s="108">
        <v>2</v>
      </c>
      <c r="I8" s="110">
        <v>-2</v>
      </c>
      <c r="J8" s="108"/>
      <c r="K8" s="92">
        <v>1</v>
      </c>
      <c r="L8" s="108">
        <v>1</v>
      </c>
      <c r="M8" s="109">
        <v>0</v>
      </c>
      <c r="N8" s="108">
        <v>1</v>
      </c>
      <c r="O8" s="109">
        <v>0</v>
      </c>
      <c r="P8" s="108">
        <v>1</v>
      </c>
      <c r="Q8" s="140">
        <v>6</v>
      </c>
      <c r="R8" s="141">
        <v>8</v>
      </c>
      <c r="S8" s="18"/>
      <c r="T8" s="47">
        <v>57</v>
      </c>
      <c r="U8" s="31">
        <v>151</v>
      </c>
      <c r="V8" s="31">
        <v>49</v>
      </c>
      <c r="W8" s="31">
        <v>179</v>
      </c>
      <c r="X8" s="31">
        <v>77</v>
      </c>
    </row>
    <row r="9" spans="1:24" ht="19">
      <c r="A9" s="112" t="s">
        <v>410</v>
      </c>
      <c r="B9" s="113">
        <v>0</v>
      </c>
      <c r="C9" s="113">
        <v>0</v>
      </c>
      <c r="D9" s="113">
        <v>0</v>
      </c>
      <c r="E9" s="92">
        <v>5</v>
      </c>
      <c r="F9" s="113">
        <v>5</v>
      </c>
      <c r="G9" s="92">
        <v>7</v>
      </c>
      <c r="H9" s="113">
        <v>12</v>
      </c>
      <c r="I9" s="110">
        <v>-6</v>
      </c>
      <c r="J9" s="113">
        <v>6</v>
      </c>
      <c r="K9" s="110">
        <v>-2</v>
      </c>
      <c r="L9" s="113">
        <v>4</v>
      </c>
      <c r="M9" s="92">
        <v>2</v>
      </c>
      <c r="N9" s="113">
        <v>6</v>
      </c>
      <c r="O9" s="110">
        <v>-1</v>
      </c>
      <c r="P9" s="113">
        <v>5</v>
      </c>
      <c r="Q9" s="145">
        <v>38</v>
      </c>
      <c r="R9" s="146">
        <v>57</v>
      </c>
      <c r="S9" s="18"/>
      <c r="T9" s="142">
        <v>8.77</v>
      </c>
      <c r="U9" s="143">
        <v>7.28</v>
      </c>
      <c r="V9" s="143">
        <v>12.24</v>
      </c>
      <c r="W9" s="143">
        <v>12.29</v>
      </c>
      <c r="X9" s="143">
        <v>6.49</v>
      </c>
    </row>
    <row r="10" spans="1:24" ht="19">
      <c r="A10" s="107" t="s">
        <v>108</v>
      </c>
      <c r="B10" s="108"/>
      <c r="C10" s="109">
        <v>0</v>
      </c>
      <c r="D10" s="108"/>
      <c r="E10" s="92">
        <v>2</v>
      </c>
      <c r="F10" s="108">
        <v>2</v>
      </c>
      <c r="G10" s="110">
        <v>-1</v>
      </c>
      <c r="H10" s="108">
        <v>1</v>
      </c>
      <c r="I10" s="109">
        <v>0</v>
      </c>
      <c r="J10" s="108">
        <v>1</v>
      </c>
      <c r="K10" s="110">
        <v>-1</v>
      </c>
      <c r="L10" s="108"/>
      <c r="M10" s="92">
        <v>1</v>
      </c>
      <c r="N10" s="108">
        <v>1</v>
      </c>
      <c r="O10" s="109">
        <v>0</v>
      </c>
      <c r="P10" s="108">
        <v>1</v>
      </c>
      <c r="Q10" s="140">
        <v>6</v>
      </c>
      <c r="R10" s="141">
        <v>9</v>
      </c>
      <c r="S10" s="18"/>
      <c r="T10" s="18"/>
      <c r="U10" s="18"/>
      <c r="V10" s="18"/>
      <c r="W10" s="18"/>
      <c r="X10" s="18"/>
    </row>
    <row r="11" spans="1:24" ht="19">
      <c r="A11" s="107" t="s">
        <v>101</v>
      </c>
      <c r="B11" s="108"/>
      <c r="C11" s="92">
        <v>2</v>
      </c>
      <c r="D11" s="108">
        <v>2</v>
      </c>
      <c r="E11" s="92">
        <v>2</v>
      </c>
      <c r="F11" s="108">
        <v>4</v>
      </c>
      <c r="G11" s="92">
        <v>1</v>
      </c>
      <c r="H11" s="108">
        <v>5</v>
      </c>
      <c r="I11" s="110">
        <v>-4</v>
      </c>
      <c r="J11" s="108">
        <v>1</v>
      </c>
      <c r="K11" s="109">
        <v>0</v>
      </c>
      <c r="L11" s="108">
        <v>1</v>
      </c>
      <c r="M11" s="92">
        <v>1</v>
      </c>
      <c r="N11" s="108">
        <v>2</v>
      </c>
      <c r="O11" s="92">
        <v>1</v>
      </c>
      <c r="P11" s="108">
        <v>3</v>
      </c>
      <c r="Q11" s="140">
        <v>18</v>
      </c>
      <c r="R11" s="141">
        <v>39</v>
      </c>
      <c r="S11" s="18"/>
      <c r="T11" s="187" t="s">
        <v>416</v>
      </c>
      <c r="U11" s="188"/>
      <c r="V11" s="188"/>
      <c r="W11" s="188"/>
      <c r="X11" s="189"/>
    </row>
    <row r="12" spans="1:24" ht="19">
      <c r="A12" s="107" t="s">
        <v>99</v>
      </c>
      <c r="B12" s="108"/>
      <c r="C12" s="92">
        <v>8</v>
      </c>
      <c r="D12" s="108">
        <v>8</v>
      </c>
      <c r="E12" s="92">
        <v>3</v>
      </c>
      <c r="F12" s="108">
        <v>11</v>
      </c>
      <c r="G12" s="109">
        <v>0</v>
      </c>
      <c r="H12" s="108">
        <v>11</v>
      </c>
      <c r="I12" s="110">
        <v>-3</v>
      </c>
      <c r="J12" s="108">
        <v>8</v>
      </c>
      <c r="K12" s="110">
        <v>-3</v>
      </c>
      <c r="L12" s="108">
        <v>5</v>
      </c>
      <c r="M12" s="110">
        <v>-3</v>
      </c>
      <c r="N12" s="108">
        <v>2</v>
      </c>
      <c r="O12" s="110">
        <v>-1</v>
      </c>
      <c r="P12" s="108">
        <v>1</v>
      </c>
      <c r="Q12" s="140">
        <v>46</v>
      </c>
      <c r="R12" s="141">
        <v>22</v>
      </c>
      <c r="S12" s="18"/>
      <c r="T12" s="135" t="s">
        <v>410</v>
      </c>
      <c r="U12" s="136" t="s">
        <v>411</v>
      </c>
      <c r="V12" s="137" t="s">
        <v>412</v>
      </c>
      <c r="W12" s="138" t="s">
        <v>413</v>
      </c>
      <c r="X12" s="139" t="s">
        <v>414</v>
      </c>
    </row>
    <row r="13" spans="1:24" ht="19">
      <c r="A13" s="107" t="s">
        <v>90</v>
      </c>
      <c r="B13" s="108"/>
      <c r="C13" s="92">
        <v>1</v>
      </c>
      <c r="D13" s="108">
        <v>1</v>
      </c>
      <c r="E13" s="92">
        <v>1</v>
      </c>
      <c r="F13" s="108">
        <v>2</v>
      </c>
      <c r="G13" s="92">
        <v>1</v>
      </c>
      <c r="H13" s="108">
        <v>3</v>
      </c>
      <c r="I13" s="110">
        <v>-1</v>
      </c>
      <c r="J13" s="108">
        <v>2</v>
      </c>
      <c r="K13" s="92">
        <v>2</v>
      </c>
      <c r="L13" s="108">
        <v>4</v>
      </c>
      <c r="M13" s="110">
        <v>-1</v>
      </c>
      <c r="N13" s="108">
        <v>3</v>
      </c>
      <c r="O13" s="110">
        <v>-3</v>
      </c>
      <c r="P13" s="108"/>
      <c r="Q13" s="140">
        <v>15</v>
      </c>
      <c r="R13" s="141">
        <v>18</v>
      </c>
      <c r="S13" s="18"/>
      <c r="T13" s="47">
        <v>57</v>
      </c>
      <c r="U13" s="31">
        <v>151</v>
      </c>
      <c r="V13" s="31">
        <v>49</v>
      </c>
      <c r="W13" s="31">
        <v>179</v>
      </c>
      <c r="X13" s="31">
        <v>77</v>
      </c>
    </row>
    <row r="14" spans="1:24" ht="19">
      <c r="A14" s="107" t="s">
        <v>79</v>
      </c>
      <c r="B14" s="108"/>
      <c r="C14" s="109">
        <v>0</v>
      </c>
      <c r="D14" s="108"/>
      <c r="E14" s="109">
        <v>0</v>
      </c>
      <c r="F14" s="108"/>
      <c r="G14" s="92">
        <v>1</v>
      </c>
      <c r="H14" s="108">
        <v>1</v>
      </c>
      <c r="I14" s="92">
        <v>2</v>
      </c>
      <c r="J14" s="108">
        <v>3</v>
      </c>
      <c r="K14" s="110">
        <v>-1</v>
      </c>
      <c r="L14" s="108">
        <v>2</v>
      </c>
      <c r="M14" s="109">
        <v>0</v>
      </c>
      <c r="N14" s="108">
        <v>2</v>
      </c>
      <c r="O14" s="110">
        <v>-1</v>
      </c>
      <c r="P14" s="108">
        <v>1</v>
      </c>
      <c r="Q14" s="140">
        <v>9</v>
      </c>
      <c r="R14" s="141">
        <v>12</v>
      </c>
      <c r="S14" s="18"/>
      <c r="T14" s="142">
        <v>10.53</v>
      </c>
      <c r="U14" s="143">
        <v>8.61</v>
      </c>
      <c r="V14" s="143">
        <v>10.199999999999999</v>
      </c>
      <c r="W14" s="143">
        <v>13.41</v>
      </c>
      <c r="X14" s="143">
        <v>7.79</v>
      </c>
    </row>
    <row r="15" spans="1:24" ht="19">
      <c r="A15" s="107" t="s">
        <v>77</v>
      </c>
      <c r="B15" s="108"/>
      <c r="C15" s="109">
        <v>0</v>
      </c>
      <c r="D15" s="108"/>
      <c r="E15" s="92">
        <v>1</v>
      </c>
      <c r="F15" s="108">
        <v>1</v>
      </c>
      <c r="G15" s="109">
        <v>0</v>
      </c>
      <c r="H15" s="108">
        <v>1</v>
      </c>
      <c r="I15" s="92">
        <v>2</v>
      </c>
      <c r="J15" s="108">
        <v>3</v>
      </c>
      <c r="K15" s="110">
        <v>-1</v>
      </c>
      <c r="L15" s="108">
        <v>2</v>
      </c>
      <c r="M15" s="109">
        <v>0</v>
      </c>
      <c r="N15" s="108">
        <v>2</v>
      </c>
      <c r="O15" s="92">
        <v>1</v>
      </c>
      <c r="P15" s="108">
        <v>3</v>
      </c>
      <c r="Q15" s="140">
        <v>12</v>
      </c>
      <c r="R15" s="141">
        <v>25</v>
      </c>
      <c r="S15" s="18"/>
      <c r="T15" s="18"/>
      <c r="U15" s="18"/>
      <c r="V15" s="18"/>
      <c r="W15" s="18"/>
      <c r="X15" s="18"/>
    </row>
    <row r="16" spans="1:24" ht="19">
      <c r="A16" s="107" t="s">
        <v>75</v>
      </c>
      <c r="B16" s="109"/>
      <c r="C16" s="92">
        <v>1</v>
      </c>
      <c r="D16" s="109">
        <v>1</v>
      </c>
      <c r="E16" s="110">
        <v>-1</v>
      </c>
      <c r="F16" s="109"/>
      <c r="G16" s="92">
        <v>1</v>
      </c>
      <c r="H16" s="109">
        <v>1</v>
      </c>
      <c r="I16" s="92">
        <v>1</v>
      </c>
      <c r="J16" s="109">
        <v>2</v>
      </c>
      <c r="K16" s="110">
        <v>-1</v>
      </c>
      <c r="L16" s="109">
        <v>1</v>
      </c>
      <c r="M16" s="110">
        <v>-1</v>
      </c>
      <c r="N16" s="109"/>
      <c r="O16" s="109">
        <v>0</v>
      </c>
      <c r="P16" s="109"/>
      <c r="Q16" s="140">
        <v>5</v>
      </c>
      <c r="R16" s="141">
        <v>10</v>
      </c>
      <c r="S16" s="18"/>
      <c r="T16" s="187" t="s">
        <v>417</v>
      </c>
      <c r="U16" s="188"/>
      <c r="V16" s="188"/>
      <c r="W16" s="188"/>
      <c r="X16" s="189"/>
    </row>
    <row r="17" spans="1:24" ht="19">
      <c r="A17" s="107" t="s">
        <v>69</v>
      </c>
      <c r="B17" s="108"/>
      <c r="C17" s="92">
        <v>1</v>
      </c>
      <c r="D17" s="108">
        <v>1</v>
      </c>
      <c r="E17" s="109">
        <v>0</v>
      </c>
      <c r="F17" s="108">
        <v>1</v>
      </c>
      <c r="G17" s="110">
        <v>-1</v>
      </c>
      <c r="H17" s="108"/>
      <c r="I17" s="109">
        <v>0</v>
      </c>
      <c r="J17" s="108"/>
      <c r="K17" s="92">
        <v>1</v>
      </c>
      <c r="L17" s="108">
        <v>1</v>
      </c>
      <c r="M17" s="110">
        <v>-1</v>
      </c>
      <c r="N17" s="108"/>
      <c r="O17" s="92">
        <v>2</v>
      </c>
      <c r="P17" s="108">
        <v>2</v>
      </c>
      <c r="Q17" s="140">
        <v>5</v>
      </c>
      <c r="R17" s="141">
        <v>8</v>
      </c>
      <c r="S17" s="18"/>
      <c r="T17" s="135" t="s">
        <v>410</v>
      </c>
      <c r="U17" s="136" t="s">
        <v>411</v>
      </c>
      <c r="V17" s="137" t="s">
        <v>412</v>
      </c>
      <c r="W17" s="138" t="s">
        <v>413</v>
      </c>
      <c r="X17" s="139" t="s">
        <v>414</v>
      </c>
    </row>
    <row r="18" spans="1:24" ht="19">
      <c r="A18" s="107" t="s">
        <v>56</v>
      </c>
      <c r="B18" s="108"/>
      <c r="C18" s="109">
        <v>0</v>
      </c>
      <c r="D18" s="108"/>
      <c r="E18" s="109">
        <v>0</v>
      </c>
      <c r="F18" s="108"/>
      <c r="G18" s="92">
        <v>1</v>
      </c>
      <c r="H18" s="108">
        <v>1</v>
      </c>
      <c r="I18" s="109">
        <v>0</v>
      </c>
      <c r="J18" s="108">
        <v>1</v>
      </c>
      <c r="K18" s="109">
        <v>0</v>
      </c>
      <c r="L18" s="108">
        <v>1</v>
      </c>
      <c r="M18" s="109">
        <v>0</v>
      </c>
      <c r="N18" s="108">
        <v>1</v>
      </c>
      <c r="O18" s="110">
        <v>-1</v>
      </c>
      <c r="P18" s="108"/>
      <c r="Q18" s="140">
        <v>4</v>
      </c>
      <c r="R18" s="141">
        <v>8</v>
      </c>
      <c r="S18" s="18"/>
      <c r="T18" s="47">
        <v>57</v>
      </c>
      <c r="U18" s="31">
        <v>151</v>
      </c>
      <c r="V18" s="31">
        <v>49</v>
      </c>
      <c r="W18" s="31">
        <v>179</v>
      </c>
      <c r="X18" s="31">
        <v>77</v>
      </c>
    </row>
    <row r="19" spans="1:24" ht="19">
      <c r="A19" s="117" t="s">
        <v>411</v>
      </c>
      <c r="B19" s="113">
        <v>0</v>
      </c>
      <c r="C19" s="114">
        <v>13</v>
      </c>
      <c r="D19" s="113">
        <v>13</v>
      </c>
      <c r="E19" s="92">
        <v>8</v>
      </c>
      <c r="F19" s="113">
        <v>21</v>
      </c>
      <c r="G19" s="92">
        <v>3</v>
      </c>
      <c r="H19" s="113">
        <v>24</v>
      </c>
      <c r="I19" s="110">
        <v>-3</v>
      </c>
      <c r="J19" s="113">
        <v>21</v>
      </c>
      <c r="K19" s="110">
        <v>-4</v>
      </c>
      <c r="L19" s="113">
        <v>17</v>
      </c>
      <c r="M19" s="110">
        <v>-4</v>
      </c>
      <c r="N19" s="113">
        <v>13</v>
      </c>
      <c r="O19" s="110">
        <v>-2</v>
      </c>
      <c r="P19" s="113">
        <v>11</v>
      </c>
      <c r="Q19" s="147">
        <v>120</v>
      </c>
      <c r="R19" s="148">
        <v>151</v>
      </c>
      <c r="S19" s="18"/>
      <c r="T19" s="142">
        <v>7.02</v>
      </c>
      <c r="U19" s="143">
        <v>11.26</v>
      </c>
      <c r="V19" s="143">
        <v>10.199999999999999</v>
      </c>
      <c r="W19" s="143">
        <v>15.64</v>
      </c>
      <c r="X19" s="143">
        <v>9.09</v>
      </c>
    </row>
    <row r="20" spans="1:24" ht="19">
      <c r="A20" s="107" t="s">
        <v>97</v>
      </c>
      <c r="B20" s="108"/>
      <c r="C20" s="92">
        <v>1</v>
      </c>
      <c r="D20" s="108">
        <v>1</v>
      </c>
      <c r="E20" s="110">
        <v>-1</v>
      </c>
      <c r="F20" s="108"/>
      <c r="G20" s="92">
        <v>1</v>
      </c>
      <c r="H20" s="108">
        <v>1</v>
      </c>
      <c r="I20" s="110">
        <v>-1</v>
      </c>
      <c r="J20" s="108"/>
      <c r="K20" s="109">
        <v>0</v>
      </c>
      <c r="L20" s="108"/>
      <c r="M20" s="109">
        <v>0</v>
      </c>
      <c r="N20" s="108"/>
      <c r="O20" s="92">
        <v>1</v>
      </c>
      <c r="P20" s="108">
        <v>1</v>
      </c>
      <c r="Q20" s="140">
        <v>3</v>
      </c>
      <c r="R20" s="141">
        <v>8</v>
      </c>
      <c r="S20" s="18"/>
      <c r="T20" s="18"/>
      <c r="U20" s="18"/>
      <c r="V20" s="18"/>
      <c r="W20" s="18"/>
      <c r="X20" s="18"/>
    </row>
    <row r="21" spans="1:24" ht="19">
      <c r="A21" s="119" t="s">
        <v>94</v>
      </c>
      <c r="B21" s="120"/>
      <c r="C21" s="92">
        <v>1</v>
      </c>
      <c r="D21" s="120">
        <v>1</v>
      </c>
      <c r="E21" s="109">
        <v>0</v>
      </c>
      <c r="F21" s="120">
        <v>1</v>
      </c>
      <c r="G21" s="92">
        <v>1</v>
      </c>
      <c r="H21" s="120">
        <v>2</v>
      </c>
      <c r="I21" s="92">
        <v>3</v>
      </c>
      <c r="J21" s="120">
        <v>5</v>
      </c>
      <c r="K21" s="110">
        <v>-1</v>
      </c>
      <c r="L21" s="120">
        <v>4</v>
      </c>
      <c r="M21" s="110">
        <v>-1</v>
      </c>
      <c r="N21" s="120">
        <v>3</v>
      </c>
      <c r="O21" s="109">
        <v>0</v>
      </c>
      <c r="P21" s="120">
        <v>3</v>
      </c>
      <c r="Q21" s="140">
        <v>19</v>
      </c>
      <c r="R21" s="141">
        <v>17</v>
      </c>
      <c r="S21" s="18"/>
      <c r="T21" s="187" t="s">
        <v>418</v>
      </c>
      <c r="U21" s="188"/>
      <c r="V21" s="188"/>
      <c r="W21" s="188"/>
      <c r="X21" s="189"/>
    </row>
    <row r="22" spans="1:24" ht="19">
      <c r="A22" s="121" t="s">
        <v>85</v>
      </c>
      <c r="B22" s="120"/>
      <c r="C22" s="109">
        <v>0</v>
      </c>
      <c r="D22" s="120"/>
      <c r="E22" s="92">
        <v>1</v>
      </c>
      <c r="F22" s="120">
        <v>1</v>
      </c>
      <c r="G22" s="92">
        <v>1</v>
      </c>
      <c r="H22" s="120">
        <v>2</v>
      </c>
      <c r="I22" s="110">
        <v>-2</v>
      </c>
      <c r="J22" s="120"/>
      <c r="K22" s="109">
        <v>0</v>
      </c>
      <c r="L22" s="120"/>
      <c r="M22" s="92">
        <v>1</v>
      </c>
      <c r="N22" s="120">
        <v>1</v>
      </c>
      <c r="O22" s="109">
        <v>0</v>
      </c>
      <c r="P22" s="120">
        <v>1</v>
      </c>
      <c r="Q22" s="140">
        <v>5</v>
      </c>
      <c r="R22" s="141">
        <v>8</v>
      </c>
      <c r="S22" s="18"/>
      <c r="T22" s="135" t="s">
        <v>410</v>
      </c>
      <c r="U22" s="136" t="s">
        <v>411</v>
      </c>
      <c r="V22" s="137" t="s">
        <v>412</v>
      </c>
      <c r="W22" s="138" t="s">
        <v>413</v>
      </c>
      <c r="X22" s="139" t="s">
        <v>414</v>
      </c>
    </row>
    <row r="23" spans="1:24" ht="19">
      <c r="A23" s="121" t="s">
        <v>83</v>
      </c>
      <c r="B23" s="120"/>
      <c r="C23" s="109">
        <v>0</v>
      </c>
      <c r="D23" s="120"/>
      <c r="E23" s="92">
        <v>1</v>
      </c>
      <c r="F23" s="120">
        <v>1</v>
      </c>
      <c r="G23" s="92">
        <v>2</v>
      </c>
      <c r="H23" s="120">
        <v>3</v>
      </c>
      <c r="I23" s="109">
        <v>0</v>
      </c>
      <c r="J23" s="120">
        <v>3</v>
      </c>
      <c r="K23" s="110">
        <v>-2</v>
      </c>
      <c r="L23" s="120">
        <v>1</v>
      </c>
      <c r="M23" s="110">
        <v>-1</v>
      </c>
      <c r="N23" s="120"/>
      <c r="O23" s="92">
        <v>1</v>
      </c>
      <c r="P23" s="120">
        <v>1</v>
      </c>
      <c r="Q23" s="140">
        <v>9</v>
      </c>
      <c r="R23" s="141">
        <v>8</v>
      </c>
      <c r="S23" s="18"/>
      <c r="T23" s="47">
        <v>57</v>
      </c>
      <c r="U23" s="31">
        <v>151</v>
      </c>
      <c r="V23" s="31">
        <v>49</v>
      </c>
      <c r="W23" s="31">
        <v>179</v>
      </c>
      <c r="X23" s="31">
        <v>77</v>
      </c>
    </row>
    <row r="24" spans="1:24" ht="19">
      <c r="A24" s="121" t="s">
        <v>52</v>
      </c>
      <c r="B24" s="108"/>
      <c r="C24" s="92">
        <v>1</v>
      </c>
      <c r="D24" s="108">
        <v>1</v>
      </c>
      <c r="E24" s="110">
        <v>-1</v>
      </c>
      <c r="F24" s="108"/>
      <c r="G24" s="92">
        <v>1</v>
      </c>
      <c r="H24" s="108">
        <v>1</v>
      </c>
      <c r="I24" s="92">
        <v>1</v>
      </c>
      <c r="J24" s="108">
        <v>2</v>
      </c>
      <c r="K24" s="110">
        <v>-2</v>
      </c>
      <c r="L24" s="108"/>
      <c r="M24" s="92">
        <v>1</v>
      </c>
      <c r="N24" s="108">
        <v>1</v>
      </c>
      <c r="O24" s="110">
        <v>-1</v>
      </c>
      <c r="P24" s="108"/>
      <c r="Q24" s="140">
        <v>5</v>
      </c>
      <c r="R24" s="141">
        <v>8</v>
      </c>
      <c r="S24" s="18"/>
      <c r="T24" s="142">
        <v>10.53</v>
      </c>
      <c r="U24" s="143">
        <v>13.91</v>
      </c>
      <c r="V24" s="143">
        <v>20.41</v>
      </c>
      <c r="W24" s="143">
        <v>14.53</v>
      </c>
      <c r="X24" s="143">
        <v>9.09</v>
      </c>
    </row>
    <row r="25" spans="1:24" ht="19">
      <c r="A25" s="122" t="s">
        <v>412</v>
      </c>
      <c r="B25" s="113">
        <v>0</v>
      </c>
      <c r="C25" s="114">
        <v>3</v>
      </c>
      <c r="D25" s="113">
        <v>3</v>
      </c>
      <c r="E25" s="115">
        <v>0</v>
      </c>
      <c r="F25" s="113">
        <v>3</v>
      </c>
      <c r="G25" s="92">
        <v>6</v>
      </c>
      <c r="H25" s="113">
        <v>9</v>
      </c>
      <c r="I25" s="92">
        <v>1</v>
      </c>
      <c r="J25" s="113">
        <v>10</v>
      </c>
      <c r="K25" s="110">
        <v>-5</v>
      </c>
      <c r="L25" s="113">
        <v>5</v>
      </c>
      <c r="M25" s="115">
        <v>0</v>
      </c>
      <c r="N25" s="113">
        <v>5</v>
      </c>
      <c r="O25" s="92">
        <v>1</v>
      </c>
      <c r="P25" s="113">
        <v>6</v>
      </c>
      <c r="Q25" s="149">
        <v>41</v>
      </c>
      <c r="R25" s="150">
        <v>49</v>
      </c>
      <c r="S25" s="18"/>
      <c r="T25" s="18"/>
      <c r="U25" s="18"/>
      <c r="V25" s="18"/>
      <c r="W25" s="18"/>
      <c r="X25" s="18"/>
    </row>
    <row r="26" spans="1:24" ht="19">
      <c r="A26" s="121" t="s">
        <v>95</v>
      </c>
      <c r="B26" s="108"/>
      <c r="C26" s="92">
        <v>3</v>
      </c>
      <c r="D26" s="108">
        <v>3</v>
      </c>
      <c r="E26" s="110">
        <v>-1</v>
      </c>
      <c r="F26" s="108">
        <v>2</v>
      </c>
      <c r="G26" s="92">
        <v>1</v>
      </c>
      <c r="H26" s="108">
        <v>3</v>
      </c>
      <c r="I26" s="110">
        <v>-1</v>
      </c>
      <c r="J26" s="108">
        <v>2</v>
      </c>
      <c r="K26" s="109">
        <v>0</v>
      </c>
      <c r="L26" s="108">
        <v>2</v>
      </c>
      <c r="M26" s="110">
        <v>-1</v>
      </c>
      <c r="N26" s="108">
        <v>1</v>
      </c>
      <c r="O26" s="110">
        <v>-1</v>
      </c>
      <c r="P26" s="108"/>
      <c r="Q26" s="140">
        <v>13</v>
      </c>
      <c r="R26" s="141">
        <v>10</v>
      </c>
      <c r="S26" s="18"/>
      <c r="T26" s="187" t="s">
        <v>419</v>
      </c>
      <c r="U26" s="188"/>
      <c r="V26" s="188"/>
      <c r="W26" s="188"/>
      <c r="X26" s="189"/>
    </row>
    <row r="27" spans="1:24" ht="19">
      <c r="A27" s="121" t="s">
        <v>88</v>
      </c>
      <c r="B27" s="108"/>
      <c r="C27" s="92">
        <v>6</v>
      </c>
      <c r="D27" s="108">
        <v>6</v>
      </c>
      <c r="E27" s="92">
        <v>2</v>
      </c>
      <c r="F27" s="108">
        <v>8</v>
      </c>
      <c r="G27" s="92">
        <v>6</v>
      </c>
      <c r="H27" s="108">
        <v>14</v>
      </c>
      <c r="I27" s="110">
        <v>-6</v>
      </c>
      <c r="J27" s="108">
        <v>8</v>
      </c>
      <c r="K27" s="110">
        <v>-2</v>
      </c>
      <c r="L27" s="108">
        <v>6</v>
      </c>
      <c r="M27" s="92">
        <v>2</v>
      </c>
      <c r="N27" s="108">
        <v>8</v>
      </c>
      <c r="O27" s="110">
        <v>-1</v>
      </c>
      <c r="P27" s="108">
        <v>7</v>
      </c>
      <c r="Q27" s="140">
        <v>57</v>
      </c>
      <c r="R27" s="141">
        <v>53</v>
      </c>
      <c r="S27" s="18"/>
      <c r="T27" s="135" t="s">
        <v>410</v>
      </c>
      <c r="U27" s="136" t="s">
        <v>411</v>
      </c>
      <c r="V27" s="137" t="s">
        <v>412</v>
      </c>
      <c r="W27" s="138" t="s">
        <v>413</v>
      </c>
      <c r="X27" s="139" t="s">
        <v>414</v>
      </c>
    </row>
    <row r="28" spans="1:24" ht="19">
      <c r="A28" s="121" t="s">
        <v>72</v>
      </c>
      <c r="B28" s="108"/>
      <c r="C28" s="92">
        <v>1</v>
      </c>
      <c r="D28" s="108">
        <v>1</v>
      </c>
      <c r="E28" s="92">
        <v>4</v>
      </c>
      <c r="F28" s="108">
        <v>5</v>
      </c>
      <c r="G28" s="92">
        <v>6</v>
      </c>
      <c r="H28" s="108">
        <v>11</v>
      </c>
      <c r="I28" s="110">
        <v>-6</v>
      </c>
      <c r="J28" s="108">
        <v>5</v>
      </c>
      <c r="K28" s="110">
        <v>-2</v>
      </c>
      <c r="L28" s="108">
        <v>3</v>
      </c>
      <c r="M28" s="110">
        <v>-1</v>
      </c>
      <c r="N28" s="108">
        <v>2</v>
      </c>
      <c r="O28" s="110">
        <v>-1</v>
      </c>
      <c r="P28" s="108">
        <v>1</v>
      </c>
      <c r="Q28" s="140">
        <v>28</v>
      </c>
      <c r="R28" s="141">
        <v>46</v>
      </c>
      <c r="S28" s="18"/>
      <c r="T28" s="47">
        <v>57</v>
      </c>
      <c r="U28" s="31">
        <v>151</v>
      </c>
      <c r="V28" s="31">
        <v>49</v>
      </c>
      <c r="W28" s="31">
        <v>179</v>
      </c>
      <c r="X28" s="31">
        <v>77</v>
      </c>
    </row>
    <row r="29" spans="1:24" ht="19">
      <c r="A29" s="121" t="s">
        <v>54</v>
      </c>
      <c r="B29" s="108"/>
      <c r="C29" s="92">
        <v>8</v>
      </c>
      <c r="D29" s="108">
        <v>8</v>
      </c>
      <c r="E29" s="92">
        <v>6</v>
      </c>
      <c r="F29" s="108">
        <v>14</v>
      </c>
      <c r="G29" s="92">
        <v>1</v>
      </c>
      <c r="H29" s="108">
        <v>15</v>
      </c>
      <c r="I29" s="110">
        <v>-4</v>
      </c>
      <c r="J29" s="108">
        <v>11</v>
      </c>
      <c r="K29" s="92">
        <v>6</v>
      </c>
      <c r="L29" s="108">
        <v>17</v>
      </c>
      <c r="M29" s="110">
        <v>-4</v>
      </c>
      <c r="N29" s="108">
        <v>13</v>
      </c>
      <c r="O29" s="92">
        <v>1</v>
      </c>
      <c r="P29" s="108">
        <v>14</v>
      </c>
      <c r="Q29" s="140">
        <v>92</v>
      </c>
      <c r="R29" s="141">
        <v>70</v>
      </c>
      <c r="S29" s="18"/>
      <c r="T29" s="142">
        <v>21.05</v>
      </c>
      <c r="U29" s="143">
        <v>15.89</v>
      </c>
      <c r="V29" s="143">
        <v>18.37</v>
      </c>
      <c r="W29" s="143">
        <v>24.02</v>
      </c>
      <c r="X29" s="143">
        <v>10.39</v>
      </c>
    </row>
    <row r="30" spans="1:24" ht="19">
      <c r="A30" s="124" t="s">
        <v>413</v>
      </c>
      <c r="B30" s="113">
        <v>0</v>
      </c>
      <c r="C30" s="114">
        <v>18</v>
      </c>
      <c r="D30" s="113">
        <v>18</v>
      </c>
      <c r="E30" s="92">
        <v>11</v>
      </c>
      <c r="F30" s="113">
        <v>29</v>
      </c>
      <c r="G30" s="92">
        <v>14</v>
      </c>
      <c r="H30" s="113">
        <v>43</v>
      </c>
      <c r="I30" s="110">
        <v>-17</v>
      </c>
      <c r="J30" s="113">
        <v>26</v>
      </c>
      <c r="K30" s="92">
        <v>2</v>
      </c>
      <c r="L30" s="113">
        <v>28</v>
      </c>
      <c r="M30" s="110">
        <v>-4</v>
      </c>
      <c r="N30" s="113">
        <v>24</v>
      </c>
      <c r="O30" s="110">
        <v>-2</v>
      </c>
      <c r="P30" s="113">
        <v>22</v>
      </c>
      <c r="Q30" s="151">
        <v>190</v>
      </c>
      <c r="R30" s="152">
        <v>179</v>
      </c>
      <c r="S30" s="18"/>
      <c r="T30" s="18"/>
      <c r="U30" s="18"/>
      <c r="V30" s="18"/>
      <c r="W30" s="18"/>
      <c r="X30" s="18"/>
    </row>
    <row r="31" spans="1:24" ht="19">
      <c r="A31" s="121" t="s">
        <v>13</v>
      </c>
      <c r="B31" s="108"/>
      <c r="C31" s="92">
        <v>4</v>
      </c>
      <c r="D31" s="108">
        <v>4</v>
      </c>
      <c r="E31" s="110">
        <v>-3</v>
      </c>
      <c r="F31" s="108">
        <v>1</v>
      </c>
      <c r="G31" s="92">
        <v>4</v>
      </c>
      <c r="H31" s="108">
        <v>5</v>
      </c>
      <c r="I31" s="109">
        <v>0</v>
      </c>
      <c r="J31" s="108">
        <v>5</v>
      </c>
      <c r="K31" s="110">
        <v>-1</v>
      </c>
      <c r="L31" s="108">
        <v>4</v>
      </c>
      <c r="M31" s="110">
        <v>-1</v>
      </c>
      <c r="N31" s="108">
        <v>3</v>
      </c>
      <c r="O31" s="110">
        <v>-1</v>
      </c>
      <c r="P31" s="108">
        <v>2</v>
      </c>
      <c r="Q31" s="140">
        <v>24</v>
      </c>
      <c r="R31" s="141">
        <v>30</v>
      </c>
      <c r="S31" s="18"/>
      <c r="T31" s="187" t="s">
        <v>421</v>
      </c>
      <c r="U31" s="188"/>
      <c r="V31" s="188"/>
      <c r="W31" s="188"/>
      <c r="X31" s="189"/>
    </row>
    <row r="32" spans="1:24" ht="19">
      <c r="A32" s="121" t="s">
        <v>62</v>
      </c>
      <c r="B32" s="109"/>
      <c r="C32" s="92">
        <v>2</v>
      </c>
      <c r="D32" s="109">
        <v>2</v>
      </c>
      <c r="E32" s="109">
        <v>0</v>
      </c>
      <c r="F32" s="109">
        <v>2</v>
      </c>
      <c r="G32" s="109">
        <v>0</v>
      </c>
      <c r="H32" s="109">
        <v>2</v>
      </c>
      <c r="I32" s="109">
        <v>0</v>
      </c>
      <c r="J32" s="109">
        <v>2</v>
      </c>
      <c r="K32" s="109">
        <v>0</v>
      </c>
      <c r="L32" s="109">
        <v>2</v>
      </c>
      <c r="M32" s="110">
        <v>-1</v>
      </c>
      <c r="N32" s="109">
        <v>1</v>
      </c>
      <c r="O32" s="109">
        <v>0</v>
      </c>
      <c r="P32" s="109">
        <v>1</v>
      </c>
      <c r="Q32" s="140">
        <v>12</v>
      </c>
      <c r="R32" s="141">
        <v>31</v>
      </c>
      <c r="S32" s="18"/>
      <c r="T32" s="135" t="s">
        <v>410</v>
      </c>
      <c r="U32" s="136" t="s">
        <v>411</v>
      </c>
      <c r="V32" s="137" t="s">
        <v>412</v>
      </c>
      <c r="W32" s="138" t="s">
        <v>413</v>
      </c>
      <c r="X32" s="139" t="s">
        <v>414</v>
      </c>
    </row>
    <row r="33" spans="1:24" ht="19">
      <c r="A33" s="121" t="s">
        <v>60</v>
      </c>
      <c r="B33" s="108"/>
      <c r="C33" s="109">
        <v>0</v>
      </c>
      <c r="D33" s="108"/>
      <c r="E33" s="109">
        <v>0</v>
      </c>
      <c r="F33" s="108"/>
      <c r="G33" s="92">
        <v>1</v>
      </c>
      <c r="H33" s="108">
        <v>1</v>
      </c>
      <c r="I33" s="110">
        <v>-1</v>
      </c>
      <c r="J33" s="108"/>
      <c r="K33" s="92">
        <v>1</v>
      </c>
      <c r="L33" s="108">
        <v>1</v>
      </c>
      <c r="M33" s="92">
        <v>1</v>
      </c>
      <c r="N33" s="108">
        <v>2</v>
      </c>
      <c r="O33" s="109">
        <v>0</v>
      </c>
      <c r="P33" s="108">
        <v>2</v>
      </c>
      <c r="Q33" s="140">
        <v>6</v>
      </c>
      <c r="R33" s="141">
        <v>16</v>
      </c>
      <c r="S33" s="18"/>
      <c r="T33" s="47">
        <v>57</v>
      </c>
      <c r="U33" s="31">
        <v>151</v>
      </c>
      <c r="V33" s="31">
        <v>49</v>
      </c>
      <c r="W33" s="31">
        <v>179</v>
      </c>
      <c r="X33" s="31">
        <v>77</v>
      </c>
    </row>
    <row r="34" spans="1:24" ht="19">
      <c r="A34" s="126" t="s">
        <v>414</v>
      </c>
      <c r="B34" s="127">
        <v>0</v>
      </c>
      <c r="C34" s="128">
        <v>6</v>
      </c>
      <c r="D34" s="127">
        <v>6</v>
      </c>
      <c r="E34" s="110">
        <v>-3</v>
      </c>
      <c r="F34" s="127">
        <v>3</v>
      </c>
      <c r="G34" s="92">
        <v>5</v>
      </c>
      <c r="H34" s="127">
        <v>8</v>
      </c>
      <c r="I34" s="110">
        <v>-1</v>
      </c>
      <c r="J34" s="127">
        <v>7</v>
      </c>
      <c r="K34" s="115">
        <v>0</v>
      </c>
      <c r="L34" s="127">
        <v>7</v>
      </c>
      <c r="M34" s="110">
        <v>-1</v>
      </c>
      <c r="N34" s="127">
        <v>6</v>
      </c>
      <c r="O34" s="110">
        <v>-1</v>
      </c>
      <c r="P34" s="127">
        <v>5</v>
      </c>
      <c r="Q34" s="153">
        <v>42</v>
      </c>
      <c r="R34" s="154">
        <v>77</v>
      </c>
      <c r="S34" s="18"/>
      <c r="T34" s="142">
        <v>8.77</v>
      </c>
      <c r="U34" s="143">
        <v>13.91</v>
      </c>
      <c r="V34" s="143">
        <v>6.12</v>
      </c>
      <c r="W34" s="143">
        <v>16.2</v>
      </c>
      <c r="X34" s="143">
        <v>3.9</v>
      </c>
    </row>
    <row r="35" spans="1:24" ht="19">
      <c r="A35" s="130" t="s">
        <v>420</v>
      </c>
      <c r="B35" s="131">
        <v>0</v>
      </c>
      <c r="C35" s="132">
        <v>40</v>
      </c>
      <c r="D35" s="131">
        <v>40</v>
      </c>
      <c r="E35" s="92">
        <v>21</v>
      </c>
      <c r="F35" s="131">
        <v>61</v>
      </c>
      <c r="G35" s="92">
        <v>35</v>
      </c>
      <c r="H35" s="131">
        <v>96</v>
      </c>
      <c r="I35" s="110">
        <v>-26</v>
      </c>
      <c r="J35" s="131">
        <v>70</v>
      </c>
      <c r="K35" s="110">
        <v>-9</v>
      </c>
      <c r="L35" s="131">
        <v>61</v>
      </c>
      <c r="M35" s="110">
        <v>-7</v>
      </c>
      <c r="N35" s="131">
        <v>54</v>
      </c>
      <c r="O35" s="110">
        <v>-5</v>
      </c>
      <c r="P35" s="131">
        <v>49</v>
      </c>
      <c r="Q35" s="155">
        <v>431</v>
      </c>
      <c r="R35" s="141">
        <v>513</v>
      </c>
      <c r="S35" s="18"/>
      <c r="T35" s="18"/>
      <c r="U35" s="18"/>
      <c r="V35" s="18"/>
      <c r="W35" s="18"/>
      <c r="X35" s="18"/>
    </row>
    <row r="36" spans="1:24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7" t="s">
        <v>422</v>
      </c>
      <c r="U36" s="188"/>
      <c r="V36" s="188"/>
      <c r="W36" s="188"/>
      <c r="X36" s="189"/>
    </row>
    <row r="37" spans="1:24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35" t="s">
        <v>410</v>
      </c>
      <c r="U37" s="136" t="s">
        <v>411</v>
      </c>
      <c r="V37" s="137" t="s">
        <v>412</v>
      </c>
      <c r="W37" s="138" t="s">
        <v>413</v>
      </c>
      <c r="X37" s="139" t="s">
        <v>414</v>
      </c>
    </row>
    <row r="38" spans="1:24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47">
        <v>57</v>
      </c>
      <c r="U38" s="31">
        <v>151</v>
      </c>
      <c r="V38" s="31">
        <v>49</v>
      </c>
      <c r="W38" s="17">
        <f>(R30-10)</f>
        <v>169</v>
      </c>
      <c r="X38" s="31">
        <v>77</v>
      </c>
    </row>
    <row r="39" spans="1:24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42">
        <v>0</v>
      </c>
      <c r="U39" s="143">
        <v>8.61</v>
      </c>
      <c r="V39" s="143">
        <v>6.12</v>
      </c>
      <c r="W39" s="143">
        <v>10.06</v>
      </c>
      <c r="X39" s="143">
        <v>7.79</v>
      </c>
    </row>
    <row r="40" spans="1:24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78" t="s">
        <v>428</v>
      </c>
      <c r="U41" s="178"/>
      <c r="V41" s="178"/>
      <c r="W41" s="178"/>
      <c r="X41" s="178"/>
    </row>
    <row r="42" spans="1:24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35" t="s">
        <v>410</v>
      </c>
      <c r="U42" s="136" t="s">
        <v>411</v>
      </c>
      <c r="V42" s="137" t="s">
        <v>412</v>
      </c>
      <c r="W42" s="138" t="s">
        <v>413</v>
      </c>
      <c r="X42" s="139" t="s">
        <v>414</v>
      </c>
    </row>
    <row r="43" spans="1:24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47">
        <v>57</v>
      </c>
      <c r="U43" s="31">
        <v>151</v>
      </c>
      <c r="V43" s="31">
        <v>49</v>
      </c>
      <c r="W43" s="17">
        <f>(R30-19)</f>
        <v>160</v>
      </c>
      <c r="X43" s="31">
        <v>77</v>
      </c>
    </row>
    <row r="44" spans="1:2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42">
        <v>0</v>
      </c>
      <c r="U44" s="143">
        <v>0</v>
      </c>
      <c r="V44" s="143">
        <v>0</v>
      </c>
      <c r="W44" s="143">
        <v>0</v>
      </c>
      <c r="X44" s="143">
        <v>0</v>
      </c>
    </row>
  </sheetData>
  <mergeCells count="10">
    <mergeCell ref="A1:Q1"/>
    <mergeCell ref="T41:X41"/>
    <mergeCell ref="T36:X36"/>
    <mergeCell ref="T31:X31"/>
    <mergeCell ref="T26:X26"/>
    <mergeCell ref="T21:X21"/>
    <mergeCell ref="T16:X16"/>
    <mergeCell ref="T11:X11"/>
    <mergeCell ref="T6:X6"/>
    <mergeCell ref="T1:X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44"/>
  <sheetViews>
    <sheetView topLeftCell="G18" workbookViewId="0">
      <selection activeCell="W43" sqref="W43"/>
    </sheetView>
  </sheetViews>
  <sheetFormatPr baseColWidth="10" defaultRowHeight="16"/>
  <cols>
    <col min="1" max="1" width="20.6640625" customWidth="1"/>
    <col min="17" max="17" width="17.5" customWidth="1"/>
    <col min="18" max="18" width="20.5" customWidth="1"/>
    <col min="20" max="20" width="15" customWidth="1"/>
    <col min="21" max="21" width="14" customWidth="1"/>
    <col min="22" max="22" width="15.1640625" customWidth="1"/>
    <col min="23" max="23" width="15.5" customWidth="1"/>
    <col min="24" max="24" width="14" customWidth="1"/>
  </cols>
  <sheetData>
    <row r="1" spans="1:24" ht="19">
      <c r="A1" s="182" t="s">
        <v>26</v>
      </c>
      <c r="B1" s="182"/>
      <c r="C1" s="182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T1" s="178" t="s">
        <v>391</v>
      </c>
      <c r="U1" s="178"/>
      <c r="V1" s="178"/>
      <c r="W1" s="178"/>
      <c r="X1" s="178"/>
    </row>
    <row r="2" spans="1:24" ht="19">
      <c r="A2" s="63" t="s">
        <v>392</v>
      </c>
      <c r="B2" s="63" t="s">
        <v>393</v>
      </c>
      <c r="C2" s="63" t="s">
        <v>394</v>
      </c>
      <c r="D2" s="63" t="s">
        <v>395</v>
      </c>
      <c r="E2" s="63" t="s">
        <v>396</v>
      </c>
      <c r="F2" s="63" t="s">
        <v>397</v>
      </c>
      <c r="G2" s="63" t="s">
        <v>398</v>
      </c>
      <c r="H2" s="63" t="s">
        <v>399</v>
      </c>
      <c r="I2" s="63" t="s">
        <v>400</v>
      </c>
      <c r="J2" s="63" t="s">
        <v>401</v>
      </c>
      <c r="K2" s="63" t="s">
        <v>402</v>
      </c>
      <c r="L2" s="63" t="s">
        <v>403</v>
      </c>
      <c r="M2" s="63" t="s">
        <v>404</v>
      </c>
      <c r="N2" s="63" t="s">
        <v>405</v>
      </c>
      <c r="O2" s="63" t="s">
        <v>406</v>
      </c>
      <c r="P2" s="63" t="s">
        <v>407</v>
      </c>
      <c r="Q2" s="64" t="s">
        <v>408</v>
      </c>
      <c r="R2" s="64" t="s">
        <v>427</v>
      </c>
      <c r="T2" s="65" t="s">
        <v>410</v>
      </c>
      <c r="U2" s="66" t="s">
        <v>411</v>
      </c>
      <c r="V2" s="67" t="s">
        <v>412</v>
      </c>
      <c r="W2" s="68" t="s">
        <v>413</v>
      </c>
      <c r="X2" s="69" t="s">
        <v>414</v>
      </c>
    </row>
    <row r="3" spans="1:24" ht="19">
      <c r="A3" s="70" t="s">
        <v>110</v>
      </c>
      <c r="B3" s="71"/>
      <c r="C3" s="72">
        <f>Table410016115911211512025119[[#This Row],[1990]]-Table410016115911211512025119[[#This Row],[1986]]</f>
        <v>0</v>
      </c>
      <c r="D3" s="71"/>
      <c r="E3" s="72">
        <f>Table410016115911211512025119[[#This Row],[1994]]-Table410016115911211512025119[[#This Row],[1990]]</f>
        <v>0</v>
      </c>
      <c r="F3" s="71"/>
      <c r="G3" s="72">
        <f>Table410016115911211512025119[[#This Row],[1998]]-Table410016115911211512025119[[#This Row],[1994]]</f>
        <v>0</v>
      </c>
      <c r="H3" s="71"/>
      <c r="I3" s="72">
        <f>Table410016115911211512025119[[#This Row],[2002]]-Table410016115911211512025119[[#This Row],[1998]]</f>
        <v>0</v>
      </c>
      <c r="J3" s="71"/>
      <c r="K3" s="72">
        <f>Table410016115911211512025119[[#This Row],[2006]]-Table410016115911211512025119[[#This Row],[2002]]</f>
        <v>0</v>
      </c>
      <c r="L3" s="71"/>
      <c r="M3" s="72">
        <f>Table410016115911211512025119[[#This Row],[2010]]-Table410016115911211512025119[[#This Row],[2006]]</f>
        <v>0</v>
      </c>
      <c r="N3" s="71"/>
      <c r="O3" s="72">
        <f>Table410016115911211512025119[[#This Row],[2014]]-Table410016115911211512025119[[#This Row],[2010]]</f>
        <v>0</v>
      </c>
      <c r="P3" s="71"/>
      <c r="Q3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3" s="74">
        <v>8</v>
      </c>
      <c r="T3" s="9">
        <f>R9*8</f>
        <v>456</v>
      </c>
      <c r="U3" s="9">
        <f>R19*8</f>
        <v>1208</v>
      </c>
      <c r="V3" s="9">
        <f>R25*8</f>
        <v>392</v>
      </c>
      <c r="W3" s="9">
        <f>R30*8</f>
        <v>1432</v>
      </c>
      <c r="X3" s="9">
        <f>R34*8</f>
        <v>616</v>
      </c>
    </row>
    <row r="4" spans="1:24" ht="19">
      <c r="A4" s="70" t="s">
        <v>106</v>
      </c>
      <c r="B4" s="71"/>
      <c r="C4" s="72">
        <f>Table410016115911211512025119[[#This Row],[1990]]-Table410016115911211512025119[[#This Row],[1986]]</f>
        <v>0</v>
      </c>
      <c r="D4" s="71"/>
      <c r="E4" s="72">
        <f>Table410016115911211512025119[[#This Row],[1994]]-Table410016115911211512025119[[#This Row],[1990]]</f>
        <v>0</v>
      </c>
      <c r="F4" s="71"/>
      <c r="G4" s="72">
        <f>Table410016115911211512025119[[#This Row],[1998]]-Table410016115911211512025119[[#This Row],[1994]]</f>
        <v>0</v>
      </c>
      <c r="H4" s="71"/>
      <c r="I4" s="72">
        <f>Table410016115911211512025119[[#This Row],[2002]]-Table410016115911211512025119[[#This Row],[1998]]</f>
        <v>0</v>
      </c>
      <c r="J4" s="71"/>
      <c r="K4" s="72">
        <f>Table410016115911211512025119[[#This Row],[2006]]-Table410016115911211512025119[[#This Row],[2002]]</f>
        <v>0</v>
      </c>
      <c r="L4" s="71"/>
      <c r="M4" s="72">
        <f>Table410016115911211512025119[[#This Row],[2010]]-Table410016115911211512025119[[#This Row],[2006]]</f>
        <v>0</v>
      </c>
      <c r="N4" s="71"/>
      <c r="O4" s="72">
        <f>Table410016115911211512025119[[#This Row],[2014]]-Table410016115911211512025119[[#This Row],[2010]]</f>
        <v>0</v>
      </c>
      <c r="P4" s="71"/>
      <c r="Q4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4" s="75">
        <v>8</v>
      </c>
      <c r="T4" s="44">
        <f>(Q9/T3)*100</f>
        <v>0.21929824561403508</v>
      </c>
      <c r="U4" s="44">
        <f>(Q19/U3)*100</f>
        <v>0</v>
      </c>
      <c r="V4" s="44">
        <f>(Q25/V3)*100</f>
        <v>0</v>
      </c>
      <c r="W4" s="44">
        <f>(Q30/W3)*100</f>
        <v>0.55865921787709494</v>
      </c>
      <c r="X4" s="76">
        <f>(Q34/X3)*100</f>
        <v>0</v>
      </c>
    </row>
    <row r="5" spans="1:24" ht="19">
      <c r="A5" s="70" t="s">
        <v>104</v>
      </c>
      <c r="B5" s="71"/>
      <c r="C5" s="72">
        <f>Table410016115911211512025119[[#This Row],[1990]]-Table410016115911211512025119[[#This Row],[1986]]</f>
        <v>0</v>
      </c>
      <c r="D5" s="71"/>
      <c r="E5" s="72">
        <f>Table410016115911211512025119[[#This Row],[1994]]-Table410016115911211512025119[[#This Row],[1990]]</f>
        <v>0</v>
      </c>
      <c r="F5" s="71"/>
      <c r="G5" s="72">
        <f>Table410016115911211512025119[[#This Row],[1998]]-Table410016115911211512025119[[#This Row],[1994]]</f>
        <v>0</v>
      </c>
      <c r="H5" s="71"/>
      <c r="I5" s="72">
        <f>Table410016115911211512025119[[#This Row],[2002]]-Table410016115911211512025119[[#This Row],[1998]]</f>
        <v>0</v>
      </c>
      <c r="J5" s="71"/>
      <c r="K5" s="72">
        <f>Table410016115911211512025119[[#This Row],[2006]]-Table410016115911211512025119[[#This Row],[2002]]</f>
        <v>0</v>
      </c>
      <c r="L5" s="71"/>
      <c r="M5" s="72">
        <f>Table410016115911211512025119[[#This Row],[2010]]-Table410016115911211512025119[[#This Row],[2006]]</f>
        <v>0</v>
      </c>
      <c r="N5" s="71"/>
      <c r="O5" s="72">
        <f>Table410016115911211512025119[[#This Row],[2014]]-Table410016115911211512025119[[#This Row],[2010]]</f>
        <v>0</v>
      </c>
      <c r="P5" s="71"/>
      <c r="Q5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5" s="75">
        <v>8</v>
      </c>
    </row>
    <row r="6" spans="1:24" ht="19">
      <c r="A6" s="70" t="s">
        <v>73</v>
      </c>
      <c r="B6" s="71"/>
      <c r="C6" s="72">
        <f>Table410016115911211512025119[[#This Row],[1990]]-Table410016115911211512025119[[#This Row],[1986]]</f>
        <v>0</v>
      </c>
      <c r="D6" s="71"/>
      <c r="E6" s="72">
        <f>Table410016115911211512025119[[#This Row],[1994]]-Table410016115911211512025119[[#This Row],[1990]]</f>
        <v>0</v>
      </c>
      <c r="F6" s="71"/>
      <c r="G6" s="72">
        <f>Table410016115911211512025119[[#This Row],[1998]]-Table410016115911211512025119[[#This Row],[1994]]</f>
        <v>0</v>
      </c>
      <c r="H6" s="71"/>
      <c r="I6" s="72">
        <f>Table410016115911211512025119[[#This Row],[2002]]-Table410016115911211512025119[[#This Row],[1998]]</f>
        <v>0</v>
      </c>
      <c r="J6" s="71"/>
      <c r="K6" s="72">
        <f>Table410016115911211512025119[[#This Row],[2006]]-Table410016115911211512025119[[#This Row],[2002]]</f>
        <v>0</v>
      </c>
      <c r="L6" s="71"/>
      <c r="M6" s="72">
        <f>Table410016115911211512025119[[#This Row],[2010]]-Table410016115911211512025119[[#This Row],[2006]]</f>
        <v>0</v>
      </c>
      <c r="N6" s="71"/>
      <c r="O6" s="72">
        <f>Table410016115911211512025119[[#This Row],[2014]]-Table410016115911211512025119[[#This Row],[2010]]</f>
        <v>1</v>
      </c>
      <c r="P6" s="71">
        <v>1</v>
      </c>
      <c r="Q6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1</v>
      </c>
      <c r="R6" s="75">
        <v>17</v>
      </c>
      <c r="T6" s="178" t="s">
        <v>415</v>
      </c>
      <c r="U6" s="178"/>
      <c r="V6" s="178"/>
      <c r="W6" s="178"/>
      <c r="X6" s="178"/>
    </row>
    <row r="7" spans="1:24" ht="19">
      <c r="A7" s="70" t="s">
        <v>67</v>
      </c>
      <c r="B7" s="77"/>
      <c r="C7" s="72">
        <f>Table410016115911211512025119[[#This Row],[1990]]-Table410016115911211512025119[[#This Row],[1986]]</f>
        <v>0</v>
      </c>
      <c r="D7" s="77"/>
      <c r="E7" s="72">
        <f>Table410016115911211512025119[[#This Row],[1994]]-Table410016115911211512025119[[#This Row],[1990]]</f>
        <v>0</v>
      </c>
      <c r="F7" s="77"/>
      <c r="G7" s="72">
        <f>Table410016115911211512025119[[#This Row],[1998]]-Table410016115911211512025119[[#This Row],[1994]]</f>
        <v>0</v>
      </c>
      <c r="H7" s="77"/>
      <c r="I7" s="72">
        <f>Table410016115911211512025119[[#This Row],[2002]]-Table410016115911211512025119[[#This Row],[1998]]</f>
        <v>0</v>
      </c>
      <c r="J7" s="77"/>
      <c r="K7" s="72">
        <f>Table410016115911211512025119[[#This Row],[2006]]-Table410016115911211512025119[[#This Row],[2002]]</f>
        <v>0</v>
      </c>
      <c r="L7" s="77"/>
      <c r="M7" s="72">
        <f>Table410016115911211512025119[[#This Row],[2010]]-Table410016115911211512025119[[#This Row],[2006]]</f>
        <v>0</v>
      </c>
      <c r="N7" s="77"/>
      <c r="O7" s="72">
        <f>Table410016115911211512025119[[#This Row],[2014]]-Table410016115911211512025119[[#This Row],[2010]]</f>
        <v>0</v>
      </c>
      <c r="P7" s="77"/>
      <c r="Q7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7" s="75">
        <v>8</v>
      </c>
      <c r="T7" s="65" t="s">
        <v>410</v>
      </c>
      <c r="U7" s="66" t="s">
        <v>411</v>
      </c>
      <c r="V7" s="67" t="s">
        <v>412</v>
      </c>
      <c r="W7" s="68" t="s">
        <v>413</v>
      </c>
      <c r="X7" s="69" t="s">
        <v>414</v>
      </c>
    </row>
    <row r="8" spans="1:24" ht="19">
      <c r="A8" s="70" t="s">
        <v>65</v>
      </c>
      <c r="B8" s="71"/>
      <c r="C8" s="72">
        <f>Table410016115911211512025119[[#This Row],[1990]]-Table410016115911211512025119[[#This Row],[1986]]</f>
        <v>0</v>
      </c>
      <c r="D8" s="71"/>
      <c r="E8" s="72">
        <f>Table410016115911211512025119[[#This Row],[1994]]-Table410016115911211512025119[[#This Row],[1990]]</f>
        <v>0</v>
      </c>
      <c r="F8" s="71"/>
      <c r="G8" s="72">
        <f>Table410016115911211512025119[[#This Row],[1998]]-Table410016115911211512025119[[#This Row],[1994]]</f>
        <v>0</v>
      </c>
      <c r="H8" s="71"/>
      <c r="I8" s="72">
        <f>Table410016115911211512025119[[#This Row],[2002]]-Table410016115911211512025119[[#This Row],[1998]]</f>
        <v>0</v>
      </c>
      <c r="J8" s="71"/>
      <c r="K8" s="72">
        <f>Table410016115911211512025119[[#This Row],[2006]]-Table410016115911211512025119[[#This Row],[2002]]</f>
        <v>0</v>
      </c>
      <c r="L8" s="71"/>
      <c r="M8" s="72">
        <f>Table410016115911211512025119[[#This Row],[2010]]-Table410016115911211512025119[[#This Row],[2006]]</f>
        <v>0</v>
      </c>
      <c r="N8" s="71"/>
      <c r="O8" s="72">
        <f>Table410016115911211512025119[[#This Row],[2014]]-Table410016115911211512025119[[#This Row],[2010]]</f>
        <v>0</v>
      </c>
      <c r="P8" s="71"/>
      <c r="Q8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8" s="75">
        <v>8</v>
      </c>
      <c r="T8" s="9">
        <f>R9</f>
        <v>57</v>
      </c>
      <c r="U8" s="9">
        <f>R19</f>
        <v>151</v>
      </c>
      <c r="V8" s="9">
        <f>R25</f>
        <v>49</v>
      </c>
      <c r="W8" s="9">
        <f>R30</f>
        <v>179</v>
      </c>
      <c r="X8" s="9">
        <f>R34</f>
        <v>77</v>
      </c>
    </row>
    <row r="9" spans="1:24" ht="19">
      <c r="A9" s="78" t="s">
        <v>410</v>
      </c>
      <c r="B9" s="79">
        <f>SUM(B3:B8)</f>
        <v>0</v>
      </c>
      <c r="C9" s="79">
        <f>Table410016115911211512025119[[#This Row],[1990]]-Table410016115911211512025119[[#This Row],[1986]]</f>
        <v>0</v>
      </c>
      <c r="D9" s="79">
        <f>SUM(D3:D8)</f>
        <v>0</v>
      </c>
      <c r="E9" s="80">
        <f>Table410016115911211512025119[[#This Row],[1994]]-Table410016115911211512025119[[#This Row],[1990]]</f>
        <v>0</v>
      </c>
      <c r="F9" s="79">
        <f>SUM(F3:F8)</f>
        <v>0</v>
      </c>
      <c r="G9" s="80">
        <f>Table410016115911211512025119[[#This Row],[1998]]-Table410016115911211512025119[[#This Row],[1994]]</f>
        <v>0</v>
      </c>
      <c r="H9" s="79">
        <f>SUM(H3:H8)</f>
        <v>0</v>
      </c>
      <c r="I9" s="80">
        <f>Table410016115911211512025119[[#This Row],[2002]]-Table410016115911211512025119[[#This Row],[1998]]</f>
        <v>0</v>
      </c>
      <c r="J9" s="79">
        <f>SUM(J3:J8)</f>
        <v>0</v>
      </c>
      <c r="K9" s="80">
        <f>Table410016115911211512025119[[#This Row],[2006]]-Table410016115911211512025119[[#This Row],[2002]]</f>
        <v>0</v>
      </c>
      <c r="L9" s="79">
        <f>SUM(L3:L8)</f>
        <v>0</v>
      </c>
      <c r="M9" s="80">
        <f>Table410016115911211512025119[[#This Row],[2010]]-Table410016115911211512025119[[#This Row],[2006]]</f>
        <v>0</v>
      </c>
      <c r="N9" s="79">
        <f>SUM(N3:N8)</f>
        <v>0</v>
      </c>
      <c r="O9" s="80">
        <f>Table410016115911211512025119[[#This Row],[2014]]-Table410016115911211512025119[[#This Row],[2010]]</f>
        <v>1</v>
      </c>
      <c r="P9" s="79">
        <f>SUM(P3:P8)</f>
        <v>1</v>
      </c>
      <c r="Q9" s="81">
        <f>SUM(Q3:Q8)</f>
        <v>1</v>
      </c>
      <c r="R9" s="82">
        <v>57</v>
      </c>
      <c r="T9" s="44">
        <f>(Table410016115911211512025119[[#This Row],[2014]]/T8)*100</f>
        <v>1.7543859649122806</v>
      </c>
      <c r="U9" s="44">
        <f>(P19/U8)*100</f>
        <v>0</v>
      </c>
      <c r="V9" s="44">
        <f>(P25/V8)*100</f>
        <v>0</v>
      </c>
      <c r="W9" s="44">
        <f>(P30/W8)*100</f>
        <v>2.7932960893854748</v>
      </c>
      <c r="X9" s="44">
        <f>(P34/X8)*100</f>
        <v>0</v>
      </c>
    </row>
    <row r="10" spans="1:24" ht="19">
      <c r="A10" s="70" t="s">
        <v>108</v>
      </c>
      <c r="B10" s="71"/>
      <c r="C10" s="72">
        <f>Table410016115911211512025119[[#This Row],[1990]]-Table410016115911211512025119[[#This Row],[1986]]</f>
        <v>0</v>
      </c>
      <c r="D10" s="71"/>
      <c r="E10" s="72">
        <f>Table410016115911211512025119[[#This Row],[1994]]-Table410016115911211512025119[[#This Row],[1990]]</f>
        <v>0</v>
      </c>
      <c r="F10" s="71"/>
      <c r="G10" s="72">
        <f>Table410016115911211512025119[[#This Row],[1998]]-Table410016115911211512025119[[#This Row],[1994]]</f>
        <v>0</v>
      </c>
      <c r="H10" s="71"/>
      <c r="I10" s="72">
        <f>Table410016115911211512025119[[#This Row],[2002]]-Table410016115911211512025119[[#This Row],[1998]]</f>
        <v>0</v>
      </c>
      <c r="J10" s="71"/>
      <c r="K10" s="72">
        <f>Table410016115911211512025119[[#This Row],[2006]]-Table410016115911211512025119[[#This Row],[2002]]</f>
        <v>0</v>
      </c>
      <c r="L10" s="71"/>
      <c r="M10" s="72">
        <f>Table410016115911211512025119[[#This Row],[2010]]-Table410016115911211512025119[[#This Row],[2006]]</f>
        <v>0</v>
      </c>
      <c r="N10" s="71"/>
      <c r="O10" s="72">
        <f>Table410016115911211512025119[[#This Row],[2014]]-Table410016115911211512025119[[#This Row],[2010]]</f>
        <v>0</v>
      </c>
      <c r="P10" s="71"/>
      <c r="Q10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10" s="75">
        <v>9</v>
      </c>
    </row>
    <row r="11" spans="1:24" ht="19">
      <c r="A11" s="70" t="s">
        <v>101</v>
      </c>
      <c r="B11" s="71"/>
      <c r="C11" s="72">
        <f>Table410016115911211512025119[[#This Row],[1990]]-Table410016115911211512025119[[#This Row],[1986]]</f>
        <v>0</v>
      </c>
      <c r="D11" s="71"/>
      <c r="E11" s="72">
        <f>Table410016115911211512025119[[#This Row],[1994]]-Table410016115911211512025119[[#This Row],[1990]]</f>
        <v>0</v>
      </c>
      <c r="F11" s="71"/>
      <c r="G11" s="72">
        <f>Table410016115911211512025119[[#This Row],[1998]]-Table410016115911211512025119[[#This Row],[1994]]</f>
        <v>0</v>
      </c>
      <c r="H11" s="71"/>
      <c r="I11" s="72">
        <f>Table410016115911211512025119[[#This Row],[2002]]-Table410016115911211512025119[[#This Row],[1998]]</f>
        <v>0</v>
      </c>
      <c r="J11" s="71"/>
      <c r="K11" s="72">
        <f>Table410016115911211512025119[[#This Row],[2006]]-Table410016115911211512025119[[#This Row],[2002]]</f>
        <v>0</v>
      </c>
      <c r="L11" s="71"/>
      <c r="M11" s="72">
        <f>Table410016115911211512025119[[#This Row],[2010]]-Table410016115911211512025119[[#This Row],[2006]]</f>
        <v>0</v>
      </c>
      <c r="N11" s="71"/>
      <c r="O11" s="72">
        <f>Table410016115911211512025119[[#This Row],[2014]]-Table410016115911211512025119[[#This Row],[2010]]</f>
        <v>0</v>
      </c>
      <c r="P11" s="71"/>
      <c r="Q11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11" s="75">
        <v>39</v>
      </c>
      <c r="T11" s="178" t="s">
        <v>416</v>
      </c>
      <c r="U11" s="178"/>
      <c r="V11" s="178"/>
      <c r="W11" s="178"/>
      <c r="X11" s="178"/>
    </row>
    <row r="12" spans="1:24" ht="19">
      <c r="A12" s="70" t="s">
        <v>99</v>
      </c>
      <c r="B12" s="71"/>
      <c r="C12" s="72">
        <f>Table410016115911211512025119[[#This Row],[1990]]-Table410016115911211512025119[[#This Row],[1986]]</f>
        <v>0</v>
      </c>
      <c r="D12" s="71"/>
      <c r="E12" s="72">
        <f>Table410016115911211512025119[[#This Row],[1994]]-Table410016115911211512025119[[#This Row],[1990]]</f>
        <v>0</v>
      </c>
      <c r="F12" s="71"/>
      <c r="G12" s="72">
        <f>Table410016115911211512025119[[#This Row],[1998]]-Table410016115911211512025119[[#This Row],[1994]]</f>
        <v>0</v>
      </c>
      <c r="H12" s="71"/>
      <c r="I12" s="72">
        <f>Table410016115911211512025119[[#This Row],[2002]]-Table410016115911211512025119[[#This Row],[1998]]</f>
        <v>0</v>
      </c>
      <c r="J12" s="71"/>
      <c r="K12" s="72">
        <f>Table410016115911211512025119[[#This Row],[2006]]-Table410016115911211512025119[[#This Row],[2002]]</f>
        <v>0</v>
      </c>
      <c r="L12" s="71"/>
      <c r="M12" s="72">
        <f>Table410016115911211512025119[[#This Row],[2010]]-Table410016115911211512025119[[#This Row],[2006]]</f>
        <v>0</v>
      </c>
      <c r="N12" s="71"/>
      <c r="O12" s="72">
        <f>Table410016115911211512025119[[#This Row],[2014]]-Table410016115911211512025119[[#This Row],[2010]]</f>
        <v>0</v>
      </c>
      <c r="P12" s="71"/>
      <c r="Q12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12" s="75">
        <v>22</v>
      </c>
      <c r="T12" s="65" t="s">
        <v>410</v>
      </c>
      <c r="U12" s="66" t="s">
        <v>411</v>
      </c>
      <c r="V12" s="67" t="s">
        <v>412</v>
      </c>
      <c r="W12" s="68" t="s">
        <v>413</v>
      </c>
      <c r="X12" s="69" t="s">
        <v>414</v>
      </c>
    </row>
    <row r="13" spans="1:24" ht="19">
      <c r="A13" s="70" t="s">
        <v>90</v>
      </c>
      <c r="B13" s="71"/>
      <c r="C13" s="72">
        <f>Table410016115911211512025119[[#This Row],[1990]]-Table410016115911211512025119[[#This Row],[1986]]</f>
        <v>0</v>
      </c>
      <c r="D13" s="71"/>
      <c r="E13" s="72">
        <f>Table410016115911211512025119[[#This Row],[1994]]-Table410016115911211512025119[[#This Row],[1990]]</f>
        <v>0</v>
      </c>
      <c r="F13" s="71"/>
      <c r="G13" s="72">
        <f>Table410016115911211512025119[[#This Row],[1998]]-Table410016115911211512025119[[#This Row],[1994]]</f>
        <v>0</v>
      </c>
      <c r="H13" s="71"/>
      <c r="I13" s="72">
        <f>Table410016115911211512025119[[#This Row],[2002]]-Table410016115911211512025119[[#This Row],[1998]]</f>
        <v>0</v>
      </c>
      <c r="J13" s="71"/>
      <c r="K13" s="72">
        <f>Table410016115911211512025119[[#This Row],[2006]]-Table410016115911211512025119[[#This Row],[2002]]</f>
        <v>0</v>
      </c>
      <c r="L13" s="71"/>
      <c r="M13" s="72">
        <f>Table410016115911211512025119[[#This Row],[2010]]-Table410016115911211512025119[[#This Row],[2006]]</f>
        <v>0</v>
      </c>
      <c r="N13" s="71"/>
      <c r="O13" s="72">
        <f>Table410016115911211512025119[[#This Row],[2014]]-Table410016115911211512025119[[#This Row],[2010]]</f>
        <v>0</v>
      </c>
      <c r="P13" s="71"/>
      <c r="Q13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13" s="75">
        <v>18</v>
      </c>
      <c r="T13" s="9">
        <f>R9</f>
        <v>57</v>
      </c>
      <c r="U13" s="9">
        <f>R19</f>
        <v>151</v>
      </c>
      <c r="V13" s="9">
        <f>R25</f>
        <v>49</v>
      </c>
      <c r="W13" s="9">
        <f>R30</f>
        <v>179</v>
      </c>
      <c r="X13" s="9">
        <f>R34</f>
        <v>77</v>
      </c>
    </row>
    <row r="14" spans="1:24" ht="19">
      <c r="A14" s="70" t="s">
        <v>79</v>
      </c>
      <c r="B14" s="71"/>
      <c r="C14" s="72">
        <f>Table410016115911211512025119[[#This Row],[1990]]-Table410016115911211512025119[[#This Row],[1986]]</f>
        <v>0</v>
      </c>
      <c r="D14" s="71"/>
      <c r="E14" s="72">
        <f>Table410016115911211512025119[[#This Row],[1994]]-Table410016115911211512025119[[#This Row],[1990]]</f>
        <v>0</v>
      </c>
      <c r="F14" s="71"/>
      <c r="G14" s="72">
        <f>Table410016115911211512025119[[#This Row],[1998]]-Table410016115911211512025119[[#This Row],[1994]]</f>
        <v>0</v>
      </c>
      <c r="H14" s="71"/>
      <c r="I14" s="72">
        <f>Table410016115911211512025119[[#This Row],[2002]]-Table410016115911211512025119[[#This Row],[1998]]</f>
        <v>0</v>
      </c>
      <c r="J14" s="71"/>
      <c r="K14" s="72">
        <f>Table410016115911211512025119[[#This Row],[2006]]-Table410016115911211512025119[[#This Row],[2002]]</f>
        <v>0</v>
      </c>
      <c r="L14" s="71"/>
      <c r="M14" s="72">
        <f>Table410016115911211512025119[[#This Row],[2010]]-Table410016115911211512025119[[#This Row],[2006]]</f>
        <v>0</v>
      </c>
      <c r="N14" s="71"/>
      <c r="O14" s="72">
        <f>Table410016115911211512025119[[#This Row],[2014]]-Table410016115911211512025119[[#This Row],[2010]]</f>
        <v>0</v>
      </c>
      <c r="P14" s="71"/>
      <c r="Q14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14" s="75">
        <v>12</v>
      </c>
      <c r="T14" s="44">
        <f>(N9/T13)*100</f>
        <v>0</v>
      </c>
      <c r="U14" s="44">
        <f>(N19/U13)*100</f>
        <v>0</v>
      </c>
      <c r="V14" s="44">
        <f>(N25/V13)*100</f>
        <v>0</v>
      </c>
      <c r="W14" s="44">
        <f>(N30/W13)*100</f>
        <v>0</v>
      </c>
      <c r="X14" s="44">
        <f>(N34/X13)*100</f>
        <v>0</v>
      </c>
    </row>
    <row r="15" spans="1:24" ht="19">
      <c r="A15" s="70" t="s">
        <v>77</v>
      </c>
      <c r="B15" s="71"/>
      <c r="C15" s="72">
        <f>Table410016115911211512025119[[#This Row],[1990]]-Table410016115911211512025119[[#This Row],[1986]]</f>
        <v>0</v>
      </c>
      <c r="D15" s="71"/>
      <c r="E15" s="72">
        <f>Table410016115911211512025119[[#This Row],[1994]]-Table410016115911211512025119[[#This Row],[1990]]</f>
        <v>0</v>
      </c>
      <c r="F15" s="71"/>
      <c r="G15" s="72">
        <f>Table410016115911211512025119[[#This Row],[1998]]-Table410016115911211512025119[[#This Row],[1994]]</f>
        <v>0</v>
      </c>
      <c r="H15" s="71"/>
      <c r="I15" s="72">
        <f>Table410016115911211512025119[[#This Row],[2002]]-Table410016115911211512025119[[#This Row],[1998]]</f>
        <v>0</v>
      </c>
      <c r="J15" s="71"/>
      <c r="K15" s="72">
        <f>Table410016115911211512025119[[#This Row],[2006]]-Table410016115911211512025119[[#This Row],[2002]]</f>
        <v>0</v>
      </c>
      <c r="L15" s="71"/>
      <c r="M15" s="72">
        <f>Table410016115911211512025119[[#This Row],[2010]]-Table410016115911211512025119[[#This Row],[2006]]</f>
        <v>0</v>
      </c>
      <c r="N15" s="71"/>
      <c r="O15" s="72">
        <f>Table410016115911211512025119[[#This Row],[2014]]-Table410016115911211512025119[[#This Row],[2010]]</f>
        <v>0</v>
      </c>
      <c r="P15" s="71"/>
      <c r="Q15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15" s="75">
        <v>25</v>
      </c>
    </row>
    <row r="16" spans="1:24" ht="19">
      <c r="A16" s="70" t="s">
        <v>75</v>
      </c>
      <c r="B16" s="72"/>
      <c r="C16" s="72">
        <f>Table410016115911211512025119[[#This Row],[1990]]-Table410016115911211512025119[[#This Row],[1986]]</f>
        <v>0</v>
      </c>
      <c r="D16" s="72"/>
      <c r="E16" s="72">
        <f>Table410016115911211512025119[[#This Row],[1994]]-Table410016115911211512025119[[#This Row],[1990]]</f>
        <v>0</v>
      </c>
      <c r="F16" s="72"/>
      <c r="G16" s="72">
        <f>Table410016115911211512025119[[#This Row],[1998]]-Table410016115911211512025119[[#This Row],[1994]]</f>
        <v>0</v>
      </c>
      <c r="H16" s="72"/>
      <c r="I16" s="72">
        <f>Table410016115911211512025119[[#This Row],[2002]]-Table410016115911211512025119[[#This Row],[1998]]</f>
        <v>0</v>
      </c>
      <c r="J16" s="72"/>
      <c r="K16" s="72">
        <f>Table410016115911211512025119[[#This Row],[2006]]-Table410016115911211512025119[[#This Row],[2002]]</f>
        <v>0</v>
      </c>
      <c r="L16" s="72"/>
      <c r="M16" s="72">
        <f>Table410016115911211512025119[[#This Row],[2010]]-Table410016115911211512025119[[#This Row],[2006]]</f>
        <v>0</v>
      </c>
      <c r="N16" s="72"/>
      <c r="O16" s="72">
        <f>Table410016115911211512025119[[#This Row],[2014]]-Table410016115911211512025119[[#This Row],[2010]]</f>
        <v>0</v>
      </c>
      <c r="P16" s="72"/>
      <c r="Q16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16" s="75">
        <v>10</v>
      </c>
      <c r="T16" s="178" t="s">
        <v>417</v>
      </c>
      <c r="U16" s="178"/>
      <c r="V16" s="178"/>
      <c r="W16" s="178"/>
      <c r="X16" s="178"/>
    </row>
    <row r="17" spans="1:24" ht="19">
      <c r="A17" s="70" t="s">
        <v>69</v>
      </c>
      <c r="B17" s="71"/>
      <c r="C17" s="72">
        <f>Table410016115911211512025119[[#This Row],[1990]]-Table410016115911211512025119[[#This Row],[1986]]</f>
        <v>0</v>
      </c>
      <c r="D17" s="71"/>
      <c r="E17" s="72">
        <f>Table410016115911211512025119[[#This Row],[1994]]-Table410016115911211512025119[[#This Row],[1990]]</f>
        <v>0</v>
      </c>
      <c r="F17" s="71"/>
      <c r="G17" s="72">
        <f>Table410016115911211512025119[[#This Row],[1998]]-Table410016115911211512025119[[#This Row],[1994]]</f>
        <v>0</v>
      </c>
      <c r="H17" s="71"/>
      <c r="I17" s="72">
        <f>Table410016115911211512025119[[#This Row],[2002]]-Table410016115911211512025119[[#This Row],[1998]]</f>
        <v>0</v>
      </c>
      <c r="J17" s="71"/>
      <c r="K17" s="72">
        <f>Table410016115911211512025119[[#This Row],[2006]]-Table410016115911211512025119[[#This Row],[2002]]</f>
        <v>0</v>
      </c>
      <c r="L17" s="71"/>
      <c r="M17" s="72">
        <f>Table410016115911211512025119[[#This Row],[2010]]-Table410016115911211512025119[[#This Row],[2006]]</f>
        <v>0</v>
      </c>
      <c r="N17" s="71"/>
      <c r="O17" s="72">
        <f>Table410016115911211512025119[[#This Row],[2014]]-Table410016115911211512025119[[#This Row],[2010]]</f>
        <v>0</v>
      </c>
      <c r="P17" s="71"/>
      <c r="Q17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17" s="75">
        <v>8</v>
      </c>
      <c r="T17" s="65" t="s">
        <v>410</v>
      </c>
      <c r="U17" s="66" t="s">
        <v>411</v>
      </c>
      <c r="V17" s="67" t="s">
        <v>412</v>
      </c>
      <c r="W17" s="68" t="s">
        <v>413</v>
      </c>
      <c r="X17" s="69" t="s">
        <v>414</v>
      </c>
    </row>
    <row r="18" spans="1:24" ht="19">
      <c r="A18" s="70" t="s">
        <v>56</v>
      </c>
      <c r="B18" s="71"/>
      <c r="C18" s="72">
        <f>Table410016115911211512025119[[#This Row],[1990]]-Table410016115911211512025119[[#This Row],[1986]]</f>
        <v>0</v>
      </c>
      <c r="D18" s="71"/>
      <c r="E18" s="72">
        <f>Table410016115911211512025119[[#This Row],[1994]]-Table410016115911211512025119[[#This Row],[1990]]</f>
        <v>0</v>
      </c>
      <c r="F18" s="71"/>
      <c r="G18" s="72">
        <f>Table410016115911211512025119[[#This Row],[1998]]-Table410016115911211512025119[[#This Row],[1994]]</f>
        <v>0</v>
      </c>
      <c r="H18" s="71"/>
      <c r="I18" s="72">
        <f>Table410016115911211512025119[[#This Row],[2002]]-Table410016115911211512025119[[#This Row],[1998]]</f>
        <v>0</v>
      </c>
      <c r="J18" s="71"/>
      <c r="K18" s="72">
        <f>Table410016115911211512025119[[#This Row],[2006]]-Table410016115911211512025119[[#This Row],[2002]]</f>
        <v>0</v>
      </c>
      <c r="L18" s="71"/>
      <c r="M18" s="72">
        <f>Table410016115911211512025119[[#This Row],[2010]]-Table410016115911211512025119[[#This Row],[2006]]</f>
        <v>0</v>
      </c>
      <c r="N18" s="71"/>
      <c r="O18" s="72">
        <f>Table410016115911211512025119[[#This Row],[2014]]-Table410016115911211512025119[[#This Row],[2010]]</f>
        <v>0</v>
      </c>
      <c r="P18" s="71"/>
      <c r="Q18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18" s="75">
        <v>8</v>
      </c>
      <c r="T18" s="9">
        <f>R9</f>
        <v>57</v>
      </c>
      <c r="U18" s="9">
        <f>R19</f>
        <v>151</v>
      </c>
      <c r="V18" s="9">
        <f>R25</f>
        <v>49</v>
      </c>
      <c r="W18" s="9">
        <f>R30</f>
        <v>179</v>
      </c>
      <c r="X18" s="9">
        <f>R34</f>
        <v>77</v>
      </c>
    </row>
    <row r="19" spans="1:24" ht="19">
      <c r="A19" s="83" t="s">
        <v>411</v>
      </c>
      <c r="B19" s="84">
        <f>SUM(B10:B18)</f>
        <v>0</v>
      </c>
      <c r="C19" s="84">
        <f>Table410016115911211512025119[[#This Row],[1990]]-Table410016115911211512025119[[#This Row],[1986]]</f>
        <v>0</v>
      </c>
      <c r="D19" s="84">
        <f>SUM(D10:D18)</f>
        <v>0</v>
      </c>
      <c r="E19" s="80">
        <f>Table410016115911211512025119[[#This Row],[1994]]-Table410016115911211512025119[[#This Row],[1990]]</f>
        <v>0</v>
      </c>
      <c r="F19" s="84">
        <f>SUM(F10:F18)</f>
        <v>0</v>
      </c>
      <c r="G19" s="80">
        <f>Table410016115911211512025119[[#This Row],[1998]]-Table410016115911211512025119[[#This Row],[1994]]</f>
        <v>0</v>
      </c>
      <c r="H19" s="84">
        <f>SUM(H10:H18)</f>
        <v>0</v>
      </c>
      <c r="I19" s="80">
        <f>Table410016115911211512025119[[#This Row],[2002]]-Table410016115911211512025119[[#This Row],[1998]]</f>
        <v>0</v>
      </c>
      <c r="J19" s="84">
        <f>SUM(J10:J18)</f>
        <v>0</v>
      </c>
      <c r="K19" s="80">
        <f>Table410016115911211512025119[[#This Row],[2006]]-Table410016115911211512025119[[#This Row],[2002]]</f>
        <v>0</v>
      </c>
      <c r="L19" s="84">
        <f>SUM(L10:L18)</f>
        <v>0</v>
      </c>
      <c r="M19" s="80">
        <f>Table410016115911211512025119[[#This Row],[2010]]-Table410016115911211512025119[[#This Row],[2006]]</f>
        <v>0</v>
      </c>
      <c r="N19" s="84">
        <f>SUM(N10:N18)</f>
        <v>0</v>
      </c>
      <c r="O19" s="80">
        <f>Table410016115911211512025119[[#This Row],[2014]]-Table410016115911211512025119[[#This Row],[2010]]</f>
        <v>0</v>
      </c>
      <c r="P19" s="84">
        <f>SUM(P10:P18)</f>
        <v>0</v>
      </c>
      <c r="Q19" s="85">
        <f>SUM(Q10:Q18)</f>
        <v>0</v>
      </c>
      <c r="R19" s="43">
        <v>151</v>
      </c>
      <c r="T19" s="44">
        <f>(L9/T18)*100</f>
        <v>0</v>
      </c>
      <c r="U19" s="44">
        <f>(L19/U18)*100</f>
        <v>0</v>
      </c>
      <c r="V19" s="44">
        <f>(L25/V18)*100</f>
        <v>0</v>
      </c>
      <c r="W19" s="44">
        <f>(L30/W18)*100</f>
        <v>0</v>
      </c>
      <c r="X19" s="44">
        <f>(L34/X18)*100</f>
        <v>0</v>
      </c>
    </row>
    <row r="20" spans="1:24" ht="19">
      <c r="A20" s="70" t="s">
        <v>97</v>
      </c>
      <c r="B20" s="71"/>
      <c r="C20" s="72">
        <f>Table410016115911211512025119[[#This Row],[1990]]-Table410016115911211512025119[[#This Row],[1986]]</f>
        <v>0</v>
      </c>
      <c r="D20" s="71"/>
      <c r="E20" s="72">
        <f>Table410016115911211512025119[[#This Row],[1994]]-Table410016115911211512025119[[#This Row],[1990]]</f>
        <v>0</v>
      </c>
      <c r="F20" s="71"/>
      <c r="G20" s="72">
        <f>Table410016115911211512025119[[#This Row],[1998]]-Table410016115911211512025119[[#This Row],[1994]]</f>
        <v>0</v>
      </c>
      <c r="H20" s="71"/>
      <c r="I20" s="72">
        <f>Table410016115911211512025119[[#This Row],[2002]]-Table410016115911211512025119[[#This Row],[1998]]</f>
        <v>0</v>
      </c>
      <c r="J20" s="71"/>
      <c r="K20" s="72">
        <f>Table410016115911211512025119[[#This Row],[2006]]-Table410016115911211512025119[[#This Row],[2002]]</f>
        <v>0</v>
      </c>
      <c r="L20" s="71"/>
      <c r="M20" s="72">
        <f>Table410016115911211512025119[[#This Row],[2010]]-Table410016115911211512025119[[#This Row],[2006]]</f>
        <v>0</v>
      </c>
      <c r="N20" s="71"/>
      <c r="O20" s="72">
        <f>Table410016115911211512025119[[#This Row],[2014]]-Table410016115911211512025119[[#This Row],[2010]]</f>
        <v>0</v>
      </c>
      <c r="P20" s="71"/>
      <c r="Q20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20" s="75">
        <v>8</v>
      </c>
    </row>
    <row r="21" spans="1:24" ht="19">
      <c r="A21" s="86" t="s">
        <v>94</v>
      </c>
      <c r="B21" s="87"/>
      <c r="C21" s="72">
        <f>Table410016115911211512025119[[#This Row],[1990]]-Table410016115911211512025119[[#This Row],[1986]]</f>
        <v>0</v>
      </c>
      <c r="D21" s="87"/>
      <c r="E21" s="72">
        <f>Table410016115911211512025119[[#This Row],[1994]]-Table410016115911211512025119[[#This Row],[1990]]</f>
        <v>0</v>
      </c>
      <c r="F21" s="87"/>
      <c r="G21" s="72">
        <f>Table410016115911211512025119[[#This Row],[1998]]-Table410016115911211512025119[[#This Row],[1994]]</f>
        <v>0</v>
      </c>
      <c r="H21" s="87"/>
      <c r="I21" s="72">
        <f>Table410016115911211512025119[[#This Row],[2002]]-Table410016115911211512025119[[#This Row],[1998]]</f>
        <v>0</v>
      </c>
      <c r="J21" s="87"/>
      <c r="K21" s="72">
        <f>Table410016115911211512025119[[#This Row],[2006]]-Table410016115911211512025119[[#This Row],[2002]]</f>
        <v>0</v>
      </c>
      <c r="L21" s="87"/>
      <c r="M21" s="72">
        <f>Table410016115911211512025119[[#This Row],[2010]]-Table410016115911211512025119[[#This Row],[2006]]</f>
        <v>0</v>
      </c>
      <c r="N21" s="87"/>
      <c r="O21" s="72">
        <f>Table410016115911211512025119[[#This Row],[2014]]-Table410016115911211512025119[[#This Row],[2010]]</f>
        <v>0</v>
      </c>
      <c r="P21" s="87"/>
      <c r="Q21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21" s="75">
        <v>17</v>
      </c>
      <c r="T21" s="178" t="s">
        <v>418</v>
      </c>
      <c r="U21" s="178"/>
      <c r="V21" s="178"/>
      <c r="W21" s="178"/>
      <c r="X21" s="178"/>
    </row>
    <row r="22" spans="1:24" ht="19">
      <c r="A22" s="88" t="s">
        <v>85</v>
      </c>
      <c r="B22" s="87"/>
      <c r="C22" s="72">
        <f>Table410016115911211512025119[[#This Row],[1990]]-Table410016115911211512025119[[#This Row],[1986]]</f>
        <v>0</v>
      </c>
      <c r="D22" s="87"/>
      <c r="E22" s="72">
        <f>Table410016115911211512025119[[#This Row],[1994]]-Table410016115911211512025119[[#This Row],[1990]]</f>
        <v>0</v>
      </c>
      <c r="F22" s="87"/>
      <c r="G22" s="72">
        <f>Table410016115911211512025119[[#This Row],[1998]]-Table410016115911211512025119[[#This Row],[1994]]</f>
        <v>0</v>
      </c>
      <c r="H22" s="87"/>
      <c r="I22" s="72">
        <f>Table410016115911211512025119[[#This Row],[2002]]-Table410016115911211512025119[[#This Row],[1998]]</f>
        <v>0</v>
      </c>
      <c r="J22" s="87"/>
      <c r="K22" s="72">
        <f>Table410016115911211512025119[[#This Row],[2006]]-Table410016115911211512025119[[#This Row],[2002]]</f>
        <v>0</v>
      </c>
      <c r="L22" s="87"/>
      <c r="M22" s="72">
        <f>Table410016115911211512025119[[#This Row],[2010]]-Table410016115911211512025119[[#This Row],[2006]]</f>
        <v>0</v>
      </c>
      <c r="N22" s="87"/>
      <c r="O22" s="72">
        <f>Table410016115911211512025119[[#This Row],[2014]]-Table410016115911211512025119[[#This Row],[2010]]</f>
        <v>0</v>
      </c>
      <c r="P22" s="87"/>
      <c r="Q22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22" s="75">
        <v>8</v>
      </c>
      <c r="T22" s="65" t="s">
        <v>410</v>
      </c>
      <c r="U22" s="66" t="s">
        <v>411</v>
      </c>
      <c r="V22" s="67" t="s">
        <v>412</v>
      </c>
      <c r="W22" s="68" t="s">
        <v>413</v>
      </c>
      <c r="X22" s="69" t="s">
        <v>414</v>
      </c>
    </row>
    <row r="23" spans="1:24" ht="19">
      <c r="A23" s="88" t="s">
        <v>83</v>
      </c>
      <c r="B23" s="87"/>
      <c r="C23" s="72">
        <f>Table410016115911211512025119[[#This Row],[1990]]-Table410016115911211512025119[[#This Row],[1986]]</f>
        <v>0</v>
      </c>
      <c r="D23" s="87"/>
      <c r="E23" s="72">
        <f>Table410016115911211512025119[[#This Row],[1994]]-Table410016115911211512025119[[#This Row],[1990]]</f>
        <v>0</v>
      </c>
      <c r="F23" s="87"/>
      <c r="G23" s="72">
        <f>Table410016115911211512025119[[#This Row],[1998]]-Table410016115911211512025119[[#This Row],[1994]]</f>
        <v>0</v>
      </c>
      <c r="H23" s="87"/>
      <c r="I23" s="72">
        <f>Table410016115911211512025119[[#This Row],[2002]]-Table410016115911211512025119[[#This Row],[1998]]</f>
        <v>0</v>
      </c>
      <c r="J23" s="87"/>
      <c r="K23" s="72">
        <f>Table410016115911211512025119[[#This Row],[2006]]-Table410016115911211512025119[[#This Row],[2002]]</f>
        <v>0</v>
      </c>
      <c r="L23" s="87"/>
      <c r="M23" s="72">
        <f>Table410016115911211512025119[[#This Row],[2010]]-Table410016115911211512025119[[#This Row],[2006]]</f>
        <v>0</v>
      </c>
      <c r="N23" s="87"/>
      <c r="O23" s="72">
        <f>Table410016115911211512025119[[#This Row],[2014]]-Table410016115911211512025119[[#This Row],[2010]]</f>
        <v>0</v>
      </c>
      <c r="P23" s="87"/>
      <c r="Q23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23" s="75">
        <v>8</v>
      </c>
      <c r="T23" s="9">
        <f>R9</f>
        <v>57</v>
      </c>
      <c r="U23" s="9">
        <f>R19</f>
        <v>151</v>
      </c>
      <c r="V23" s="9">
        <f>R25</f>
        <v>49</v>
      </c>
      <c r="W23" s="9">
        <f>R30</f>
        <v>179</v>
      </c>
      <c r="X23" s="9">
        <f>R34</f>
        <v>77</v>
      </c>
    </row>
    <row r="24" spans="1:24" ht="19">
      <c r="A24" s="88" t="s">
        <v>52</v>
      </c>
      <c r="B24" s="71"/>
      <c r="C24" s="72">
        <f>Table410016115911211512025119[[#This Row],[1990]]-Table410016115911211512025119[[#This Row],[1986]]</f>
        <v>0</v>
      </c>
      <c r="D24" s="71"/>
      <c r="E24" s="72">
        <f>Table410016115911211512025119[[#This Row],[1994]]-Table410016115911211512025119[[#This Row],[1990]]</f>
        <v>0</v>
      </c>
      <c r="F24" s="71"/>
      <c r="G24" s="72">
        <f>Table410016115911211512025119[[#This Row],[1998]]-Table410016115911211512025119[[#This Row],[1994]]</f>
        <v>0</v>
      </c>
      <c r="H24" s="71"/>
      <c r="I24" s="72">
        <f>Table410016115911211512025119[[#This Row],[2002]]-Table410016115911211512025119[[#This Row],[1998]]</f>
        <v>0</v>
      </c>
      <c r="J24" s="71"/>
      <c r="K24" s="72">
        <f>Table410016115911211512025119[[#This Row],[2006]]-Table410016115911211512025119[[#This Row],[2002]]</f>
        <v>0</v>
      </c>
      <c r="L24" s="71"/>
      <c r="M24" s="72">
        <f>Table410016115911211512025119[[#This Row],[2010]]-Table410016115911211512025119[[#This Row],[2006]]</f>
        <v>0</v>
      </c>
      <c r="N24" s="71"/>
      <c r="O24" s="72">
        <f>Table410016115911211512025119[[#This Row],[2014]]-Table410016115911211512025119[[#This Row],[2010]]</f>
        <v>0</v>
      </c>
      <c r="P24" s="71"/>
      <c r="Q24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24" s="75">
        <v>8</v>
      </c>
      <c r="T24" s="44">
        <f>(J9/T23)*100</f>
        <v>0</v>
      </c>
      <c r="U24" s="44">
        <f>(J19/U23)*100</f>
        <v>0</v>
      </c>
      <c r="V24" s="44">
        <f>(J25/V23)*100</f>
        <v>0</v>
      </c>
      <c r="W24" s="44">
        <f>(J30/W23)*100</f>
        <v>0</v>
      </c>
      <c r="X24" s="44">
        <f>(J34/X23)*100</f>
        <v>0</v>
      </c>
    </row>
    <row r="25" spans="1:24" ht="19">
      <c r="A25" s="89" t="s">
        <v>412</v>
      </c>
      <c r="B25" s="79">
        <f>SUM(B20:B24)</f>
        <v>0</v>
      </c>
      <c r="C25" s="79">
        <f>Table410016115911211512025119[[#This Row],[1990]]-Table410016115911211512025119[[#This Row],[1986]]</f>
        <v>0</v>
      </c>
      <c r="D25" s="79">
        <f>SUM(D20:D24)</f>
        <v>0</v>
      </c>
      <c r="E25" s="80">
        <f>Table410016115911211512025119[[#This Row],[1994]]-Table410016115911211512025119[[#This Row],[1990]]</f>
        <v>0</v>
      </c>
      <c r="F25" s="79">
        <f>SUM(F20:F24)</f>
        <v>0</v>
      </c>
      <c r="G25" s="80">
        <f>Table410016115911211512025119[[#This Row],[1998]]-Table410016115911211512025119[[#This Row],[1994]]</f>
        <v>0</v>
      </c>
      <c r="H25" s="79">
        <f>SUM(H20:H24)</f>
        <v>0</v>
      </c>
      <c r="I25" s="80">
        <f>Table410016115911211512025119[[#This Row],[2002]]-Table410016115911211512025119[[#This Row],[1998]]</f>
        <v>0</v>
      </c>
      <c r="J25" s="79">
        <f>SUM(J20:J24)</f>
        <v>0</v>
      </c>
      <c r="K25" s="80">
        <f>Table410016115911211512025119[[#This Row],[2006]]-Table410016115911211512025119[[#This Row],[2002]]</f>
        <v>0</v>
      </c>
      <c r="L25" s="79">
        <f>SUM(L20:L24)</f>
        <v>0</v>
      </c>
      <c r="M25" s="80">
        <f>Table410016115911211512025119[[#This Row],[2010]]-Table410016115911211512025119[[#This Row],[2006]]</f>
        <v>0</v>
      </c>
      <c r="N25" s="79">
        <f>SUM(N20:N24)</f>
        <v>0</v>
      </c>
      <c r="O25" s="80">
        <f>Table410016115911211512025119[[#This Row],[2014]]-Table410016115911211512025119[[#This Row],[2010]]</f>
        <v>0</v>
      </c>
      <c r="P25" s="79">
        <f>SUM(P20:P24)</f>
        <v>0</v>
      </c>
      <c r="Q25" s="90">
        <f>SUM(Q20:Q24)</f>
        <v>0</v>
      </c>
      <c r="R25" s="91">
        <v>49</v>
      </c>
    </row>
    <row r="26" spans="1:24" ht="19">
      <c r="A26" s="88" t="s">
        <v>95</v>
      </c>
      <c r="B26" s="71"/>
      <c r="C26" s="72">
        <f>Table410016115911211512025119[[#This Row],[1990]]-Table410016115911211512025119[[#This Row],[1986]]</f>
        <v>0</v>
      </c>
      <c r="D26" s="71"/>
      <c r="E26" s="72">
        <f>Table410016115911211512025119[[#This Row],[1994]]-Table410016115911211512025119[[#This Row],[1990]]</f>
        <v>0</v>
      </c>
      <c r="F26" s="71"/>
      <c r="G26" s="72">
        <f>Table410016115911211512025119[[#This Row],[1998]]-Table410016115911211512025119[[#This Row],[1994]]</f>
        <v>0</v>
      </c>
      <c r="H26" s="71"/>
      <c r="I26" s="72">
        <f>Table410016115911211512025119[[#This Row],[2002]]-Table410016115911211512025119[[#This Row],[1998]]</f>
        <v>0</v>
      </c>
      <c r="J26" s="71"/>
      <c r="K26" s="72">
        <f>Table410016115911211512025119[[#This Row],[2006]]-Table410016115911211512025119[[#This Row],[2002]]</f>
        <v>0</v>
      </c>
      <c r="L26" s="71"/>
      <c r="M26" s="72">
        <f>Table410016115911211512025119[[#This Row],[2010]]-Table410016115911211512025119[[#This Row],[2006]]</f>
        <v>0</v>
      </c>
      <c r="N26" s="71"/>
      <c r="O26" s="72">
        <f>Table410016115911211512025119[[#This Row],[2014]]-Table410016115911211512025119[[#This Row],[2010]]</f>
        <v>0</v>
      </c>
      <c r="P26" s="71"/>
      <c r="Q26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26" s="75">
        <v>10</v>
      </c>
      <c r="T26" s="178" t="s">
        <v>419</v>
      </c>
      <c r="U26" s="178"/>
      <c r="V26" s="178"/>
      <c r="W26" s="178"/>
      <c r="X26" s="178"/>
    </row>
    <row r="27" spans="1:24" ht="19">
      <c r="A27" s="88" t="s">
        <v>88</v>
      </c>
      <c r="B27" s="71"/>
      <c r="C27" s="72">
        <f>Table410016115911211512025119[[#This Row],[1990]]-Table410016115911211512025119[[#This Row],[1986]]</f>
        <v>0</v>
      </c>
      <c r="D27" s="71"/>
      <c r="E27" s="72">
        <f>Table410016115911211512025119[[#This Row],[1994]]-Table410016115911211512025119[[#This Row],[1990]]</f>
        <v>0</v>
      </c>
      <c r="F27" s="71"/>
      <c r="G27" s="72">
        <f>Table410016115911211512025119[[#This Row],[1998]]-Table410016115911211512025119[[#This Row],[1994]]</f>
        <v>0</v>
      </c>
      <c r="H27" s="71"/>
      <c r="I27" s="72">
        <f>Table410016115911211512025119[[#This Row],[2002]]-Table410016115911211512025119[[#This Row],[1998]]</f>
        <v>0</v>
      </c>
      <c r="J27" s="71"/>
      <c r="K27" s="72">
        <f>Table410016115911211512025119[[#This Row],[2006]]-Table410016115911211512025119[[#This Row],[2002]]</f>
        <v>0</v>
      </c>
      <c r="L27" s="71"/>
      <c r="M27" s="72">
        <f>Table410016115911211512025119[[#This Row],[2010]]-Table410016115911211512025119[[#This Row],[2006]]</f>
        <v>0</v>
      </c>
      <c r="N27" s="71"/>
      <c r="O27" s="72">
        <f>Table410016115911211512025119[[#This Row],[2014]]-Table410016115911211512025119[[#This Row],[2010]]</f>
        <v>0</v>
      </c>
      <c r="P27" s="71"/>
      <c r="Q27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0</v>
      </c>
      <c r="R27" s="75">
        <v>53</v>
      </c>
      <c r="T27" s="65" t="s">
        <v>410</v>
      </c>
      <c r="U27" s="66" t="s">
        <v>411</v>
      </c>
      <c r="V27" s="67" t="s">
        <v>412</v>
      </c>
      <c r="W27" s="68" t="s">
        <v>413</v>
      </c>
      <c r="X27" s="69" t="s">
        <v>414</v>
      </c>
    </row>
    <row r="28" spans="1:24" ht="19">
      <c r="A28" s="88" t="s">
        <v>72</v>
      </c>
      <c r="B28" s="71"/>
      <c r="C28" s="72">
        <f>Table410016115911211512025119[[#This Row],[1990]]-Table410016115911211512025119[[#This Row],[1986]]</f>
        <v>0</v>
      </c>
      <c r="D28" s="71"/>
      <c r="E28" s="72">
        <f>Table410016115911211512025119[[#This Row],[1994]]-Table410016115911211512025119[[#This Row],[1990]]</f>
        <v>0</v>
      </c>
      <c r="F28" s="71"/>
      <c r="G28" s="72">
        <f>Table410016115911211512025119[[#This Row],[1998]]-Table410016115911211512025119[[#This Row],[1994]]</f>
        <v>0</v>
      </c>
      <c r="H28" s="71"/>
      <c r="I28" s="72">
        <f>Table410016115911211512025119[[#This Row],[2002]]-Table410016115911211512025119[[#This Row],[1998]]</f>
        <v>0</v>
      </c>
      <c r="J28" s="71"/>
      <c r="K28" s="72">
        <f>Table410016115911211512025119[[#This Row],[2006]]-Table410016115911211512025119[[#This Row],[2002]]</f>
        <v>0</v>
      </c>
      <c r="L28" s="71"/>
      <c r="M28" s="72">
        <f>Table410016115911211512025119[[#This Row],[2010]]-Table410016115911211512025119[[#This Row],[2006]]</f>
        <v>2</v>
      </c>
      <c r="N28" s="71">
        <v>2</v>
      </c>
      <c r="O28" s="72">
        <f>Table410016115911211512025119[[#This Row],[2014]]-Table410016115911211512025119[[#This Row],[2010]]</f>
        <v>1</v>
      </c>
      <c r="P28" s="71">
        <v>3</v>
      </c>
      <c r="Q28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5</v>
      </c>
      <c r="R28" s="75">
        <v>46</v>
      </c>
      <c r="T28" s="9">
        <f>R9</f>
        <v>57</v>
      </c>
      <c r="U28" s="9">
        <f>R19</f>
        <v>151</v>
      </c>
      <c r="V28" s="9">
        <f>R25</f>
        <v>49</v>
      </c>
      <c r="W28" s="9">
        <f>R30</f>
        <v>179</v>
      </c>
      <c r="X28" s="9">
        <f>R34</f>
        <v>77</v>
      </c>
    </row>
    <row r="29" spans="1:24" ht="19">
      <c r="A29" s="88" t="s">
        <v>54</v>
      </c>
      <c r="B29" s="71"/>
      <c r="C29" s="72">
        <f>Table410016115911211512025119[[#This Row],[1990]]-Table410016115911211512025119[[#This Row],[1986]]</f>
        <v>0</v>
      </c>
      <c r="D29" s="71"/>
      <c r="E29" s="72">
        <f>Table410016115911211512025119[[#This Row],[1994]]-Table410016115911211512025119[[#This Row],[1990]]</f>
        <v>0</v>
      </c>
      <c r="F29" s="71"/>
      <c r="G29" s="72">
        <f>Table410016115911211512025119[[#This Row],[1998]]-Table410016115911211512025119[[#This Row],[1994]]</f>
        <v>0</v>
      </c>
      <c r="H29" s="71"/>
      <c r="I29" s="72">
        <f>Table410016115911211512025119[[#This Row],[2002]]-Table410016115911211512025119[[#This Row],[1998]]</f>
        <v>0</v>
      </c>
      <c r="J29" s="71"/>
      <c r="K29" s="72">
        <f>Table410016115911211512025119[[#This Row],[2006]]-Table410016115911211512025119[[#This Row],[2002]]</f>
        <v>0</v>
      </c>
      <c r="L29" s="71"/>
      <c r="M29" s="72">
        <f>Table410016115911211512025119[[#This Row],[2010]]-Table410016115911211512025119[[#This Row],[2006]]</f>
        <v>1</v>
      </c>
      <c r="N29" s="71">
        <v>1</v>
      </c>
      <c r="O29" s="72">
        <f>Table410016115911211512025119[[#This Row],[2014]]-Table410016115911211512025119[[#This Row],[2010]]</f>
        <v>1</v>
      </c>
      <c r="P29" s="71">
        <v>2</v>
      </c>
      <c r="Q29" s="73">
        <f>SUM(Table410016115911211512025119[[#This Row],[1986]],Table410016115911211512025119[[#This Row],[1990]],Table410016115911211512025119[[#This Row],[1994]],Table410016115911211512025119[[#This Row],[1998]],Table410016115911211512025119[[#This Row],[2002]],Table410016115911211512025119[[#This Row],[2006]],Table410016115911211512025119[[#This Row],[2010]],Table410016115911211512025119[[#This Row],[2014]])</f>
        <v>3</v>
      </c>
      <c r="R29" s="75">
        <v>70</v>
      </c>
      <c r="T29" s="44">
        <f>(H9/T28)*100</f>
        <v>0</v>
      </c>
      <c r="U29" s="44">
        <f>(H19/U28)*100</f>
        <v>0</v>
      </c>
      <c r="V29" s="44">
        <f>(H25/V28)*100</f>
        <v>0</v>
      </c>
      <c r="W29" s="44">
        <f>(H30/W28)*100</f>
        <v>0</v>
      </c>
      <c r="X29" s="44">
        <f>(H34/X28)*100</f>
        <v>0</v>
      </c>
    </row>
    <row r="30" spans="1:24" ht="19">
      <c r="A30" s="93" t="s">
        <v>413</v>
      </c>
      <c r="B30" s="79">
        <f>SUM(B26:B29)</f>
        <v>0</v>
      </c>
      <c r="C30" s="79">
        <f>Table410016115911211512025119[[#This Row],[1990]]-Table410016115911211512025119[[#This Row],[1986]]</f>
        <v>0</v>
      </c>
      <c r="D30" s="79">
        <v>0</v>
      </c>
      <c r="E30" s="80">
        <f>Table410016115911211512025119[[#This Row],[1994]]-Table410016115911211512025119[[#This Row],[1990]]</f>
        <v>0</v>
      </c>
      <c r="F30" s="79">
        <v>0</v>
      </c>
      <c r="G30" s="80">
        <f>Table410016115911211512025119[[#This Row],[1998]]-Table410016115911211512025119[[#This Row],[1994]]</f>
        <v>0</v>
      </c>
      <c r="H30" s="79">
        <v>0</v>
      </c>
      <c r="I30" s="80">
        <f>Table410016115911211512025119[[#This Row],[2002]]-Table410016115911211512025119[[#This Row],[1998]]</f>
        <v>0</v>
      </c>
      <c r="J30" s="79">
        <v>0</v>
      </c>
      <c r="K30" s="80">
        <f>Table410016115911211512025119[[#This Row],[2006]]-Table410016115911211512025119[[#This Row],[2002]]</f>
        <v>0</v>
      </c>
      <c r="L30" s="79">
        <v>0</v>
      </c>
      <c r="M30" s="79">
        <f>SUM(M26:M29)</f>
        <v>3</v>
      </c>
      <c r="N30" s="79">
        <v>0</v>
      </c>
      <c r="O30" s="80">
        <f>Table410016115911211512025119[[#This Row],[2014]]-Table410016115911211512025119[[#This Row],[2010]]</f>
        <v>5</v>
      </c>
      <c r="P30" s="79">
        <f>SUM(P26:P29)</f>
        <v>5</v>
      </c>
      <c r="Q30" s="94">
        <f>SUM(Q26:Q29)</f>
        <v>8</v>
      </c>
      <c r="R30" s="95">
        <v>179</v>
      </c>
    </row>
    <row r="31" spans="1:24" ht="19">
      <c r="A31" s="88" t="s">
        <v>13</v>
      </c>
      <c r="B31" s="71"/>
      <c r="C31" s="72">
        <f>Table410016115911211512025119[[#This Row],[1990]]-Table410016115911211512025119[[#This Row],[1986]]</f>
        <v>0</v>
      </c>
      <c r="D31" s="71"/>
      <c r="E31" s="72">
        <f>Table410016115911211512025119[[#This Row],[1994]]-Table410016115911211512025119[[#This Row],[1990]]</f>
        <v>0</v>
      </c>
      <c r="F31" s="71"/>
      <c r="G31" s="72">
        <f>Table410016115911211512025119[[#This Row],[1998]]-Table410016115911211512025119[[#This Row],[1994]]</f>
        <v>0</v>
      </c>
      <c r="H31" s="71"/>
      <c r="I31" s="72">
        <f>Table410016115911211512025119[[#This Row],[2002]]-Table410016115911211512025119[[#This Row],[1998]]</f>
        <v>0</v>
      </c>
      <c r="J31" s="71"/>
      <c r="K31" s="72">
        <f>Table410016115911211512025119[[#This Row],[2006]]-Table410016115911211512025119[[#This Row],[2002]]</f>
        <v>0</v>
      </c>
      <c r="L31" s="71"/>
      <c r="M31" s="72">
        <f>Table410016115911211512025119[[#This Row],[2010]]-Table410016115911211512025119[[#This Row],[2006]]</f>
        <v>0</v>
      </c>
      <c r="N31" s="71"/>
      <c r="O31" s="72">
        <f>Table410016115911211512025119[[#This Row],[2014]]-Table410016115911211512025119[[#This Row],[2010]]</f>
        <v>0</v>
      </c>
      <c r="P31" s="71"/>
      <c r="Q31" s="103">
        <v>0</v>
      </c>
      <c r="R31" s="75">
        <v>30</v>
      </c>
      <c r="T31" s="178" t="s">
        <v>421</v>
      </c>
      <c r="U31" s="178"/>
      <c r="V31" s="178"/>
      <c r="W31" s="178"/>
      <c r="X31" s="178"/>
    </row>
    <row r="32" spans="1:24" ht="19">
      <c r="A32" s="88" t="s">
        <v>62</v>
      </c>
      <c r="B32" s="72"/>
      <c r="C32" s="72">
        <f>Table410016115911211512025119[[#This Row],[1990]]-Table410016115911211512025119[[#This Row],[1986]]</f>
        <v>0</v>
      </c>
      <c r="D32" s="72"/>
      <c r="E32" s="72">
        <f>Table410016115911211512025119[[#This Row],[1994]]-Table410016115911211512025119[[#This Row],[1990]]</f>
        <v>0</v>
      </c>
      <c r="F32" s="72"/>
      <c r="G32" s="72">
        <f>Table410016115911211512025119[[#This Row],[1998]]-Table410016115911211512025119[[#This Row],[1994]]</f>
        <v>0</v>
      </c>
      <c r="H32" s="72"/>
      <c r="I32" s="72">
        <f>Table410016115911211512025119[[#This Row],[2002]]-Table410016115911211512025119[[#This Row],[1998]]</f>
        <v>0</v>
      </c>
      <c r="J32" s="72"/>
      <c r="K32" s="72">
        <f>Table410016115911211512025119[[#This Row],[2006]]-Table410016115911211512025119[[#This Row],[2002]]</f>
        <v>0</v>
      </c>
      <c r="L32" s="72"/>
      <c r="M32" s="72">
        <f>Table410016115911211512025119[[#This Row],[2010]]-Table410016115911211512025119[[#This Row],[2006]]</f>
        <v>0</v>
      </c>
      <c r="N32" s="72"/>
      <c r="O32" s="72">
        <f>Table410016115911211512025119[[#This Row],[2014]]-Table410016115911211512025119[[#This Row],[2010]]</f>
        <v>0</v>
      </c>
      <c r="P32" s="72"/>
      <c r="Q32" s="103">
        <v>0</v>
      </c>
      <c r="R32" s="75">
        <v>31</v>
      </c>
      <c r="T32" s="65" t="s">
        <v>410</v>
      </c>
      <c r="U32" s="66" t="s">
        <v>411</v>
      </c>
      <c r="V32" s="67" t="s">
        <v>412</v>
      </c>
      <c r="W32" s="68" t="s">
        <v>413</v>
      </c>
      <c r="X32" s="69" t="s">
        <v>414</v>
      </c>
    </row>
    <row r="33" spans="1:24" ht="19">
      <c r="A33" s="88" t="s">
        <v>60</v>
      </c>
      <c r="B33" s="71"/>
      <c r="C33" s="72">
        <f>Table410016115911211512025119[[#This Row],[1990]]-Table410016115911211512025119[[#This Row],[1986]]</f>
        <v>0</v>
      </c>
      <c r="D33" s="71"/>
      <c r="E33" s="72">
        <f>Table410016115911211512025119[[#This Row],[1994]]-Table410016115911211512025119[[#This Row],[1990]]</f>
        <v>0</v>
      </c>
      <c r="F33" s="71"/>
      <c r="G33" s="72">
        <f>Table410016115911211512025119[[#This Row],[1998]]-Table410016115911211512025119[[#This Row],[1994]]</f>
        <v>0</v>
      </c>
      <c r="H33" s="71"/>
      <c r="I33" s="72">
        <f>Table410016115911211512025119[[#This Row],[2002]]-Table410016115911211512025119[[#This Row],[1998]]</f>
        <v>0</v>
      </c>
      <c r="J33" s="71"/>
      <c r="K33" s="72">
        <f>Table410016115911211512025119[[#This Row],[2006]]-Table410016115911211512025119[[#This Row],[2002]]</f>
        <v>0</v>
      </c>
      <c r="L33" s="71"/>
      <c r="M33" s="72">
        <f>Table410016115911211512025119[[#This Row],[2010]]-Table410016115911211512025119[[#This Row],[2006]]</f>
        <v>0</v>
      </c>
      <c r="N33" s="71"/>
      <c r="O33" s="72">
        <f>Table410016115911211512025119[[#This Row],[2014]]-Table410016115911211512025119[[#This Row],[2010]]</f>
        <v>0</v>
      </c>
      <c r="P33" s="71"/>
      <c r="Q33" s="103">
        <v>0</v>
      </c>
      <c r="R33" s="75">
        <v>16</v>
      </c>
      <c r="T33" s="9">
        <f>R9</f>
        <v>57</v>
      </c>
      <c r="U33" s="9">
        <f>R19</f>
        <v>151</v>
      </c>
      <c r="V33" s="9">
        <f>R25</f>
        <v>49</v>
      </c>
      <c r="W33" s="9">
        <f>R30</f>
        <v>179</v>
      </c>
      <c r="X33" s="9">
        <f>R34</f>
        <v>77</v>
      </c>
    </row>
    <row r="34" spans="1:24" ht="19">
      <c r="A34" s="96" t="s">
        <v>414</v>
      </c>
      <c r="B34" s="97">
        <f>SUM(B31:B33)</f>
        <v>0</v>
      </c>
      <c r="C34" s="97">
        <f>Table410016115911211512025119[[#This Row],[1990]]-Table410016115911211512025119[[#This Row],[1986]]</f>
        <v>0</v>
      </c>
      <c r="D34" s="97">
        <f>SUM(D31:D33)</f>
        <v>0</v>
      </c>
      <c r="E34" s="80">
        <f>Table410016115911211512025119[[#This Row],[1994]]-Table410016115911211512025119[[#This Row],[1990]]</f>
        <v>0</v>
      </c>
      <c r="F34" s="97">
        <f>SUM(F31:F33)</f>
        <v>0</v>
      </c>
      <c r="G34" s="80">
        <f>Table410016115911211512025119[[#This Row],[1998]]-Table410016115911211512025119[[#This Row],[1994]]</f>
        <v>0</v>
      </c>
      <c r="H34" s="97">
        <f>SUM(H31:H33)</f>
        <v>0</v>
      </c>
      <c r="I34" s="80">
        <f>Table410016115911211512025119[[#This Row],[2002]]-Table410016115911211512025119[[#This Row],[1998]]</f>
        <v>0</v>
      </c>
      <c r="J34" s="97">
        <f>SUM(J31:J33)</f>
        <v>0</v>
      </c>
      <c r="K34" s="80">
        <f>Table410016115911211512025119[[#This Row],[2006]]-Table410016115911211512025119[[#This Row],[2002]]</f>
        <v>0</v>
      </c>
      <c r="L34" s="97">
        <f>SUM(L31:L33)</f>
        <v>0</v>
      </c>
      <c r="M34" s="80">
        <f>Table410016115911211512025119[[#This Row],[2010]]-Table410016115911211512025119[[#This Row],[2006]]</f>
        <v>0</v>
      </c>
      <c r="N34" s="97">
        <f>SUM(N31:N33)</f>
        <v>0</v>
      </c>
      <c r="O34" s="80">
        <f>Table410016115911211512025119[[#This Row],[2014]]-Table410016115911211512025119[[#This Row],[2010]]</f>
        <v>0</v>
      </c>
      <c r="P34" s="97">
        <f>SUM(P31:P33)</f>
        <v>0</v>
      </c>
      <c r="Q34" s="98">
        <f>SUM(Q31:Q33)</f>
        <v>0</v>
      </c>
      <c r="R34" s="99">
        <v>77</v>
      </c>
      <c r="T34" s="44">
        <f>(F9/T33)*100</f>
        <v>0</v>
      </c>
      <c r="U34" s="44">
        <f>(F19/U33)*100</f>
        <v>0</v>
      </c>
      <c r="V34" s="44">
        <f>(F25/V33)*100</f>
        <v>0</v>
      </c>
      <c r="W34" s="44">
        <f>(F30/W33)*100</f>
        <v>0</v>
      </c>
      <c r="X34" s="44">
        <f>(F34/X33)*100</f>
        <v>0</v>
      </c>
    </row>
    <row r="35" spans="1:24" ht="19">
      <c r="A35" s="100" t="s">
        <v>420</v>
      </c>
      <c r="B35" s="101">
        <f>SUM(B9,B19,B25,B30,B34)</f>
        <v>0</v>
      </c>
      <c r="C35" s="101">
        <f>Table410016115911211512025119[[#This Row],[1990]]-Table410016115911211512025119[[#This Row],[1986]]</f>
        <v>0</v>
      </c>
      <c r="D35" s="101">
        <f>SUM(D9,D19,D25,D30,D34)</f>
        <v>0</v>
      </c>
      <c r="E35" s="80">
        <f>Table410016115911211512025119[[#This Row],[1994]]-Table410016115911211512025119[[#This Row],[1990]]</f>
        <v>0</v>
      </c>
      <c r="F35" s="101">
        <f>SUM(F9,F19,F25,F30,F34)</f>
        <v>0</v>
      </c>
      <c r="G35" s="80">
        <f>Table410016115911211512025119[[#This Row],[1998]]-Table410016115911211512025119[[#This Row],[1994]]</f>
        <v>0</v>
      </c>
      <c r="H35" s="101">
        <f>SUM(H9,H19,H25,H30,H34)</f>
        <v>0</v>
      </c>
      <c r="I35" s="80">
        <f>Table410016115911211512025119[[#This Row],[2002]]-Table410016115911211512025119[[#This Row],[1998]]</f>
        <v>0</v>
      </c>
      <c r="J35" s="101">
        <f>SUM(J9,J19,J25,J30,J34)</f>
        <v>0</v>
      </c>
      <c r="K35" s="80">
        <f>Table410016115911211512025119[[#This Row],[2006]]-Table410016115911211512025119[[#This Row],[2002]]</f>
        <v>0</v>
      </c>
      <c r="L35" s="101">
        <f>SUM(L9,L19,L25,L30,L34)</f>
        <v>0</v>
      </c>
      <c r="M35" s="80">
        <f>Table410016115911211512025119[[#This Row],[2010]]-Table410016115911211512025119[[#This Row],[2006]]</f>
        <v>0</v>
      </c>
      <c r="N35" s="101">
        <f>SUM(N9,N19,N25,N30,N34)</f>
        <v>0</v>
      </c>
      <c r="O35" s="80">
        <f>Table410016115911211512025119[[#This Row],[2014]]-Table410016115911211512025119[[#This Row],[2010]]</f>
        <v>6</v>
      </c>
      <c r="P35" s="101">
        <f>SUM(P9,P19,P25,P30,P34)</f>
        <v>6</v>
      </c>
      <c r="Q35" s="102">
        <f>SUM(Q9,Q19,Q25,Q30,Q34)</f>
        <v>9</v>
      </c>
      <c r="R35" s="75">
        <v>513</v>
      </c>
    </row>
    <row r="36" spans="1:24">
      <c r="T36" s="178" t="s">
        <v>422</v>
      </c>
      <c r="U36" s="178"/>
      <c r="V36" s="178"/>
      <c r="W36" s="178"/>
      <c r="X36" s="178"/>
    </row>
    <row r="37" spans="1:24">
      <c r="T37" s="65" t="s">
        <v>410</v>
      </c>
      <c r="U37" s="66" t="s">
        <v>411</v>
      </c>
      <c r="V37" s="67" t="s">
        <v>412</v>
      </c>
      <c r="W37" s="68" t="s">
        <v>413</v>
      </c>
      <c r="X37" s="69" t="s">
        <v>414</v>
      </c>
    </row>
    <row r="38" spans="1:24">
      <c r="T38" s="9">
        <f>R9</f>
        <v>57</v>
      </c>
      <c r="U38" s="9">
        <f>R19</f>
        <v>151</v>
      </c>
      <c r="V38" s="9">
        <f>R25</f>
        <v>49</v>
      </c>
      <c r="W38" s="17">
        <f>(R30-10)</f>
        <v>169</v>
      </c>
      <c r="X38" s="9">
        <f>R34</f>
        <v>77</v>
      </c>
    </row>
    <row r="39" spans="1:24">
      <c r="T39" s="44">
        <f>(D9/T38)*100</f>
        <v>0</v>
      </c>
      <c r="U39" s="44">
        <f>(D19/U38)*100</f>
        <v>0</v>
      </c>
      <c r="V39" s="44">
        <f>(D25/V38)*100</f>
        <v>0</v>
      </c>
      <c r="W39" s="44">
        <f>(D30/W38)*100</f>
        <v>0</v>
      </c>
      <c r="X39" s="44">
        <f>(D34/X38)*100</f>
        <v>0</v>
      </c>
    </row>
    <row r="41" spans="1:24">
      <c r="T41" s="178" t="s">
        <v>428</v>
      </c>
      <c r="U41" s="178"/>
      <c r="V41" s="178"/>
      <c r="W41" s="178"/>
      <c r="X41" s="178"/>
    </row>
    <row r="42" spans="1:24">
      <c r="T42" s="65" t="s">
        <v>410</v>
      </c>
      <c r="U42" s="66" t="s">
        <v>411</v>
      </c>
      <c r="V42" s="67" t="s">
        <v>412</v>
      </c>
      <c r="W42" s="68" t="s">
        <v>413</v>
      </c>
      <c r="X42" s="69" t="s">
        <v>414</v>
      </c>
    </row>
    <row r="43" spans="1:24">
      <c r="T43" s="9">
        <f>R9</f>
        <v>57</v>
      </c>
      <c r="U43" s="9">
        <f>R19</f>
        <v>151</v>
      </c>
      <c r="V43" s="9">
        <f>R25</f>
        <v>49</v>
      </c>
      <c r="W43" s="17">
        <f>(R30-19)</f>
        <v>160</v>
      </c>
      <c r="X43" s="9">
        <f>R34</f>
        <v>77</v>
      </c>
    </row>
    <row r="44" spans="1:24">
      <c r="T44" s="44">
        <f>(B9/T43)*100</f>
        <v>0</v>
      </c>
      <c r="U44" s="44">
        <f>(B19/U43)*100</f>
        <v>0</v>
      </c>
      <c r="V44" s="44">
        <f>(B25/V43)*100</f>
        <v>0</v>
      </c>
      <c r="W44" s="44">
        <f>(B30/W43)*100</f>
        <v>0</v>
      </c>
      <c r="X44" s="44">
        <f>(B34/X43)*100</f>
        <v>0</v>
      </c>
    </row>
  </sheetData>
  <mergeCells count="10">
    <mergeCell ref="T26:X26"/>
    <mergeCell ref="T31:X31"/>
    <mergeCell ref="T36:X36"/>
    <mergeCell ref="T41:X41"/>
    <mergeCell ref="A1:Q1"/>
    <mergeCell ref="T1:X1"/>
    <mergeCell ref="T6:X6"/>
    <mergeCell ref="T11:X11"/>
    <mergeCell ref="T16:X16"/>
    <mergeCell ref="T21:X21"/>
  </mergeCells>
  <conditionalFormatting sqref="C4:C35">
    <cfRule type="cellIs" dxfId="123" priority="12" operator="greaterThan">
      <formula>0</formula>
    </cfRule>
  </conditionalFormatting>
  <conditionalFormatting sqref="C3">
    <cfRule type="cellIs" dxfId="122" priority="9" operator="greaterThan">
      <formula>0</formula>
    </cfRule>
  </conditionalFormatting>
  <conditionalFormatting sqref="E3">
    <cfRule type="cellIs" dxfId="121" priority="6" operator="greaterThan">
      <formula>0</formula>
    </cfRule>
  </conditionalFormatting>
  <conditionalFormatting sqref="C4:C35 E4:E35 G3:G35 I3:I35 K3:K35 M3:M29 M31:M35">
    <cfRule type="cellIs" dxfId="120" priority="11" operator="greaterThan">
      <formula>0</formula>
    </cfRule>
  </conditionalFormatting>
  <conditionalFormatting sqref="C4:C35 E4:E35 G3:G35 I3:I35 K3:K35 M3:M29 M31:M35">
    <cfRule type="cellIs" dxfId="119" priority="10" operator="lessThan">
      <formula>0</formula>
    </cfRule>
  </conditionalFormatting>
  <conditionalFormatting sqref="C3">
    <cfRule type="cellIs" dxfId="118" priority="8" operator="greaterThan">
      <formula>0</formula>
    </cfRule>
  </conditionalFormatting>
  <conditionalFormatting sqref="C3">
    <cfRule type="cellIs" dxfId="117" priority="7" operator="lessThan">
      <formula>0</formula>
    </cfRule>
  </conditionalFormatting>
  <conditionalFormatting sqref="E3">
    <cfRule type="cellIs" dxfId="116" priority="5" operator="greaterThan">
      <formula>0</formula>
    </cfRule>
  </conditionalFormatting>
  <conditionalFormatting sqref="E3">
    <cfRule type="cellIs" dxfId="115" priority="4" operator="lessThan">
      <formula>0</formula>
    </cfRule>
  </conditionalFormatting>
  <conditionalFormatting sqref="O3:O35">
    <cfRule type="cellIs" dxfId="114" priority="2" operator="lessThan">
      <formula>0</formula>
    </cfRule>
    <cfRule type="cellIs" dxfId="113" priority="3" operator="greaterThan">
      <formula>0</formula>
    </cfRule>
  </conditionalFormatting>
  <conditionalFormatting sqref="M3:M35">
    <cfRule type="cellIs" dxfId="112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44"/>
  <sheetViews>
    <sheetView topLeftCell="M21" workbookViewId="0">
      <selection activeCell="W43" sqref="W43"/>
    </sheetView>
  </sheetViews>
  <sheetFormatPr baseColWidth="10" defaultRowHeight="16"/>
  <cols>
    <col min="1" max="1" width="16.33203125" customWidth="1"/>
    <col min="17" max="17" width="15.33203125" customWidth="1"/>
    <col min="18" max="18" width="21" customWidth="1"/>
    <col min="20" max="21" width="14.33203125" customWidth="1"/>
    <col min="22" max="22" width="14.5" customWidth="1"/>
    <col min="23" max="23" width="14.1640625" customWidth="1"/>
    <col min="24" max="24" width="14.33203125" customWidth="1"/>
  </cols>
  <sheetData>
    <row r="1" spans="1:24" ht="19">
      <c r="A1" s="183" t="s">
        <v>5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T1" s="178" t="s">
        <v>391</v>
      </c>
      <c r="U1" s="178"/>
      <c r="V1" s="178"/>
      <c r="W1" s="178"/>
      <c r="X1" s="178"/>
    </row>
    <row r="2" spans="1:24" ht="19">
      <c r="A2" s="63" t="s">
        <v>392</v>
      </c>
      <c r="B2" s="63" t="s">
        <v>393</v>
      </c>
      <c r="C2" s="63" t="s">
        <v>394</v>
      </c>
      <c r="D2" s="63" t="s">
        <v>395</v>
      </c>
      <c r="E2" s="63" t="s">
        <v>396</v>
      </c>
      <c r="F2" s="63" t="s">
        <v>397</v>
      </c>
      <c r="G2" s="63" t="s">
        <v>398</v>
      </c>
      <c r="H2" s="63" t="s">
        <v>399</v>
      </c>
      <c r="I2" s="63" t="s">
        <v>400</v>
      </c>
      <c r="J2" s="63" t="s">
        <v>401</v>
      </c>
      <c r="K2" s="63" t="s">
        <v>402</v>
      </c>
      <c r="L2" s="63" t="s">
        <v>403</v>
      </c>
      <c r="M2" s="63" t="s">
        <v>404</v>
      </c>
      <c r="N2" s="63" t="s">
        <v>405</v>
      </c>
      <c r="O2" s="63" t="s">
        <v>406</v>
      </c>
      <c r="P2" s="63" t="s">
        <v>407</v>
      </c>
      <c r="Q2" s="64" t="s">
        <v>408</v>
      </c>
      <c r="R2" s="106" t="s">
        <v>427</v>
      </c>
      <c r="T2" s="65" t="s">
        <v>410</v>
      </c>
      <c r="U2" s="66" t="s">
        <v>411</v>
      </c>
      <c r="V2" s="67" t="s">
        <v>412</v>
      </c>
      <c r="W2" s="68" t="s">
        <v>413</v>
      </c>
      <c r="X2" s="69" t="s">
        <v>414</v>
      </c>
    </row>
    <row r="3" spans="1:24" ht="19">
      <c r="A3" s="70" t="s">
        <v>110</v>
      </c>
      <c r="B3" s="71"/>
      <c r="C3" s="156">
        <f>Table4100161159112116164112[[#This Row],[1990]]-Table4100161159112116164112[[#This Row],[1986]]</f>
        <v>0</v>
      </c>
      <c r="D3" s="71"/>
      <c r="E3" s="156">
        <f>Table4100161159112116164112[[#This Row],[1994]]-Table4100161159112116164112[[#This Row],[1990]]</f>
        <v>0</v>
      </c>
      <c r="F3" s="71"/>
      <c r="G3" s="156">
        <f>Table4100161159112116164112[[#This Row],[1998]]-Table4100161159112116164112[[#This Row],[1994]]</f>
        <v>2</v>
      </c>
      <c r="H3" s="71">
        <v>2</v>
      </c>
      <c r="I3" s="156">
        <f>Table4100161159112116164112[[#This Row],[2002]]-Table4100161159112116164112[[#This Row],[1998]]</f>
        <v>1</v>
      </c>
      <c r="J3" s="71">
        <v>3</v>
      </c>
      <c r="K3" s="156">
        <f>Table4100161159112116164112[[#This Row],[2006]]-Table4100161159112116164112[[#This Row],[2002]]</f>
        <v>0</v>
      </c>
      <c r="L3" s="71">
        <v>3</v>
      </c>
      <c r="M3" s="156">
        <f>Table4100161159112116164112[[#This Row],[2010]]-Table4100161159112116164112[[#This Row],[2006]]</f>
        <v>-1</v>
      </c>
      <c r="N3" s="71">
        <v>2</v>
      </c>
      <c r="O3" s="156">
        <f>Table4100161159112116164112[[#This Row],[2014]]-Table4100161159112116164112[[#This Row],[2010]]</f>
        <v>1</v>
      </c>
      <c r="P3" s="71">
        <v>3</v>
      </c>
      <c r="Q3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13</v>
      </c>
      <c r="R3" s="157">
        <v>8</v>
      </c>
      <c r="T3" s="9">
        <f>R9*8</f>
        <v>456</v>
      </c>
      <c r="U3" s="9">
        <f>R19*8</f>
        <v>1208</v>
      </c>
      <c r="V3" s="9">
        <f>R25*8</f>
        <v>392</v>
      </c>
      <c r="W3" s="9">
        <f>R30*8</f>
        <v>1432</v>
      </c>
      <c r="X3" s="9">
        <f>R34*8</f>
        <v>616</v>
      </c>
    </row>
    <row r="4" spans="1:24" ht="19">
      <c r="A4" s="70" t="s">
        <v>106</v>
      </c>
      <c r="B4" s="71"/>
      <c r="C4" s="156">
        <f>Table4100161159112116164112[[#This Row],[1990]]-Table4100161159112116164112[[#This Row],[1986]]</f>
        <v>0</v>
      </c>
      <c r="D4" s="71"/>
      <c r="E4" s="156">
        <f>Table4100161159112116164112[[#This Row],[1994]]-Table4100161159112116164112[[#This Row],[1990]]</f>
        <v>0</v>
      </c>
      <c r="F4" s="71"/>
      <c r="G4" s="156">
        <f>Table4100161159112116164112[[#This Row],[1998]]-Table4100161159112116164112[[#This Row],[1994]]</f>
        <v>0</v>
      </c>
      <c r="H4" s="71"/>
      <c r="I4" s="156">
        <f>Table4100161159112116164112[[#This Row],[2002]]-Table4100161159112116164112[[#This Row],[1998]]</f>
        <v>0</v>
      </c>
      <c r="J4" s="71"/>
      <c r="K4" s="156">
        <f>Table4100161159112116164112[[#This Row],[2006]]-Table4100161159112116164112[[#This Row],[2002]]</f>
        <v>1</v>
      </c>
      <c r="L4" s="71">
        <v>1</v>
      </c>
      <c r="M4" s="156">
        <f>Table4100161159112116164112[[#This Row],[2010]]-Table4100161159112116164112[[#This Row],[2006]]</f>
        <v>0</v>
      </c>
      <c r="N4" s="71">
        <v>1</v>
      </c>
      <c r="O4" s="156">
        <f>Table4100161159112116164112[[#This Row],[2014]]-Table4100161159112116164112[[#This Row],[2010]]</f>
        <v>-1</v>
      </c>
      <c r="P4" s="71"/>
      <c r="Q4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2</v>
      </c>
      <c r="R4" s="157">
        <v>8</v>
      </c>
      <c r="T4" s="44">
        <f>(Q9/T3)*100</f>
        <v>9.8684210526315788</v>
      </c>
      <c r="U4" s="44">
        <f>(Q19/U3)*100</f>
        <v>8.1953642384105958</v>
      </c>
      <c r="V4" s="44">
        <f>(Q25/V3)*100</f>
        <v>9.4387755102040813</v>
      </c>
      <c r="W4" s="44">
        <f>(Q30/W3)*100</f>
        <v>14.315642458100559</v>
      </c>
      <c r="X4" s="76">
        <f>(Q34/X3)*100</f>
        <v>16.233766233766232</v>
      </c>
    </row>
    <row r="5" spans="1:24" ht="19">
      <c r="A5" s="70" t="s">
        <v>104</v>
      </c>
      <c r="B5" s="71"/>
      <c r="C5" s="156">
        <f>Table4100161159112116164112[[#This Row],[1990]]-Table4100161159112116164112[[#This Row],[1986]]</f>
        <v>1</v>
      </c>
      <c r="D5" s="71">
        <v>1</v>
      </c>
      <c r="E5" s="156">
        <f>Table4100161159112116164112[[#This Row],[1994]]-Table4100161159112116164112[[#This Row],[1990]]</f>
        <v>-1</v>
      </c>
      <c r="F5" s="71"/>
      <c r="G5" s="156">
        <f>Table4100161159112116164112[[#This Row],[1998]]-Table4100161159112116164112[[#This Row],[1994]]</f>
        <v>0</v>
      </c>
      <c r="H5" s="71"/>
      <c r="I5" s="156">
        <f>Table4100161159112116164112[[#This Row],[2002]]-Table4100161159112116164112[[#This Row],[1998]]</f>
        <v>2</v>
      </c>
      <c r="J5" s="71">
        <v>2</v>
      </c>
      <c r="K5" s="156">
        <f>Table4100161159112116164112[[#This Row],[2006]]-Table4100161159112116164112[[#This Row],[2002]]</f>
        <v>-1</v>
      </c>
      <c r="L5" s="71">
        <v>1</v>
      </c>
      <c r="M5" s="156">
        <f>Table4100161159112116164112[[#This Row],[2010]]-Table4100161159112116164112[[#This Row],[2006]]</f>
        <v>1</v>
      </c>
      <c r="N5" s="71">
        <v>2</v>
      </c>
      <c r="O5" s="156">
        <f>Table4100161159112116164112[[#This Row],[2014]]-Table4100161159112116164112[[#This Row],[2010]]</f>
        <v>-2</v>
      </c>
      <c r="P5" s="71"/>
      <c r="Q5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6</v>
      </c>
      <c r="R5" s="157">
        <v>8</v>
      </c>
    </row>
    <row r="6" spans="1:24" ht="19">
      <c r="A6" s="70" t="s">
        <v>73</v>
      </c>
      <c r="B6" s="71"/>
      <c r="C6" s="156">
        <f>Table4100161159112116164112[[#This Row],[1990]]-Table4100161159112116164112[[#This Row],[1986]]</f>
        <v>2</v>
      </c>
      <c r="D6" s="71">
        <v>2</v>
      </c>
      <c r="E6" s="156">
        <f>Table4100161159112116164112[[#This Row],[1994]]-Table4100161159112116164112[[#This Row],[1990]]</f>
        <v>0</v>
      </c>
      <c r="F6" s="71">
        <v>2</v>
      </c>
      <c r="G6" s="156">
        <f>Table4100161159112116164112[[#This Row],[1998]]-Table4100161159112116164112[[#This Row],[1994]]</f>
        <v>1</v>
      </c>
      <c r="H6" s="71">
        <v>3</v>
      </c>
      <c r="I6" s="156">
        <f>Table4100161159112116164112[[#This Row],[2002]]-Table4100161159112116164112[[#This Row],[1998]]</f>
        <v>0</v>
      </c>
      <c r="J6" s="71">
        <v>3</v>
      </c>
      <c r="K6" s="156">
        <f>Table4100161159112116164112[[#This Row],[2006]]-Table4100161159112116164112[[#This Row],[2002]]</f>
        <v>0</v>
      </c>
      <c r="L6" s="71">
        <v>3</v>
      </c>
      <c r="M6" s="156">
        <f>Table4100161159112116164112[[#This Row],[2010]]-Table4100161159112116164112[[#This Row],[2006]]</f>
        <v>1</v>
      </c>
      <c r="N6" s="71">
        <v>4</v>
      </c>
      <c r="O6" s="156">
        <f>Table4100161159112116164112[[#This Row],[2014]]-Table4100161159112116164112[[#This Row],[2010]]</f>
        <v>-2</v>
      </c>
      <c r="P6" s="71">
        <v>2</v>
      </c>
      <c r="Q6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19</v>
      </c>
      <c r="R6" s="157">
        <v>17</v>
      </c>
      <c r="T6" s="178" t="s">
        <v>415</v>
      </c>
      <c r="U6" s="178"/>
      <c r="V6" s="178"/>
      <c r="W6" s="178"/>
      <c r="X6" s="178"/>
    </row>
    <row r="7" spans="1:24" ht="19">
      <c r="A7" s="70" t="s">
        <v>67</v>
      </c>
      <c r="B7" s="77"/>
      <c r="C7" s="156">
        <f>Table4100161159112116164112[[#This Row],[1990]]-Table4100161159112116164112[[#This Row],[1986]]</f>
        <v>0</v>
      </c>
      <c r="D7" s="77"/>
      <c r="E7" s="156">
        <f>Table4100161159112116164112[[#This Row],[1994]]-Table4100161159112116164112[[#This Row],[1990]]</f>
        <v>0</v>
      </c>
      <c r="F7" s="77"/>
      <c r="G7" s="156">
        <f>Table4100161159112116164112[[#This Row],[1998]]-Table4100161159112116164112[[#This Row],[1994]]</f>
        <v>0</v>
      </c>
      <c r="H7" s="77"/>
      <c r="I7" s="156">
        <f>Table4100161159112116164112[[#This Row],[2002]]-Table4100161159112116164112[[#This Row],[1998]]</f>
        <v>2</v>
      </c>
      <c r="J7" s="77">
        <v>2</v>
      </c>
      <c r="K7" s="156">
        <f>Table4100161159112116164112[[#This Row],[2006]]-Table4100161159112116164112[[#This Row],[2002]]</f>
        <v>0</v>
      </c>
      <c r="L7" s="77">
        <v>2</v>
      </c>
      <c r="M7" s="156">
        <f>Table4100161159112116164112[[#This Row],[2010]]-Table4100161159112116164112[[#This Row],[2006]]</f>
        <v>-1</v>
      </c>
      <c r="N7" s="77">
        <v>1</v>
      </c>
      <c r="O7" s="156">
        <f>Table4100161159112116164112[[#This Row],[2014]]-Table4100161159112116164112[[#This Row],[2010]]</f>
        <v>-1</v>
      </c>
      <c r="P7" s="77"/>
      <c r="Q7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5</v>
      </c>
      <c r="R7" s="157">
        <v>8</v>
      </c>
      <c r="T7" s="65" t="s">
        <v>410</v>
      </c>
      <c r="U7" s="66" t="s">
        <v>411</v>
      </c>
      <c r="V7" s="67" t="s">
        <v>412</v>
      </c>
      <c r="W7" s="68" t="s">
        <v>413</v>
      </c>
      <c r="X7" s="69" t="s">
        <v>414</v>
      </c>
    </row>
    <row r="8" spans="1:24" ht="19">
      <c r="A8" s="70" t="s">
        <v>65</v>
      </c>
      <c r="B8" s="71"/>
      <c r="C8" s="156">
        <f>Table4100161159112116164112[[#This Row],[1990]]-Table4100161159112116164112[[#This Row],[1986]]</f>
        <v>0</v>
      </c>
      <c r="D8" s="71"/>
      <c r="E8" s="156">
        <f>Table4100161159112116164112[[#This Row],[1994]]-Table4100161159112116164112[[#This Row],[1990]]</f>
        <v>0</v>
      </c>
      <c r="F8" s="71"/>
      <c r="G8" s="156">
        <f>Table4100161159112116164112[[#This Row],[1998]]-Table4100161159112116164112[[#This Row],[1994]]</f>
        <v>0</v>
      </c>
      <c r="H8" s="71"/>
      <c r="I8" s="156">
        <f>Table4100161159112116164112[[#This Row],[2002]]-Table4100161159112116164112[[#This Row],[1998]]</f>
        <v>0</v>
      </c>
      <c r="J8" s="71"/>
      <c r="K8" s="156">
        <f>Table4100161159112116164112[[#This Row],[2006]]-Table4100161159112116164112[[#This Row],[2002]]</f>
        <v>0</v>
      </c>
      <c r="L8" s="71"/>
      <c r="M8" s="156">
        <f>Table4100161159112116164112[[#This Row],[2010]]-Table4100161159112116164112[[#This Row],[2006]]</f>
        <v>0</v>
      </c>
      <c r="N8" s="71"/>
      <c r="O8" s="156">
        <f>Table4100161159112116164112[[#This Row],[2014]]-Table4100161159112116164112[[#This Row],[2010]]</f>
        <v>0</v>
      </c>
      <c r="P8" s="71"/>
      <c r="Q8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0</v>
      </c>
      <c r="R8" s="157">
        <v>8</v>
      </c>
      <c r="T8" s="9">
        <f>R9</f>
        <v>57</v>
      </c>
      <c r="U8" s="9">
        <f>R19</f>
        <v>151</v>
      </c>
      <c r="V8" s="9">
        <f>R25</f>
        <v>49</v>
      </c>
      <c r="W8" s="9">
        <f>R30</f>
        <v>179</v>
      </c>
      <c r="X8" s="9">
        <f>R34</f>
        <v>77</v>
      </c>
    </row>
    <row r="9" spans="1:24" ht="19">
      <c r="A9" s="78" t="s">
        <v>410</v>
      </c>
      <c r="B9" s="79">
        <f>SUM(B3:B8)</f>
        <v>0</v>
      </c>
      <c r="C9" s="79">
        <f>Table4100161159112116164112[[#This Row],[1990]]-Table4100161159112116164112[[#This Row],[1986]]</f>
        <v>3</v>
      </c>
      <c r="D9" s="79">
        <f>SUM(D3:D8)</f>
        <v>3</v>
      </c>
      <c r="E9" s="80">
        <f>Table4100161159112116164112[[#This Row],[1994]]-Table4100161159112116164112[[#This Row],[1990]]</f>
        <v>-1</v>
      </c>
      <c r="F9" s="79">
        <f>SUM(F3:F8)</f>
        <v>2</v>
      </c>
      <c r="G9" s="80">
        <f>Table4100161159112116164112[[#This Row],[1998]]-Table4100161159112116164112[[#This Row],[1994]]</f>
        <v>3</v>
      </c>
      <c r="H9" s="79">
        <f>SUM(H3:H8)</f>
        <v>5</v>
      </c>
      <c r="I9" s="80">
        <f>Table4100161159112116164112[[#This Row],[2002]]-Table4100161159112116164112[[#This Row],[1998]]</f>
        <v>5</v>
      </c>
      <c r="J9" s="79">
        <f>SUM(J3:J8)</f>
        <v>10</v>
      </c>
      <c r="K9" s="80">
        <f>Table4100161159112116164112[[#This Row],[2006]]-Table4100161159112116164112[[#This Row],[2002]]</f>
        <v>0</v>
      </c>
      <c r="L9" s="79">
        <f>SUM(L3:L8)</f>
        <v>10</v>
      </c>
      <c r="M9" s="80">
        <f>Table4100161159112116164112[[#This Row],[2010]]-Table4100161159112116164112[[#This Row],[2006]]</f>
        <v>0</v>
      </c>
      <c r="N9" s="79">
        <f>SUM(N3:N8)</f>
        <v>10</v>
      </c>
      <c r="O9" s="80">
        <f>Table4100161159112116164112[[#This Row],[2014]]-Table4100161159112116164112[[#This Row],[2010]]</f>
        <v>-5</v>
      </c>
      <c r="P9" s="79">
        <f>SUM(P3:P8)</f>
        <v>5</v>
      </c>
      <c r="Q9" s="158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45</v>
      </c>
      <c r="R9" s="159">
        <f>SUM(R3:R8)</f>
        <v>57</v>
      </c>
      <c r="T9" s="44">
        <f>(Table4100161159112116164112[[#This Row],[2014]]/T8)*100</f>
        <v>8.7719298245614024</v>
      </c>
      <c r="U9" s="44">
        <f>(P19/U8)*100</f>
        <v>11.258278145695364</v>
      </c>
      <c r="V9" s="44">
        <f>(P25/V8)*100</f>
        <v>10.204081632653061</v>
      </c>
      <c r="W9" s="44">
        <f>(P30/W8)*100</f>
        <v>15.083798882681565</v>
      </c>
      <c r="X9" s="44">
        <f>(P34/X8)*100</f>
        <v>18.181818181818183</v>
      </c>
    </row>
    <row r="10" spans="1:24" ht="19">
      <c r="A10" s="70" t="s">
        <v>108</v>
      </c>
      <c r="B10" s="71"/>
      <c r="C10" s="156">
        <f>Table4100161159112116164112[[#This Row],[1990]]-Table4100161159112116164112[[#This Row],[1986]]</f>
        <v>0</v>
      </c>
      <c r="D10" s="71"/>
      <c r="E10" s="156">
        <f>Table4100161159112116164112[[#This Row],[1994]]-Table4100161159112116164112[[#This Row],[1990]]</f>
        <v>0</v>
      </c>
      <c r="F10" s="71"/>
      <c r="G10" s="156">
        <f>Table4100161159112116164112[[#This Row],[1998]]-Table4100161159112116164112[[#This Row],[1994]]</f>
        <v>0</v>
      </c>
      <c r="H10" s="71"/>
      <c r="I10" s="156">
        <f>Table4100161159112116164112[[#This Row],[2002]]-Table4100161159112116164112[[#This Row],[1998]]</f>
        <v>0</v>
      </c>
      <c r="J10" s="71"/>
      <c r="K10" s="156">
        <f>Table4100161159112116164112[[#This Row],[2006]]-Table4100161159112116164112[[#This Row],[2002]]</f>
        <v>0</v>
      </c>
      <c r="L10" s="71"/>
      <c r="M10" s="156">
        <f>Table4100161159112116164112[[#This Row],[2010]]-Table4100161159112116164112[[#This Row],[2006]]</f>
        <v>0</v>
      </c>
      <c r="N10" s="71"/>
      <c r="O10" s="156">
        <f>Table4100161159112116164112[[#This Row],[2014]]-Table4100161159112116164112[[#This Row],[2010]]</f>
        <v>1</v>
      </c>
      <c r="P10" s="71">
        <v>1</v>
      </c>
      <c r="Q10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1</v>
      </c>
      <c r="R10" s="157">
        <v>9</v>
      </c>
    </row>
    <row r="11" spans="1:24" ht="19">
      <c r="A11" s="70" t="s">
        <v>101</v>
      </c>
      <c r="B11" s="71"/>
      <c r="C11" s="156">
        <f>Table4100161159112116164112[[#This Row],[1990]]-Table4100161159112116164112[[#This Row],[1986]]</f>
        <v>2</v>
      </c>
      <c r="D11" s="71">
        <v>2</v>
      </c>
      <c r="E11" s="156">
        <f>Table4100161159112116164112[[#This Row],[1994]]-Table4100161159112116164112[[#This Row],[1990]]</f>
        <v>0</v>
      </c>
      <c r="F11" s="71">
        <v>2</v>
      </c>
      <c r="G11" s="156">
        <f>Table4100161159112116164112[[#This Row],[1998]]-Table4100161159112116164112[[#This Row],[1994]]</f>
        <v>3</v>
      </c>
      <c r="H11" s="71">
        <v>5</v>
      </c>
      <c r="I11" s="156">
        <f>Table4100161159112116164112[[#This Row],[2002]]-Table4100161159112116164112[[#This Row],[1998]]</f>
        <v>2</v>
      </c>
      <c r="J11" s="71">
        <v>7</v>
      </c>
      <c r="K11" s="156">
        <f>Table4100161159112116164112[[#This Row],[2006]]-Table4100161159112116164112[[#This Row],[2002]]</f>
        <v>0</v>
      </c>
      <c r="L11" s="71">
        <v>7</v>
      </c>
      <c r="M11" s="156">
        <f>Table4100161159112116164112[[#This Row],[2010]]-Table4100161159112116164112[[#This Row],[2006]]</f>
        <v>3</v>
      </c>
      <c r="N11" s="71">
        <v>10</v>
      </c>
      <c r="O11" s="156">
        <f>Table4100161159112116164112[[#This Row],[2014]]-Table4100161159112116164112[[#This Row],[2010]]</f>
        <v>-3</v>
      </c>
      <c r="P11" s="71">
        <v>7</v>
      </c>
      <c r="Q11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40</v>
      </c>
      <c r="R11" s="157">
        <v>39</v>
      </c>
      <c r="T11" s="178" t="s">
        <v>416</v>
      </c>
      <c r="U11" s="178"/>
      <c r="V11" s="178"/>
      <c r="W11" s="178"/>
      <c r="X11" s="178"/>
    </row>
    <row r="12" spans="1:24" ht="19">
      <c r="A12" s="70" t="s">
        <v>99</v>
      </c>
      <c r="B12" s="71"/>
      <c r="C12" s="156">
        <f>Table4100161159112116164112[[#This Row],[1990]]-Table4100161159112116164112[[#This Row],[1986]]</f>
        <v>0</v>
      </c>
      <c r="D12" s="71"/>
      <c r="E12" s="156">
        <f>Table4100161159112116164112[[#This Row],[1994]]-Table4100161159112116164112[[#This Row],[1990]]</f>
        <v>1</v>
      </c>
      <c r="F12" s="71">
        <v>1</v>
      </c>
      <c r="G12" s="156">
        <f>Table4100161159112116164112[[#This Row],[1998]]-Table4100161159112116164112[[#This Row],[1994]]</f>
        <v>0</v>
      </c>
      <c r="H12" s="71">
        <v>1</v>
      </c>
      <c r="I12" s="156">
        <f>Table4100161159112116164112[[#This Row],[2002]]-Table4100161159112116164112[[#This Row],[1998]]</f>
        <v>1</v>
      </c>
      <c r="J12" s="71">
        <v>2</v>
      </c>
      <c r="K12" s="156">
        <f>Table4100161159112116164112[[#This Row],[2006]]-Table4100161159112116164112[[#This Row],[2002]]</f>
        <v>2</v>
      </c>
      <c r="L12" s="71">
        <v>4</v>
      </c>
      <c r="M12" s="156">
        <f>Table4100161159112116164112[[#This Row],[2010]]-Table4100161159112116164112[[#This Row],[2006]]</f>
        <v>0</v>
      </c>
      <c r="N12" s="71">
        <v>4</v>
      </c>
      <c r="O12" s="156">
        <f>Table4100161159112116164112[[#This Row],[2014]]-Table4100161159112116164112[[#This Row],[2010]]</f>
        <v>0</v>
      </c>
      <c r="P12" s="71">
        <v>4</v>
      </c>
      <c r="Q12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16</v>
      </c>
      <c r="R12" s="157">
        <v>22</v>
      </c>
      <c r="T12" s="65" t="s">
        <v>410</v>
      </c>
      <c r="U12" s="66" t="s">
        <v>411</v>
      </c>
      <c r="V12" s="67" t="s">
        <v>412</v>
      </c>
      <c r="W12" s="68" t="s">
        <v>413</v>
      </c>
      <c r="X12" s="69" t="s">
        <v>414</v>
      </c>
    </row>
    <row r="13" spans="1:24" ht="19">
      <c r="A13" s="70" t="s">
        <v>90</v>
      </c>
      <c r="B13" s="71"/>
      <c r="C13" s="156">
        <f>Table4100161159112116164112[[#This Row],[1990]]-Table4100161159112116164112[[#This Row],[1986]]</f>
        <v>1</v>
      </c>
      <c r="D13" s="71">
        <v>1</v>
      </c>
      <c r="E13" s="156">
        <f>Table4100161159112116164112[[#This Row],[1994]]-Table4100161159112116164112[[#This Row],[1990]]</f>
        <v>0</v>
      </c>
      <c r="F13" s="71">
        <v>1</v>
      </c>
      <c r="G13" s="156">
        <f>Table4100161159112116164112[[#This Row],[1998]]-Table4100161159112116164112[[#This Row],[1994]]</f>
        <v>-1</v>
      </c>
      <c r="H13" s="71"/>
      <c r="I13" s="156">
        <f>Table4100161159112116164112[[#This Row],[2002]]-Table4100161159112116164112[[#This Row],[1998]]</f>
        <v>1</v>
      </c>
      <c r="J13" s="71">
        <v>1</v>
      </c>
      <c r="K13" s="156">
        <f>Table4100161159112116164112[[#This Row],[2006]]-Table4100161159112116164112[[#This Row],[2002]]</f>
        <v>0</v>
      </c>
      <c r="L13" s="71">
        <v>1</v>
      </c>
      <c r="M13" s="156">
        <f>Table4100161159112116164112[[#This Row],[2010]]-Table4100161159112116164112[[#This Row],[2006]]</f>
        <v>0</v>
      </c>
      <c r="N13" s="71">
        <v>1</v>
      </c>
      <c r="O13" s="156">
        <f>Table4100161159112116164112[[#This Row],[2014]]-Table4100161159112116164112[[#This Row],[2010]]</f>
        <v>0</v>
      </c>
      <c r="P13" s="71">
        <v>1</v>
      </c>
      <c r="Q13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6</v>
      </c>
      <c r="R13" s="157">
        <v>18</v>
      </c>
      <c r="T13" s="9">
        <f>R9</f>
        <v>57</v>
      </c>
      <c r="U13" s="9">
        <f>R19</f>
        <v>151</v>
      </c>
      <c r="V13" s="9">
        <f>R25</f>
        <v>49</v>
      </c>
      <c r="W13" s="9">
        <f>R30</f>
        <v>179</v>
      </c>
      <c r="X13" s="9">
        <f>R34</f>
        <v>77</v>
      </c>
    </row>
    <row r="14" spans="1:24" ht="19">
      <c r="A14" s="70" t="s">
        <v>79</v>
      </c>
      <c r="B14" s="71"/>
      <c r="C14" s="156">
        <f>Table4100161159112116164112[[#This Row],[1990]]-Table4100161159112116164112[[#This Row],[1986]]</f>
        <v>0</v>
      </c>
      <c r="D14" s="71"/>
      <c r="E14" s="156">
        <f>Table4100161159112116164112[[#This Row],[1994]]-Table4100161159112116164112[[#This Row],[1990]]</f>
        <v>0</v>
      </c>
      <c r="F14" s="71"/>
      <c r="G14" s="156">
        <f>Table4100161159112116164112[[#This Row],[1998]]-Table4100161159112116164112[[#This Row],[1994]]</f>
        <v>1</v>
      </c>
      <c r="H14" s="71">
        <v>1</v>
      </c>
      <c r="I14" s="156">
        <f>Table4100161159112116164112[[#This Row],[2002]]-Table4100161159112116164112[[#This Row],[1998]]</f>
        <v>0</v>
      </c>
      <c r="J14" s="71">
        <v>1</v>
      </c>
      <c r="K14" s="156">
        <f>Table4100161159112116164112[[#This Row],[2006]]-Table4100161159112116164112[[#This Row],[2002]]</f>
        <v>0</v>
      </c>
      <c r="L14" s="71">
        <v>1</v>
      </c>
      <c r="M14" s="156">
        <f>Table4100161159112116164112[[#This Row],[2010]]-Table4100161159112116164112[[#This Row],[2006]]</f>
        <v>0</v>
      </c>
      <c r="N14" s="71">
        <v>1</v>
      </c>
      <c r="O14" s="156">
        <f>Table4100161159112116164112[[#This Row],[2014]]-Table4100161159112116164112[[#This Row],[2010]]</f>
        <v>0</v>
      </c>
      <c r="P14" s="71">
        <v>1</v>
      </c>
      <c r="Q14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5</v>
      </c>
      <c r="R14" s="157">
        <v>12</v>
      </c>
      <c r="T14" s="44">
        <f>(N9/T13)*100</f>
        <v>17.543859649122805</v>
      </c>
      <c r="U14" s="44">
        <f>(N19/U13)*100</f>
        <v>16.556291390728479</v>
      </c>
      <c r="V14" s="44">
        <f>(N25/V13)*100</f>
        <v>14.285714285714285</v>
      </c>
      <c r="W14" s="44">
        <f>(N30/W13)*100</f>
        <v>16.201117318435752</v>
      </c>
      <c r="X14" s="44">
        <f>(N34/X13)*100</f>
        <v>22.077922077922079</v>
      </c>
    </row>
    <row r="15" spans="1:24" ht="19">
      <c r="A15" s="70" t="s">
        <v>77</v>
      </c>
      <c r="B15" s="71"/>
      <c r="C15" s="156">
        <f>Table4100161159112116164112[[#This Row],[1990]]-Table4100161159112116164112[[#This Row],[1986]]</f>
        <v>0</v>
      </c>
      <c r="D15" s="71"/>
      <c r="E15" s="156">
        <f>Table4100161159112116164112[[#This Row],[1994]]-Table4100161159112116164112[[#This Row],[1990]]</f>
        <v>2</v>
      </c>
      <c r="F15" s="71">
        <v>2</v>
      </c>
      <c r="G15" s="156">
        <f>Table4100161159112116164112[[#This Row],[1998]]-Table4100161159112116164112[[#This Row],[1994]]</f>
        <v>-1</v>
      </c>
      <c r="H15" s="71">
        <v>1</v>
      </c>
      <c r="I15" s="156">
        <f>Table4100161159112116164112[[#This Row],[2002]]-Table4100161159112116164112[[#This Row],[1998]]</f>
        <v>2</v>
      </c>
      <c r="J15" s="71">
        <v>3</v>
      </c>
      <c r="K15" s="156">
        <f>Table4100161159112116164112[[#This Row],[2006]]-Table4100161159112116164112[[#This Row],[2002]]</f>
        <v>1</v>
      </c>
      <c r="L15" s="71">
        <v>4</v>
      </c>
      <c r="M15" s="156">
        <f>Table4100161159112116164112[[#This Row],[2010]]-Table4100161159112116164112[[#This Row],[2006]]</f>
        <v>0</v>
      </c>
      <c r="N15" s="71">
        <v>4</v>
      </c>
      <c r="O15" s="156">
        <f>Table4100161159112116164112[[#This Row],[2014]]-Table4100161159112116164112[[#This Row],[2010]]</f>
        <v>-4</v>
      </c>
      <c r="P15" s="71"/>
      <c r="Q15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14</v>
      </c>
      <c r="R15" s="157">
        <v>25</v>
      </c>
    </row>
    <row r="16" spans="1:24" ht="19">
      <c r="A16" s="70" t="s">
        <v>75</v>
      </c>
      <c r="B16" s="72"/>
      <c r="C16" s="156">
        <f>Table4100161159112116164112[[#This Row],[1990]]-Table4100161159112116164112[[#This Row],[1986]]</f>
        <v>0</v>
      </c>
      <c r="D16" s="72"/>
      <c r="E16" s="156">
        <f>Table4100161159112116164112[[#This Row],[1994]]-Table4100161159112116164112[[#This Row],[1990]]</f>
        <v>0</v>
      </c>
      <c r="F16" s="72"/>
      <c r="G16" s="156">
        <f>Table4100161159112116164112[[#This Row],[1998]]-Table4100161159112116164112[[#This Row],[1994]]</f>
        <v>1</v>
      </c>
      <c r="H16" s="72">
        <v>1</v>
      </c>
      <c r="I16" s="156">
        <f>Table4100161159112116164112[[#This Row],[2002]]-Table4100161159112116164112[[#This Row],[1998]]</f>
        <v>0</v>
      </c>
      <c r="J16" s="72">
        <v>1</v>
      </c>
      <c r="K16" s="156">
        <f>Table4100161159112116164112[[#This Row],[2006]]-Table4100161159112116164112[[#This Row],[2002]]</f>
        <v>0</v>
      </c>
      <c r="L16" s="72">
        <v>1</v>
      </c>
      <c r="M16" s="156">
        <f>Table4100161159112116164112[[#This Row],[2010]]-Table4100161159112116164112[[#This Row],[2006]]</f>
        <v>1</v>
      </c>
      <c r="N16" s="72">
        <v>2</v>
      </c>
      <c r="O16" s="156">
        <f>Table4100161159112116164112[[#This Row],[2014]]-Table4100161159112116164112[[#This Row],[2010]]</f>
        <v>0</v>
      </c>
      <c r="P16" s="72">
        <v>2</v>
      </c>
      <c r="Q16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7</v>
      </c>
      <c r="R16" s="157">
        <v>10</v>
      </c>
      <c r="T16" s="178" t="s">
        <v>417</v>
      </c>
      <c r="U16" s="178"/>
      <c r="V16" s="178"/>
      <c r="W16" s="178"/>
      <c r="X16" s="178"/>
    </row>
    <row r="17" spans="1:24" ht="19">
      <c r="A17" s="70" t="s">
        <v>69</v>
      </c>
      <c r="B17" s="71"/>
      <c r="C17" s="156">
        <f>Table4100161159112116164112[[#This Row],[1990]]-Table4100161159112116164112[[#This Row],[1986]]</f>
        <v>0</v>
      </c>
      <c r="D17" s="71"/>
      <c r="E17" s="156">
        <f>Table4100161159112116164112[[#This Row],[1994]]-Table4100161159112116164112[[#This Row],[1990]]</f>
        <v>0</v>
      </c>
      <c r="F17" s="71"/>
      <c r="G17" s="156">
        <f>Table4100161159112116164112[[#This Row],[1998]]-Table4100161159112116164112[[#This Row],[1994]]</f>
        <v>0</v>
      </c>
      <c r="H17" s="71"/>
      <c r="I17" s="156">
        <f>Table4100161159112116164112[[#This Row],[2002]]-Table4100161159112116164112[[#This Row],[1998]]</f>
        <v>1</v>
      </c>
      <c r="J17" s="71">
        <v>1</v>
      </c>
      <c r="K17" s="156">
        <f>Table4100161159112116164112[[#This Row],[2006]]-Table4100161159112116164112[[#This Row],[2002]]</f>
        <v>0</v>
      </c>
      <c r="L17" s="71">
        <v>1</v>
      </c>
      <c r="M17" s="156">
        <f>Table4100161159112116164112[[#This Row],[2010]]-Table4100161159112116164112[[#This Row],[2006]]</f>
        <v>0</v>
      </c>
      <c r="N17" s="71">
        <v>1</v>
      </c>
      <c r="O17" s="156">
        <f>Table4100161159112116164112[[#This Row],[2014]]-Table4100161159112116164112[[#This Row],[2010]]</f>
        <v>-1</v>
      </c>
      <c r="P17" s="71"/>
      <c r="Q17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3</v>
      </c>
      <c r="R17" s="157">
        <v>8</v>
      </c>
      <c r="T17" s="65" t="s">
        <v>410</v>
      </c>
      <c r="U17" s="66" t="s">
        <v>411</v>
      </c>
      <c r="V17" s="67" t="s">
        <v>412</v>
      </c>
      <c r="W17" s="68" t="s">
        <v>413</v>
      </c>
      <c r="X17" s="69" t="s">
        <v>414</v>
      </c>
    </row>
    <row r="18" spans="1:24" ht="19">
      <c r="A18" s="70" t="s">
        <v>56</v>
      </c>
      <c r="B18" s="71"/>
      <c r="C18" s="156">
        <f>Table4100161159112116164112[[#This Row],[1990]]-Table4100161159112116164112[[#This Row],[1986]]</f>
        <v>0</v>
      </c>
      <c r="D18" s="71"/>
      <c r="E18" s="156">
        <f>Table4100161159112116164112[[#This Row],[1994]]-Table4100161159112116164112[[#This Row],[1990]]</f>
        <v>1</v>
      </c>
      <c r="F18" s="71">
        <v>1</v>
      </c>
      <c r="G18" s="156">
        <f>Table4100161159112116164112[[#This Row],[1998]]-Table4100161159112116164112[[#This Row],[1994]]</f>
        <v>0</v>
      </c>
      <c r="H18" s="71">
        <v>1</v>
      </c>
      <c r="I18" s="156">
        <f>Table4100161159112116164112[[#This Row],[2002]]-Table4100161159112116164112[[#This Row],[1998]]</f>
        <v>0</v>
      </c>
      <c r="J18" s="71">
        <v>1</v>
      </c>
      <c r="K18" s="156">
        <f>Table4100161159112116164112[[#This Row],[2006]]-Table4100161159112116164112[[#This Row],[2002]]</f>
        <v>0</v>
      </c>
      <c r="L18" s="71">
        <v>1</v>
      </c>
      <c r="M18" s="156">
        <f>Table4100161159112116164112[[#This Row],[2010]]-Table4100161159112116164112[[#This Row],[2006]]</f>
        <v>1</v>
      </c>
      <c r="N18" s="71">
        <v>2</v>
      </c>
      <c r="O18" s="156">
        <f>Table4100161159112116164112[[#This Row],[2014]]-Table4100161159112116164112[[#This Row],[2010]]</f>
        <v>-1</v>
      </c>
      <c r="P18" s="71">
        <v>1</v>
      </c>
      <c r="Q18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7</v>
      </c>
      <c r="R18" s="157">
        <v>8</v>
      </c>
      <c r="T18" s="9">
        <f>R9</f>
        <v>57</v>
      </c>
      <c r="U18" s="9">
        <f>R19</f>
        <v>151</v>
      </c>
      <c r="V18" s="9">
        <f>R25</f>
        <v>49</v>
      </c>
      <c r="W18" s="9">
        <f>R30</f>
        <v>179</v>
      </c>
      <c r="X18" s="9">
        <f>R34</f>
        <v>77</v>
      </c>
    </row>
    <row r="19" spans="1:24" ht="19">
      <c r="A19" s="83" t="s">
        <v>411</v>
      </c>
      <c r="B19" s="84">
        <f>SUM(B10:B18)</f>
        <v>0</v>
      </c>
      <c r="C19" s="84">
        <f>Table4100161159112116164112[[#This Row],[1990]]-Table4100161159112116164112[[#This Row],[1986]]</f>
        <v>3</v>
      </c>
      <c r="D19" s="84">
        <f>SUM(D10:D18)</f>
        <v>3</v>
      </c>
      <c r="E19" s="80">
        <f>Table4100161159112116164112[[#This Row],[1994]]-Table4100161159112116164112[[#This Row],[1990]]</f>
        <v>4</v>
      </c>
      <c r="F19" s="84">
        <f>SUM(F10:F18)</f>
        <v>7</v>
      </c>
      <c r="G19" s="80">
        <f>Table4100161159112116164112[[#This Row],[1998]]-Table4100161159112116164112[[#This Row],[1994]]</f>
        <v>3</v>
      </c>
      <c r="H19" s="84">
        <f>SUM(H10:H18)</f>
        <v>10</v>
      </c>
      <c r="I19" s="80">
        <f>Table4100161159112116164112[[#This Row],[2002]]-Table4100161159112116164112[[#This Row],[1998]]</f>
        <v>7</v>
      </c>
      <c r="J19" s="84">
        <f>SUM(J10:J18)</f>
        <v>17</v>
      </c>
      <c r="K19" s="80">
        <f>Table4100161159112116164112[[#This Row],[2006]]-Table4100161159112116164112[[#This Row],[2002]]</f>
        <v>3</v>
      </c>
      <c r="L19" s="84">
        <f>SUM(L10:L18)</f>
        <v>20</v>
      </c>
      <c r="M19" s="80">
        <f>Table4100161159112116164112[[#This Row],[2010]]-Table4100161159112116164112[[#This Row],[2006]]</f>
        <v>5</v>
      </c>
      <c r="N19" s="84">
        <f>SUM(N10:N18)</f>
        <v>25</v>
      </c>
      <c r="O19" s="80">
        <f>Table4100161159112116164112[[#This Row],[2014]]-Table4100161159112116164112[[#This Row],[2010]]</f>
        <v>-8</v>
      </c>
      <c r="P19" s="84">
        <f>SUM(P10:P18)</f>
        <v>17</v>
      </c>
      <c r="Q19" s="160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99</v>
      </c>
      <c r="R19" s="161">
        <f>SUM(R10:R18)</f>
        <v>151</v>
      </c>
      <c r="T19" s="44">
        <f>(L9/T18)*100</f>
        <v>17.543859649122805</v>
      </c>
      <c r="U19" s="44">
        <f>(L19/U18)*100</f>
        <v>13.245033112582782</v>
      </c>
      <c r="V19" s="44">
        <f>(L25/V18)*100</f>
        <v>12.244897959183673</v>
      </c>
      <c r="W19" s="44">
        <f>(L30/W18)*100</f>
        <v>16.201117318435752</v>
      </c>
      <c r="X19" s="44">
        <f>(L34/X18)*100</f>
        <v>19.480519480519483</v>
      </c>
    </row>
    <row r="20" spans="1:24" ht="19">
      <c r="A20" s="70" t="s">
        <v>97</v>
      </c>
      <c r="B20" s="71"/>
      <c r="C20" s="156">
        <f>Table4100161159112116164112[[#This Row],[1990]]-Table4100161159112116164112[[#This Row],[1986]]</f>
        <v>2</v>
      </c>
      <c r="D20" s="71">
        <v>2</v>
      </c>
      <c r="E20" s="156">
        <f>Table4100161159112116164112[[#This Row],[1994]]-Table4100161159112116164112[[#This Row],[1990]]</f>
        <v>0</v>
      </c>
      <c r="F20" s="71">
        <v>2</v>
      </c>
      <c r="G20" s="156">
        <f>Table4100161159112116164112[[#This Row],[1998]]-Table4100161159112116164112[[#This Row],[1994]]</f>
        <v>0</v>
      </c>
      <c r="H20" s="71">
        <v>2</v>
      </c>
      <c r="I20" s="156">
        <f>Table4100161159112116164112[[#This Row],[2002]]-Table4100161159112116164112[[#This Row],[1998]]</f>
        <v>0</v>
      </c>
      <c r="J20" s="71">
        <v>2</v>
      </c>
      <c r="K20" s="156">
        <f>Table4100161159112116164112[[#This Row],[2006]]-Table4100161159112116164112[[#This Row],[2002]]</f>
        <v>-1</v>
      </c>
      <c r="L20" s="71">
        <v>1</v>
      </c>
      <c r="M20" s="156">
        <f>Table4100161159112116164112[[#This Row],[2010]]-Table4100161159112116164112[[#This Row],[2006]]</f>
        <v>2</v>
      </c>
      <c r="N20" s="71">
        <v>3</v>
      </c>
      <c r="O20" s="156">
        <f>Table4100161159112116164112[[#This Row],[2014]]-Table4100161159112116164112[[#This Row],[2010]]</f>
        <v>-2</v>
      </c>
      <c r="P20" s="71">
        <v>1</v>
      </c>
      <c r="Q20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13</v>
      </c>
      <c r="R20" s="157">
        <v>8</v>
      </c>
    </row>
    <row r="21" spans="1:24" ht="19">
      <c r="A21" s="86" t="s">
        <v>94</v>
      </c>
      <c r="B21" s="71"/>
      <c r="C21" s="156">
        <f>Table4100161159112116164112[[#This Row],[1990]]-Table4100161159112116164112[[#This Row],[1986]]</f>
        <v>0</v>
      </c>
      <c r="D21" s="71"/>
      <c r="E21" s="156">
        <f>Table4100161159112116164112[[#This Row],[1994]]-Table4100161159112116164112[[#This Row],[1990]]</f>
        <v>1</v>
      </c>
      <c r="F21" s="71">
        <v>1</v>
      </c>
      <c r="G21" s="156">
        <f>Table4100161159112116164112[[#This Row],[1998]]-Table4100161159112116164112[[#This Row],[1994]]</f>
        <v>0</v>
      </c>
      <c r="H21" s="71">
        <v>1</v>
      </c>
      <c r="I21" s="156">
        <f>Table4100161159112116164112[[#This Row],[2002]]-Table4100161159112116164112[[#This Row],[1998]]</f>
        <v>1</v>
      </c>
      <c r="J21" s="71">
        <v>2</v>
      </c>
      <c r="K21" s="156">
        <f>Table4100161159112116164112[[#This Row],[2006]]-Table4100161159112116164112[[#This Row],[2002]]</f>
        <v>0</v>
      </c>
      <c r="L21" s="71">
        <v>2</v>
      </c>
      <c r="M21" s="156">
        <f>Table4100161159112116164112[[#This Row],[2010]]-Table4100161159112116164112[[#This Row],[2006]]</f>
        <v>-1</v>
      </c>
      <c r="N21" s="71">
        <v>1</v>
      </c>
      <c r="O21" s="156">
        <f>Table4100161159112116164112[[#This Row],[2014]]-Table4100161159112116164112[[#This Row],[2010]]</f>
        <v>0</v>
      </c>
      <c r="P21" s="71">
        <v>1</v>
      </c>
      <c r="Q21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8</v>
      </c>
      <c r="R21" s="157">
        <v>17</v>
      </c>
      <c r="T21" s="178" t="s">
        <v>418</v>
      </c>
      <c r="U21" s="178"/>
      <c r="V21" s="178"/>
      <c r="W21" s="178"/>
      <c r="X21" s="178"/>
    </row>
    <row r="22" spans="1:24" ht="19">
      <c r="A22" s="88" t="s">
        <v>85</v>
      </c>
      <c r="B22" s="71"/>
      <c r="C22" s="156">
        <f>Table4100161159112116164112[[#This Row],[1990]]-Table4100161159112116164112[[#This Row],[1986]]</f>
        <v>0</v>
      </c>
      <c r="D22" s="71"/>
      <c r="E22" s="156">
        <f>Table4100161159112116164112[[#This Row],[1994]]-Table4100161159112116164112[[#This Row],[1990]]</f>
        <v>0</v>
      </c>
      <c r="F22" s="71"/>
      <c r="G22" s="156">
        <f>Table4100161159112116164112[[#This Row],[1998]]-Table4100161159112116164112[[#This Row],[1994]]</f>
        <v>2</v>
      </c>
      <c r="H22" s="71">
        <v>2</v>
      </c>
      <c r="I22" s="156">
        <f>Table4100161159112116164112[[#This Row],[2002]]-Table4100161159112116164112[[#This Row],[1998]]</f>
        <v>1</v>
      </c>
      <c r="J22" s="71">
        <v>3</v>
      </c>
      <c r="K22" s="156">
        <f>Table4100161159112116164112[[#This Row],[2006]]-Table4100161159112116164112[[#This Row],[2002]]</f>
        <v>-1</v>
      </c>
      <c r="L22" s="71">
        <v>2</v>
      </c>
      <c r="M22" s="156">
        <f>Table4100161159112116164112[[#This Row],[2010]]-Table4100161159112116164112[[#This Row],[2006]]</f>
        <v>0</v>
      </c>
      <c r="N22" s="71">
        <v>2</v>
      </c>
      <c r="O22" s="156">
        <f>Table4100161159112116164112[[#This Row],[2014]]-Table4100161159112116164112[[#This Row],[2010]]</f>
        <v>0</v>
      </c>
      <c r="P22" s="71">
        <v>2</v>
      </c>
      <c r="Q22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11</v>
      </c>
      <c r="R22" s="157">
        <v>8</v>
      </c>
      <c r="T22" s="65" t="s">
        <v>410</v>
      </c>
      <c r="U22" s="66" t="s">
        <v>411</v>
      </c>
      <c r="V22" s="67" t="s">
        <v>412</v>
      </c>
      <c r="W22" s="68" t="s">
        <v>413</v>
      </c>
      <c r="X22" s="69" t="s">
        <v>414</v>
      </c>
    </row>
    <row r="23" spans="1:24" ht="19">
      <c r="A23" s="88" t="s">
        <v>83</v>
      </c>
      <c r="B23" s="71"/>
      <c r="C23" s="156">
        <f>Table4100161159112116164112[[#This Row],[1990]]-Table4100161159112116164112[[#This Row],[1986]]</f>
        <v>0</v>
      </c>
      <c r="D23" s="71"/>
      <c r="E23" s="156">
        <f>Table4100161159112116164112[[#This Row],[1994]]-Table4100161159112116164112[[#This Row],[1990]]</f>
        <v>1</v>
      </c>
      <c r="F23" s="71">
        <v>1</v>
      </c>
      <c r="G23" s="156">
        <f>Table4100161159112116164112[[#This Row],[1998]]-Table4100161159112116164112[[#This Row],[1994]]</f>
        <v>-1</v>
      </c>
      <c r="H23" s="71"/>
      <c r="I23" s="156">
        <f>Table4100161159112116164112[[#This Row],[2002]]-Table4100161159112116164112[[#This Row],[1998]]</f>
        <v>1</v>
      </c>
      <c r="J23" s="71">
        <v>1</v>
      </c>
      <c r="K23" s="156">
        <f>Table4100161159112116164112[[#This Row],[2006]]-Table4100161159112116164112[[#This Row],[2002]]</f>
        <v>0</v>
      </c>
      <c r="L23" s="71">
        <v>1</v>
      </c>
      <c r="M23" s="156">
        <f>Table4100161159112116164112[[#This Row],[2010]]-Table4100161159112116164112[[#This Row],[2006]]</f>
        <v>0</v>
      </c>
      <c r="N23" s="71">
        <v>1</v>
      </c>
      <c r="O23" s="156">
        <f>Table4100161159112116164112[[#This Row],[2014]]-Table4100161159112116164112[[#This Row],[2010]]</f>
        <v>0</v>
      </c>
      <c r="P23" s="71">
        <v>1</v>
      </c>
      <c r="Q23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5</v>
      </c>
      <c r="R23" s="157">
        <v>8</v>
      </c>
      <c r="T23" s="9">
        <f>R9</f>
        <v>57</v>
      </c>
      <c r="U23" s="9">
        <f>R19</f>
        <v>151</v>
      </c>
      <c r="V23" s="9">
        <f>R25</f>
        <v>49</v>
      </c>
      <c r="W23" s="9">
        <f>R30</f>
        <v>179</v>
      </c>
      <c r="X23" s="9">
        <f>R34</f>
        <v>77</v>
      </c>
    </row>
    <row r="24" spans="1:24" ht="19">
      <c r="A24" s="88" t="s">
        <v>52</v>
      </c>
      <c r="B24" s="71"/>
      <c r="C24" s="156">
        <f>Table4100161159112116164112[[#This Row],[1990]]-Table4100161159112116164112[[#This Row],[1986]]</f>
        <v>0</v>
      </c>
      <c r="D24" s="71"/>
      <c r="E24" s="156">
        <f>Table4100161159112116164112[[#This Row],[1994]]-Table4100161159112116164112[[#This Row],[1990]]</f>
        <v>0</v>
      </c>
      <c r="F24" s="71"/>
      <c r="G24" s="156">
        <f>Table4100161159112116164112[[#This Row],[1998]]-Table4100161159112116164112[[#This Row],[1994]]</f>
        <v>0</v>
      </c>
      <c r="H24" s="71"/>
      <c r="I24" s="156">
        <f>Table4100161159112116164112[[#This Row],[2002]]-Table4100161159112116164112[[#This Row],[1998]]</f>
        <v>0</v>
      </c>
      <c r="J24" s="71"/>
      <c r="K24" s="156">
        <f>Table4100161159112116164112[[#This Row],[2006]]-Table4100161159112116164112[[#This Row],[2002]]</f>
        <v>0</v>
      </c>
      <c r="L24" s="71"/>
      <c r="M24" s="156">
        <f>Table4100161159112116164112[[#This Row],[2010]]-Table4100161159112116164112[[#This Row],[2006]]</f>
        <v>0</v>
      </c>
      <c r="N24" s="71"/>
      <c r="O24" s="156">
        <f>Table4100161159112116164112[[#This Row],[2014]]-Table4100161159112116164112[[#This Row],[2010]]</f>
        <v>0</v>
      </c>
      <c r="P24" s="71"/>
      <c r="Q24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0</v>
      </c>
      <c r="R24" s="157">
        <v>8</v>
      </c>
      <c r="T24" s="44">
        <f>(J9/T23)*100</f>
        <v>17.543859649122805</v>
      </c>
      <c r="U24" s="44">
        <f>(J19/U23)*100</f>
        <v>11.258278145695364</v>
      </c>
      <c r="V24" s="44">
        <f>(J25/V23)*100</f>
        <v>16.326530612244898</v>
      </c>
      <c r="W24" s="44">
        <f>(J30/W23)*100</f>
        <v>20.670391061452513</v>
      </c>
      <c r="X24" s="44">
        <f>(J34/X23)*100</f>
        <v>24.675324675324674</v>
      </c>
    </row>
    <row r="25" spans="1:24" ht="19">
      <c r="A25" s="89" t="s">
        <v>412</v>
      </c>
      <c r="B25" s="79">
        <f>SUM(B20:B24)</f>
        <v>0</v>
      </c>
      <c r="C25" s="79">
        <f>Table4100161159112116164112[[#This Row],[1990]]-Table4100161159112116164112[[#This Row],[1986]]</f>
        <v>2</v>
      </c>
      <c r="D25" s="79">
        <f>SUM(D20:D24)</f>
        <v>2</v>
      </c>
      <c r="E25" s="80">
        <f>Table4100161159112116164112[[#This Row],[1994]]-Table4100161159112116164112[[#This Row],[1990]]</f>
        <v>2</v>
      </c>
      <c r="F25" s="79">
        <f>SUM(F20:F24)</f>
        <v>4</v>
      </c>
      <c r="G25" s="80">
        <f>Table4100161159112116164112[[#This Row],[1998]]-Table4100161159112116164112[[#This Row],[1994]]</f>
        <v>1</v>
      </c>
      <c r="H25" s="79">
        <f>SUM(H20:H24)</f>
        <v>5</v>
      </c>
      <c r="I25" s="80">
        <f>Table4100161159112116164112[[#This Row],[2002]]-Table4100161159112116164112[[#This Row],[1998]]</f>
        <v>3</v>
      </c>
      <c r="J25" s="79">
        <f>SUM(J20:J24)</f>
        <v>8</v>
      </c>
      <c r="K25" s="80">
        <f>Table4100161159112116164112[[#This Row],[2006]]-Table4100161159112116164112[[#This Row],[2002]]</f>
        <v>-2</v>
      </c>
      <c r="L25" s="79">
        <f>SUM(L20:L24)</f>
        <v>6</v>
      </c>
      <c r="M25" s="80">
        <f>Table4100161159112116164112[[#This Row],[2010]]-Table4100161159112116164112[[#This Row],[2006]]</f>
        <v>1</v>
      </c>
      <c r="N25" s="79">
        <f>SUM(N20:N24)</f>
        <v>7</v>
      </c>
      <c r="O25" s="80">
        <f>Table4100161159112116164112[[#This Row],[2014]]-Table4100161159112116164112[[#This Row],[2010]]</f>
        <v>-2</v>
      </c>
      <c r="P25" s="79">
        <f>SUM(P20:P24)</f>
        <v>5</v>
      </c>
      <c r="Q25" s="162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37</v>
      </c>
      <c r="R25" s="163">
        <f>SUM(R20:R24)</f>
        <v>49</v>
      </c>
    </row>
    <row r="26" spans="1:24" ht="19">
      <c r="A26" s="88" t="s">
        <v>95</v>
      </c>
      <c r="B26" s="71">
        <v>1</v>
      </c>
      <c r="C26" s="156">
        <f>Table4100161159112116164112[[#This Row],[1990]]-Table4100161159112116164112[[#This Row],[1986]]</f>
        <v>-1</v>
      </c>
      <c r="D26" s="71"/>
      <c r="E26" s="156">
        <f>Table4100161159112116164112[[#This Row],[1994]]-Table4100161159112116164112[[#This Row],[1990]]</f>
        <v>1</v>
      </c>
      <c r="F26" s="71">
        <v>1</v>
      </c>
      <c r="G26" s="156">
        <f>Table4100161159112116164112[[#This Row],[1998]]-Table4100161159112116164112[[#This Row],[1994]]</f>
        <v>0</v>
      </c>
      <c r="H26" s="71">
        <v>1</v>
      </c>
      <c r="I26" s="156">
        <f>Table4100161159112116164112[[#This Row],[2002]]-Table4100161159112116164112[[#This Row],[1998]]</f>
        <v>0</v>
      </c>
      <c r="J26" s="71">
        <v>1</v>
      </c>
      <c r="K26" s="156">
        <f>Table4100161159112116164112[[#This Row],[2006]]-Table4100161159112116164112[[#This Row],[2002]]</f>
        <v>0</v>
      </c>
      <c r="L26" s="71">
        <v>1</v>
      </c>
      <c r="M26" s="156">
        <f>Table4100161159112116164112[[#This Row],[2010]]-Table4100161159112116164112[[#This Row],[2006]]</f>
        <v>0</v>
      </c>
      <c r="N26" s="71">
        <v>1</v>
      </c>
      <c r="O26" s="156">
        <f>Table4100161159112116164112[[#This Row],[2014]]-Table4100161159112116164112[[#This Row],[2010]]</f>
        <v>1</v>
      </c>
      <c r="P26" s="71">
        <v>2</v>
      </c>
      <c r="Q26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8</v>
      </c>
      <c r="R26" s="157">
        <v>10</v>
      </c>
      <c r="T26" s="178" t="s">
        <v>419</v>
      </c>
      <c r="U26" s="178"/>
      <c r="V26" s="178"/>
      <c r="W26" s="178"/>
      <c r="X26" s="178"/>
    </row>
    <row r="27" spans="1:24" ht="19">
      <c r="A27" s="88" t="s">
        <v>88</v>
      </c>
      <c r="B27" s="71">
        <v>3</v>
      </c>
      <c r="C27" s="156">
        <f>Table4100161159112116164112[[#This Row],[1990]]-Table4100161159112116164112[[#This Row],[1986]]</f>
        <v>3</v>
      </c>
      <c r="D27" s="71">
        <v>6</v>
      </c>
      <c r="E27" s="156">
        <f>Table4100161159112116164112[[#This Row],[1994]]-Table4100161159112116164112[[#This Row],[1990]]</f>
        <v>0</v>
      </c>
      <c r="F27" s="71">
        <v>6</v>
      </c>
      <c r="G27" s="156">
        <f>Table4100161159112116164112[[#This Row],[1998]]-Table4100161159112116164112[[#This Row],[1994]]</f>
        <v>1</v>
      </c>
      <c r="H27" s="71">
        <v>7</v>
      </c>
      <c r="I27" s="156">
        <f>Table4100161159112116164112[[#This Row],[2002]]-Table4100161159112116164112[[#This Row],[1998]]</f>
        <v>4</v>
      </c>
      <c r="J27" s="71">
        <v>11</v>
      </c>
      <c r="K27" s="156">
        <f>Table4100161159112116164112[[#This Row],[2006]]-Table4100161159112116164112[[#This Row],[2002]]</f>
        <v>-2</v>
      </c>
      <c r="L27" s="71">
        <v>9</v>
      </c>
      <c r="M27" s="156">
        <f>Table4100161159112116164112[[#This Row],[2010]]-Table4100161159112116164112[[#This Row],[2006]]</f>
        <v>-1</v>
      </c>
      <c r="N27" s="71">
        <v>8</v>
      </c>
      <c r="O27" s="156">
        <f>Table4100161159112116164112[[#This Row],[2014]]-Table4100161159112116164112[[#This Row],[2010]]</f>
        <v>2</v>
      </c>
      <c r="P27" s="71">
        <v>10</v>
      </c>
      <c r="Q27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60</v>
      </c>
      <c r="R27" s="157">
        <v>53</v>
      </c>
      <c r="T27" s="65" t="s">
        <v>410</v>
      </c>
      <c r="U27" s="66" t="s">
        <v>411</v>
      </c>
      <c r="V27" s="67" t="s">
        <v>412</v>
      </c>
      <c r="W27" s="68" t="s">
        <v>413</v>
      </c>
      <c r="X27" s="69" t="s">
        <v>414</v>
      </c>
    </row>
    <row r="28" spans="1:24" ht="19">
      <c r="A28" s="88" t="s">
        <v>72</v>
      </c>
      <c r="B28" s="71">
        <v>2</v>
      </c>
      <c r="C28" s="156">
        <f>Table4100161159112116164112[[#This Row],[1990]]-Table4100161159112116164112[[#This Row],[1986]]</f>
        <v>1</v>
      </c>
      <c r="D28" s="71">
        <v>3</v>
      </c>
      <c r="E28" s="156">
        <f>Table4100161159112116164112[[#This Row],[1994]]-Table4100161159112116164112[[#This Row],[1990]]</f>
        <v>0</v>
      </c>
      <c r="F28" s="71">
        <v>3</v>
      </c>
      <c r="G28" s="156">
        <f>Table4100161159112116164112[[#This Row],[1998]]-Table4100161159112116164112[[#This Row],[1994]]</f>
        <v>1</v>
      </c>
      <c r="H28" s="71">
        <v>4</v>
      </c>
      <c r="I28" s="156">
        <f>Table4100161159112116164112[[#This Row],[2002]]-Table4100161159112116164112[[#This Row],[1998]]</f>
        <v>3</v>
      </c>
      <c r="J28" s="71">
        <v>7</v>
      </c>
      <c r="K28" s="156">
        <f>Table4100161159112116164112[[#This Row],[2006]]-Table4100161159112116164112[[#This Row],[2002]]</f>
        <v>-2</v>
      </c>
      <c r="L28" s="71">
        <v>5</v>
      </c>
      <c r="M28" s="156">
        <f>Table4100161159112116164112[[#This Row],[2010]]-Table4100161159112116164112[[#This Row],[2006]]</f>
        <v>0</v>
      </c>
      <c r="N28" s="71">
        <v>5</v>
      </c>
      <c r="O28" s="156">
        <f>Table4100161159112116164112[[#This Row],[2014]]-Table4100161159112116164112[[#This Row],[2010]]</f>
        <v>0</v>
      </c>
      <c r="P28" s="71">
        <v>5</v>
      </c>
      <c r="Q28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34</v>
      </c>
      <c r="R28" s="157">
        <v>46</v>
      </c>
      <c r="T28" s="9">
        <f>R9</f>
        <v>57</v>
      </c>
      <c r="U28" s="9">
        <f>R19</f>
        <v>151</v>
      </c>
      <c r="V28" s="9">
        <f>R25</f>
        <v>49</v>
      </c>
      <c r="W28" s="9">
        <f>R30</f>
        <v>179</v>
      </c>
      <c r="X28" s="9">
        <f>R34</f>
        <v>77</v>
      </c>
    </row>
    <row r="29" spans="1:24" ht="19">
      <c r="A29" s="88" t="s">
        <v>54</v>
      </c>
      <c r="B29" s="71">
        <v>8</v>
      </c>
      <c r="C29" s="156">
        <f>Table4100161159112116164112[[#This Row],[1990]]-Table4100161159112116164112[[#This Row],[1986]]</f>
        <v>2</v>
      </c>
      <c r="D29" s="71">
        <v>10</v>
      </c>
      <c r="E29" s="156">
        <f>Table4100161159112116164112[[#This Row],[1994]]-Table4100161159112116164112[[#This Row],[1990]]</f>
        <v>4</v>
      </c>
      <c r="F29" s="71">
        <v>14</v>
      </c>
      <c r="G29" s="156">
        <f>Table4100161159112116164112[[#This Row],[1998]]-Table4100161159112116164112[[#This Row],[1994]]</f>
        <v>0</v>
      </c>
      <c r="H29" s="71">
        <v>14</v>
      </c>
      <c r="I29" s="156">
        <f>Table4100161159112116164112[[#This Row],[2002]]-Table4100161159112116164112[[#This Row],[1998]]</f>
        <v>4</v>
      </c>
      <c r="J29" s="71">
        <v>18</v>
      </c>
      <c r="K29" s="156">
        <f>Table4100161159112116164112[[#This Row],[2006]]-Table4100161159112116164112[[#This Row],[2002]]</f>
        <v>-4</v>
      </c>
      <c r="L29" s="71">
        <v>14</v>
      </c>
      <c r="M29" s="156">
        <f>Table4100161159112116164112[[#This Row],[2010]]-Table4100161159112116164112[[#This Row],[2006]]</f>
        <v>1</v>
      </c>
      <c r="N29" s="71">
        <v>15</v>
      </c>
      <c r="O29" s="156">
        <f>Table4100161159112116164112[[#This Row],[2014]]-Table4100161159112116164112[[#This Row],[2010]]</f>
        <v>-5</v>
      </c>
      <c r="P29" s="71">
        <v>10</v>
      </c>
      <c r="Q29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103</v>
      </c>
      <c r="R29" s="157">
        <v>70</v>
      </c>
      <c r="T29" s="44">
        <f>(H9/T28)*100</f>
        <v>8.7719298245614024</v>
      </c>
      <c r="U29" s="44">
        <f>(H19/U28)*100</f>
        <v>6.6225165562913908</v>
      </c>
      <c r="V29" s="44">
        <f>(H25/V28)*100</f>
        <v>10.204081632653061</v>
      </c>
      <c r="W29" s="44">
        <f>(H30/W28)*100</f>
        <v>14.52513966480447</v>
      </c>
      <c r="X29" s="44">
        <f>(H34/X28)*100</f>
        <v>16.883116883116884</v>
      </c>
    </row>
    <row r="30" spans="1:24" ht="19">
      <c r="A30" s="93" t="s">
        <v>413</v>
      </c>
      <c r="B30" s="79">
        <f>SUM(B26:B29)</f>
        <v>14</v>
      </c>
      <c r="C30" s="79">
        <f>Table4100161159112116164112[[#This Row],[1990]]-Table4100161159112116164112[[#This Row],[1986]]</f>
        <v>5</v>
      </c>
      <c r="D30" s="79">
        <f>SUM(D26:D29)</f>
        <v>19</v>
      </c>
      <c r="E30" s="79">
        <f>Table4100161159112116164112[[#This Row],[1990]]-Table4100161159112116164112[[#This Row],[1986]]</f>
        <v>5</v>
      </c>
      <c r="F30" s="79">
        <f>SUM(F26:F29)</f>
        <v>24</v>
      </c>
      <c r="G30" s="80">
        <f>Table4100161159112116164112[[#This Row],[1998]]-Table4100161159112116164112[[#This Row],[1994]]</f>
        <v>2</v>
      </c>
      <c r="H30" s="79">
        <f>SUM(H26:H29)</f>
        <v>26</v>
      </c>
      <c r="I30" s="80">
        <f>Table4100161159112116164112[[#This Row],[2002]]-Table4100161159112116164112[[#This Row],[1998]]</f>
        <v>11</v>
      </c>
      <c r="J30" s="79">
        <f>SUM(J26:J29)</f>
        <v>37</v>
      </c>
      <c r="K30" s="80">
        <f>Table4100161159112116164112[[#This Row],[2006]]-Table4100161159112116164112[[#This Row],[2002]]</f>
        <v>-8</v>
      </c>
      <c r="L30" s="79">
        <f>SUM(L26:L29)</f>
        <v>29</v>
      </c>
      <c r="M30" s="80">
        <f>Table4100161159112116164112[[#This Row],[2010]]-Table4100161159112116164112[[#This Row],[2006]]</f>
        <v>0</v>
      </c>
      <c r="N30" s="79">
        <f>SUM(N26:N29)</f>
        <v>29</v>
      </c>
      <c r="O30" s="80">
        <f>Table4100161159112116164112[[#This Row],[2014]]-Table4100161159112116164112[[#This Row],[2010]]</f>
        <v>-2</v>
      </c>
      <c r="P30" s="79">
        <f>SUM(P26:P29)</f>
        <v>27</v>
      </c>
      <c r="Q30" s="164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205</v>
      </c>
      <c r="R30" s="165">
        <f>SUM(R26:R29)</f>
        <v>179</v>
      </c>
    </row>
    <row r="31" spans="1:24" ht="19">
      <c r="A31" s="88" t="s">
        <v>13</v>
      </c>
      <c r="B31" s="71"/>
      <c r="C31" s="156">
        <f>Table4100161159112116164112[[#This Row],[1990]]-Table4100161159112116164112[[#This Row],[1986]]</f>
        <v>3</v>
      </c>
      <c r="D31" s="71">
        <v>3</v>
      </c>
      <c r="E31" s="156">
        <f>Table4100161159112116164112[[#This Row],[1994]]-Table4100161159112116164112[[#This Row],[1990]]</f>
        <v>0</v>
      </c>
      <c r="F31" s="71">
        <v>3</v>
      </c>
      <c r="G31" s="156">
        <f>Table4100161159112116164112[[#This Row],[1998]]-Table4100161159112116164112[[#This Row],[1994]]</f>
        <v>0</v>
      </c>
      <c r="H31" s="71">
        <v>3</v>
      </c>
      <c r="I31" s="156">
        <f>Table4100161159112116164112[[#This Row],[2002]]-Table4100161159112116164112[[#This Row],[1998]]</f>
        <v>3</v>
      </c>
      <c r="J31" s="71">
        <v>6</v>
      </c>
      <c r="K31" s="156">
        <f>Table4100161159112116164112[[#This Row],[2006]]-Table4100161159112116164112[[#This Row],[2002]]</f>
        <v>-2</v>
      </c>
      <c r="L31" s="71">
        <v>4</v>
      </c>
      <c r="M31" s="156">
        <f>Table4100161159112116164112[[#This Row],[2010]]-Table4100161159112116164112[[#This Row],[2006]]</f>
        <v>1</v>
      </c>
      <c r="N31" s="71">
        <v>5</v>
      </c>
      <c r="O31" s="156">
        <f>Table4100161159112116164112[[#This Row],[2014]]-Table4100161159112116164112[[#This Row],[2010]]</f>
        <v>-1</v>
      </c>
      <c r="P31" s="71">
        <v>4</v>
      </c>
      <c r="Q31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28</v>
      </c>
      <c r="R31" s="157">
        <v>30</v>
      </c>
      <c r="T31" s="178" t="s">
        <v>421</v>
      </c>
      <c r="U31" s="178"/>
      <c r="V31" s="178"/>
      <c r="W31" s="178"/>
      <c r="X31" s="178"/>
    </row>
    <row r="32" spans="1:24" ht="19">
      <c r="A32" s="88" t="s">
        <v>62</v>
      </c>
      <c r="B32" s="72">
        <v>2</v>
      </c>
      <c r="C32" s="156">
        <f>Table4100161159112116164112[[#This Row],[1990]]-Table4100161159112116164112[[#This Row],[1986]]</f>
        <v>2</v>
      </c>
      <c r="D32" s="72">
        <v>4</v>
      </c>
      <c r="E32" s="156">
        <f>Table4100161159112116164112[[#This Row],[1994]]-Table4100161159112116164112[[#This Row],[1990]]</f>
        <v>3</v>
      </c>
      <c r="F32" s="72">
        <v>7</v>
      </c>
      <c r="G32" s="156">
        <f>Table4100161159112116164112[[#This Row],[1998]]-Table4100161159112116164112[[#This Row],[1994]]</f>
        <v>1</v>
      </c>
      <c r="H32" s="72">
        <v>8</v>
      </c>
      <c r="I32" s="156">
        <f>Table4100161159112116164112[[#This Row],[2002]]-Table4100161159112116164112[[#This Row],[1998]]</f>
        <v>0</v>
      </c>
      <c r="J32" s="72">
        <v>8</v>
      </c>
      <c r="K32" s="156">
        <f>Table4100161159112116164112[[#This Row],[2006]]-Table4100161159112116164112[[#This Row],[2002]]</f>
        <v>0</v>
      </c>
      <c r="L32" s="72">
        <v>8</v>
      </c>
      <c r="M32" s="156">
        <f>Table4100161159112116164112[[#This Row],[2010]]-Table4100161159112116164112[[#This Row],[2006]]</f>
        <v>0</v>
      </c>
      <c r="N32" s="72">
        <v>8</v>
      </c>
      <c r="O32" s="156">
        <f>Table4100161159112116164112[[#This Row],[2014]]-Table4100161159112116164112[[#This Row],[2010]]</f>
        <v>0</v>
      </c>
      <c r="P32" s="72">
        <v>8</v>
      </c>
      <c r="Q32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53</v>
      </c>
      <c r="R32" s="157">
        <v>31</v>
      </c>
      <c r="T32" s="65" t="s">
        <v>410</v>
      </c>
      <c r="U32" s="66" t="s">
        <v>411</v>
      </c>
      <c r="V32" s="67" t="s">
        <v>412</v>
      </c>
      <c r="W32" s="68" t="s">
        <v>413</v>
      </c>
      <c r="X32" s="69" t="s">
        <v>414</v>
      </c>
    </row>
    <row r="33" spans="1:24" ht="19">
      <c r="A33" s="88" t="s">
        <v>60</v>
      </c>
      <c r="B33" s="71"/>
      <c r="C33" s="156">
        <f>Table4100161159112116164112[[#This Row],[1990]]-Table4100161159112116164112[[#This Row],[1986]]</f>
        <v>1</v>
      </c>
      <c r="D33" s="71">
        <v>1</v>
      </c>
      <c r="E33" s="156">
        <f>Table4100161159112116164112[[#This Row],[1994]]-Table4100161159112116164112[[#This Row],[1990]]</f>
        <v>1</v>
      </c>
      <c r="F33" s="71">
        <v>2</v>
      </c>
      <c r="G33" s="156">
        <f>Table4100161159112116164112[[#This Row],[1998]]-Table4100161159112116164112[[#This Row],[1994]]</f>
        <v>0</v>
      </c>
      <c r="H33" s="71">
        <v>2</v>
      </c>
      <c r="I33" s="156">
        <f>Table4100161159112116164112[[#This Row],[2002]]-Table4100161159112116164112[[#This Row],[1998]]</f>
        <v>3</v>
      </c>
      <c r="J33" s="71">
        <v>5</v>
      </c>
      <c r="K33" s="156">
        <f>Table4100161159112116164112[[#This Row],[2006]]-Table4100161159112116164112[[#This Row],[2002]]</f>
        <v>-2</v>
      </c>
      <c r="L33" s="71">
        <v>3</v>
      </c>
      <c r="M33" s="156">
        <f>Table4100161159112116164112[[#This Row],[2010]]-Table4100161159112116164112[[#This Row],[2006]]</f>
        <v>1</v>
      </c>
      <c r="N33" s="71">
        <v>4</v>
      </c>
      <c r="O33" s="156">
        <f>Table4100161159112116164112[[#This Row],[2014]]-Table4100161159112116164112[[#This Row],[2010]]</f>
        <v>-2</v>
      </c>
      <c r="P33" s="71">
        <v>2</v>
      </c>
      <c r="Q33" s="73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19</v>
      </c>
      <c r="R33" s="157">
        <v>16</v>
      </c>
      <c r="T33" s="9">
        <f>R9</f>
        <v>57</v>
      </c>
      <c r="U33" s="9">
        <f>R19</f>
        <v>151</v>
      </c>
      <c r="V33" s="9">
        <f>R25</f>
        <v>49</v>
      </c>
      <c r="W33" s="9">
        <f>R30</f>
        <v>179</v>
      </c>
      <c r="X33" s="9">
        <f>R34</f>
        <v>77</v>
      </c>
    </row>
    <row r="34" spans="1:24" ht="19">
      <c r="A34" s="96" t="s">
        <v>414</v>
      </c>
      <c r="B34" s="97">
        <f>SUM(B31:B33)</f>
        <v>2</v>
      </c>
      <c r="C34" s="97">
        <f>Table4100161159112116164112[[#This Row],[1990]]-Table4100161159112116164112[[#This Row],[1986]]</f>
        <v>6</v>
      </c>
      <c r="D34" s="97">
        <f>SUM(D31:D33)</f>
        <v>8</v>
      </c>
      <c r="E34" s="80">
        <f>Table4100161159112116164112[[#This Row],[1994]]-Table4100161159112116164112[[#This Row],[1990]]</f>
        <v>4</v>
      </c>
      <c r="F34" s="97">
        <f>SUM(F31:F33)</f>
        <v>12</v>
      </c>
      <c r="G34" s="80">
        <f>Table4100161159112116164112[[#This Row],[1998]]-Table4100161159112116164112[[#This Row],[1994]]</f>
        <v>1</v>
      </c>
      <c r="H34" s="97">
        <f>SUM(H31:H33)</f>
        <v>13</v>
      </c>
      <c r="I34" s="80">
        <f>Table4100161159112116164112[[#This Row],[2002]]-Table4100161159112116164112[[#This Row],[1998]]</f>
        <v>6</v>
      </c>
      <c r="J34" s="97">
        <f>SUM(J31:J33)</f>
        <v>19</v>
      </c>
      <c r="K34" s="80">
        <f>Table4100161159112116164112[[#This Row],[2006]]-Table4100161159112116164112[[#This Row],[2002]]</f>
        <v>-4</v>
      </c>
      <c r="L34" s="97">
        <f>SUM(L31:L33)</f>
        <v>15</v>
      </c>
      <c r="M34" s="80">
        <f>Table4100161159112116164112[[#This Row],[2010]]-Table4100161159112116164112[[#This Row],[2006]]</f>
        <v>2</v>
      </c>
      <c r="N34" s="97">
        <f>SUM(N31:N33)</f>
        <v>17</v>
      </c>
      <c r="O34" s="80">
        <f>Table4100161159112116164112[[#This Row],[2014]]-Table4100161159112116164112[[#This Row],[2010]]</f>
        <v>-3</v>
      </c>
      <c r="P34" s="97">
        <f>SUM(P31:P33)</f>
        <v>14</v>
      </c>
      <c r="Q34" s="166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100</v>
      </c>
      <c r="R34" s="167">
        <f>SUM(R31:R33)</f>
        <v>77</v>
      </c>
      <c r="T34" s="44">
        <f>(F9/T33)*100</f>
        <v>3.5087719298245612</v>
      </c>
      <c r="U34" s="44">
        <f>(F19/U33)*100</f>
        <v>4.6357615894039732</v>
      </c>
      <c r="V34" s="44">
        <f>(F25/V33)*100</f>
        <v>8.1632653061224492</v>
      </c>
      <c r="W34" s="44">
        <f>(F30/W33)*100</f>
        <v>13.407821229050279</v>
      </c>
      <c r="X34" s="44">
        <f>(F34/X33)*100</f>
        <v>15.584415584415584</v>
      </c>
    </row>
    <row r="35" spans="1:24" ht="19">
      <c r="A35" s="100" t="s">
        <v>420</v>
      </c>
      <c r="B35" s="101">
        <f>SUM(B9,B19,B25,B30,B34)</f>
        <v>16</v>
      </c>
      <c r="C35" s="101">
        <f>Table4100161159112116164112[[#This Row],[1990]]-Table4100161159112116164112[[#This Row],[1986]]</f>
        <v>19</v>
      </c>
      <c r="D35" s="101">
        <f>SUM(D9,D19,D25,D30,D34)</f>
        <v>35</v>
      </c>
      <c r="E35" s="80">
        <f>Table4100161159112116164112[[#This Row],[1994]]-Table4100161159112116164112[[#This Row],[1990]]</f>
        <v>14</v>
      </c>
      <c r="F35" s="101">
        <f>SUM(F9,F19,F25,F30,F34)</f>
        <v>49</v>
      </c>
      <c r="G35" s="80">
        <f>Table4100161159112116164112[[#This Row],[1998]]-Table4100161159112116164112[[#This Row],[1994]]</f>
        <v>10</v>
      </c>
      <c r="H35" s="101">
        <f>SUM(H9,H19,H25,H30,H34)</f>
        <v>59</v>
      </c>
      <c r="I35" s="80">
        <f>Table4100161159112116164112[[#This Row],[2002]]-Table4100161159112116164112[[#This Row],[1998]]</f>
        <v>32</v>
      </c>
      <c r="J35" s="101">
        <f>SUM(J9,J19,J25,J30,J34)</f>
        <v>91</v>
      </c>
      <c r="K35" s="80">
        <f>Table4100161159112116164112[[#This Row],[2006]]-Table4100161159112116164112[[#This Row],[2002]]</f>
        <v>-11</v>
      </c>
      <c r="L35" s="101">
        <f>SUM(L9,L19,L25,L30,L34)</f>
        <v>80</v>
      </c>
      <c r="M35" s="80">
        <f>Table4100161159112116164112[[#This Row],[2010]]-Table4100161159112116164112[[#This Row],[2006]]</f>
        <v>8</v>
      </c>
      <c r="N35" s="101">
        <f>SUM(N9,N19,N25,N30,N34)</f>
        <v>88</v>
      </c>
      <c r="O35" s="80">
        <f>Table4100161159112116164112[[#This Row],[2014]]-Table4100161159112116164112[[#This Row],[2010]]</f>
        <v>-20</v>
      </c>
      <c r="P35" s="101">
        <f>SUM(P9,P19,P25,P30,P34)</f>
        <v>68</v>
      </c>
      <c r="Q35" s="102">
        <f>SUM(Table4100161159112116164112[[#This Row],[1986]],Table4100161159112116164112[[#This Row],[1990]],Table4100161159112116164112[[#This Row],[1994]],Table4100161159112116164112[[#This Row],[1998]],Table4100161159112116164112[[#This Row],[2002]],Table4100161159112116164112[[#This Row],[2006]],Table4100161159112116164112[[#This Row],[2010]],Table4100161159112116164112[[#This Row],[2014]])</f>
        <v>486</v>
      </c>
      <c r="R35" s="157">
        <f>SUM(R9,R19,R25,R30,R34)</f>
        <v>513</v>
      </c>
    </row>
    <row r="36" spans="1:24">
      <c r="T36" s="178" t="s">
        <v>422</v>
      </c>
      <c r="U36" s="178"/>
      <c r="V36" s="178"/>
      <c r="W36" s="178"/>
      <c r="X36" s="178"/>
    </row>
    <row r="37" spans="1:24">
      <c r="T37" s="65" t="s">
        <v>410</v>
      </c>
      <c r="U37" s="66" t="s">
        <v>411</v>
      </c>
      <c r="V37" s="67" t="s">
        <v>412</v>
      </c>
      <c r="W37" s="68" t="s">
        <v>413</v>
      </c>
      <c r="X37" s="69" t="s">
        <v>414</v>
      </c>
    </row>
    <row r="38" spans="1:24">
      <c r="T38" s="9">
        <f>R9</f>
        <v>57</v>
      </c>
      <c r="U38" s="9">
        <f>R19</f>
        <v>151</v>
      </c>
      <c r="V38" s="9">
        <f>R25</f>
        <v>49</v>
      </c>
      <c r="W38" s="17">
        <f>(R30-10)</f>
        <v>169</v>
      </c>
      <c r="X38" s="9">
        <f>R34</f>
        <v>77</v>
      </c>
    </row>
    <row r="39" spans="1:24">
      <c r="T39" s="44">
        <f>(D9/T38)*100</f>
        <v>5.2631578947368416</v>
      </c>
      <c r="U39" s="44">
        <f>(D19/U38)*100</f>
        <v>1.9867549668874174</v>
      </c>
      <c r="V39" s="44">
        <f>(D25/V38)*100</f>
        <v>4.0816326530612246</v>
      </c>
      <c r="W39" s="44">
        <f>(D30/W38)*100</f>
        <v>11.242603550295858</v>
      </c>
      <c r="X39" s="44">
        <f>(D34/X38)*100</f>
        <v>10.38961038961039</v>
      </c>
    </row>
    <row r="41" spans="1:24">
      <c r="T41" s="178" t="s">
        <v>428</v>
      </c>
      <c r="U41" s="178"/>
      <c r="V41" s="178"/>
      <c r="W41" s="178"/>
      <c r="X41" s="178"/>
    </row>
    <row r="42" spans="1:24">
      <c r="T42" s="65" t="s">
        <v>410</v>
      </c>
      <c r="U42" s="66" t="s">
        <v>411</v>
      </c>
      <c r="V42" s="67" t="s">
        <v>412</v>
      </c>
      <c r="W42" s="68" t="s">
        <v>413</v>
      </c>
      <c r="X42" s="69" t="s">
        <v>414</v>
      </c>
    </row>
    <row r="43" spans="1:24">
      <c r="T43" s="9">
        <f>R9</f>
        <v>57</v>
      </c>
      <c r="U43" s="9">
        <f>R19</f>
        <v>151</v>
      </c>
      <c r="V43" s="9">
        <f>R25</f>
        <v>49</v>
      </c>
      <c r="W43" s="9">
        <f>(R30-19)</f>
        <v>160</v>
      </c>
      <c r="X43" s="9">
        <f>R34</f>
        <v>77</v>
      </c>
    </row>
    <row r="44" spans="1:24">
      <c r="T44" s="44">
        <f>(B9/T43)*100</f>
        <v>0</v>
      </c>
      <c r="U44" s="44">
        <f>(B19/U43)*100</f>
        <v>0</v>
      </c>
      <c r="V44" s="44">
        <f>(B25/V43)*100</f>
        <v>0</v>
      </c>
      <c r="W44" s="44">
        <f>(B30/W43)*100</f>
        <v>8.75</v>
      </c>
      <c r="X44" s="44">
        <f>(B34/X43)*100</f>
        <v>2.5974025974025974</v>
      </c>
    </row>
  </sheetData>
  <mergeCells count="10">
    <mergeCell ref="T26:X26"/>
    <mergeCell ref="T31:X31"/>
    <mergeCell ref="T36:X36"/>
    <mergeCell ref="T41:X41"/>
    <mergeCell ref="A1:Q1"/>
    <mergeCell ref="T1:X1"/>
    <mergeCell ref="T6:X6"/>
    <mergeCell ref="T11:X11"/>
    <mergeCell ref="T16:X16"/>
    <mergeCell ref="T21:X21"/>
  </mergeCells>
  <conditionalFormatting sqref="O10:O18">
    <cfRule type="colorScale" priority="11">
      <colorScale>
        <cfvo type="num" val="&quot;-&quot;"/>
        <cfvo type="percentile" val="0"/>
        <cfvo type="num" val="&quot;+&quot;"/>
        <color rgb="FFFF7128"/>
        <color theme="0"/>
        <color rgb="FF00B050"/>
      </colorScale>
    </cfRule>
  </conditionalFormatting>
  <conditionalFormatting sqref="O3:O8">
    <cfRule type="colorScale" priority="10">
      <colorScale>
        <cfvo type="num" val="&quot;-&quot;"/>
        <cfvo type="num" val="0"/>
        <cfvo type="num" val="&quot;+&quot;"/>
        <color rgb="FFF8696B"/>
        <color rgb="FFFCFCFF"/>
        <color rgb="FF63BE7B"/>
      </colorScale>
    </cfRule>
  </conditionalFormatting>
  <conditionalFormatting sqref="C3:C8">
    <cfRule type="cellIs" dxfId="98" priority="9" operator="greaterThan">
      <formula>0</formula>
    </cfRule>
  </conditionalFormatting>
  <conditionalFormatting sqref="C3:C35">
    <cfRule type="cellIs" dxfId="97" priority="7" operator="greaterThan">
      <formula>0</formula>
    </cfRule>
    <cfRule type="cellIs" dxfId="96" priority="8" operator="lessThan">
      <formula>0</formula>
    </cfRule>
  </conditionalFormatting>
  <conditionalFormatting sqref="E3:E35">
    <cfRule type="cellIs" dxfId="95" priority="5" operator="lessThan">
      <formula>0</formula>
    </cfRule>
    <cfRule type="cellIs" dxfId="94" priority="6" operator="greaterThan">
      <formula>0</formula>
    </cfRule>
  </conditionalFormatting>
  <conditionalFormatting sqref="G3:G35">
    <cfRule type="cellIs" dxfId="93" priority="3" operator="lessThan">
      <formula>0</formula>
    </cfRule>
    <cfRule type="cellIs" dxfId="92" priority="4" operator="greaterThan">
      <formula>0</formula>
    </cfRule>
  </conditionalFormatting>
  <conditionalFormatting sqref="I3:I35 K3:K35 M3:M35 O3:O35">
    <cfRule type="cellIs" dxfId="91" priority="2" operator="greaterThan">
      <formula>0</formula>
    </cfRule>
  </conditionalFormatting>
  <conditionalFormatting sqref="I3:I35 K3:K35 M3:M35 O3:O35">
    <cfRule type="cellIs" dxfId="9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44"/>
  <sheetViews>
    <sheetView topLeftCell="G1" workbookViewId="0">
      <selection sqref="A1:X44"/>
    </sheetView>
  </sheetViews>
  <sheetFormatPr baseColWidth="10" defaultRowHeight="16"/>
  <cols>
    <col min="1" max="1" width="18.83203125" customWidth="1"/>
    <col min="17" max="17" width="17.33203125" customWidth="1"/>
    <col min="20" max="20" width="15" customWidth="1"/>
    <col min="21" max="21" width="14" customWidth="1"/>
    <col min="22" max="22" width="14.33203125" customWidth="1"/>
    <col min="23" max="23" width="14" customWidth="1"/>
    <col min="24" max="24" width="15" customWidth="1"/>
  </cols>
  <sheetData>
    <row r="1" spans="1:24" ht="19">
      <c r="A1" s="183" t="s">
        <v>9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T1" s="178" t="s">
        <v>391</v>
      </c>
      <c r="U1" s="178"/>
      <c r="V1" s="178"/>
      <c r="W1" s="178"/>
      <c r="X1" s="178"/>
    </row>
    <row r="2" spans="1:24" ht="19">
      <c r="A2" s="63" t="s">
        <v>392</v>
      </c>
      <c r="B2" s="63" t="s">
        <v>393</v>
      </c>
      <c r="C2" s="63" t="s">
        <v>394</v>
      </c>
      <c r="D2" s="63" t="s">
        <v>395</v>
      </c>
      <c r="E2" s="63" t="s">
        <v>396</v>
      </c>
      <c r="F2" s="63" t="s">
        <v>397</v>
      </c>
      <c r="G2" s="63" t="s">
        <v>398</v>
      </c>
      <c r="H2" s="63" t="s">
        <v>399</v>
      </c>
      <c r="I2" s="63" t="s">
        <v>400</v>
      </c>
      <c r="J2" s="63" t="s">
        <v>401</v>
      </c>
      <c r="K2" s="63" t="s">
        <v>402</v>
      </c>
      <c r="L2" s="63" t="s">
        <v>403</v>
      </c>
      <c r="M2" s="63" t="s">
        <v>404</v>
      </c>
      <c r="N2" s="63" t="s">
        <v>405</v>
      </c>
      <c r="O2" s="63" t="s">
        <v>406</v>
      </c>
      <c r="P2" s="63" t="s">
        <v>407</v>
      </c>
      <c r="Q2" s="64" t="s">
        <v>408</v>
      </c>
      <c r="R2" s="64" t="s">
        <v>409</v>
      </c>
      <c r="T2" s="65" t="s">
        <v>410</v>
      </c>
      <c r="U2" s="66" t="s">
        <v>411</v>
      </c>
      <c r="V2" s="67" t="s">
        <v>412</v>
      </c>
      <c r="W2" s="68" t="s">
        <v>413</v>
      </c>
      <c r="X2" s="69" t="s">
        <v>414</v>
      </c>
    </row>
    <row r="3" spans="1:24" ht="19">
      <c r="A3" s="70" t="s">
        <v>110</v>
      </c>
      <c r="B3" s="71"/>
      <c r="C3" s="72">
        <f>Table41001611591121151201929173115[[#This Row],[1990]]-Table41001611591121151201929173115[[#This Row],[1986]]</f>
        <v>0</v>
      </c>
      <c r="D3" s="71"/>
      <c r="E3" s="72">
        <f>Table41001611591121151201929173115[[#This Row],[1994]]-Table41001611591121151201929173115[[#This Row],[1990]]</f>
        <v>0</v>
      </c>
      <c r="F3" s="71"/>
      <c r="G3" s="72">
        <f>Table41001611591121151201929173115[[#This Row],[1998]]-Table41001611591121151201929173115[[#This Row],[1994]]</f>
        <v>0</v>
      </c>
      <c r="H3" s="71"/>
      <c r="I3" s="72">
        <f>Table41001611591121151201929173115[[#This Row],[2002]]-Table41001611591121151201929173115[[#This Row],[1998]]</f>
        <v>0</v>
      </c>
      <c r="J3" s="71"/>
      <c r="K3" s="72">
        <f>Table41001611591121151201929173115[[#This Row],[2006]]-Table41001611591121151201929173115[[#This Row],[2002]]</f>
        <v>0</v>
      </c>
      <c r="L3" s="71"/>
      <c r="M3" s="72">
        <f>Table41001611591121151201929173115[[#This Row],[2010]]-Table41001611591121151201929173115[[#This Row],[2006]]</f>
        <v>0</v>
      </c>
      <c r="N3" s="71"/>
      <c r="O3" s="72">
        <f>Table41001611591121151201929173115[[#This Row],[2014]]-Table41001611591121151201929173115[[#This Row],[2010]]</f>
        <v>0</v>
      </c>
      <c r="P3" s="71"/>
      <c r="Q3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0</v>
      </c>
      <c r="R3" s="74">
        <v>8</v>
      </c>
      <c r="T3" s="9">
        <f>R9*8</f>
        <v>456</v>
      </c>
      <c r="U3" s="9">
        <f>R19*8</f>
        <v>1208</v>
      </c>
      <c r="V3" s="9">
        <f>R25*8</f>
        <v>392</v>
      </c>
      <c r="W3" s="9">
        <f>R30*8</f>
        <v>1432</v>
      </c>
      <c r="X3" s="9">
        <f>R34*8</f>
        <v>616</v>
      </c>
    </row>
    <row r="4" spans="1:24" ht="19">
      <c r="A4" s="70" t="s">
        <v>106</v>
      </c>
      <c r="B4" s="71"/>
      <c r="C4" s="72">
        <f>Table41001611591121151201929173115[[#This Row],[1990]]-Table41001611591121151201929173115[[#This Row],[1986]]</f>
        <v>0</v>
      </c>
      <c r="D4" s="71"/>
      <c r="E4" s="72">
        <f>Table41001611591121151201929173115[[#This Row],[1994]]-Table41001611591121151201929173115[[#This Row],[1990]]</f>
        <v>0</v>
      </c>
      <c r="F4" s="71"/>
      <c r="G4" s="72">
        <f>Table41001611591121151201929173115[[#This Row],[1998]]-Table41001611591121151201929173115[[#This Row],[1994]]</f>
        <v>0</v>
      </c>
      <c r="H4" s="71"/>
      <c r="I4" s="72">
        <f>Table41001611591121151201929173115[[#This Row],[2002]]-Table41001611591121151201929173115[[#This Row],[1998]]</f>
        <v>1</v>
      </c>
      <c r="J4" s="71">
        <v>1</v>
      </c>
      <c r="K4" s="72">
        <f>Table41001611591121151201929173115[[#This Row],[2006]]-Table41001611591121151201929173115[[#This Row],[2002]]</f>
        <v>0</v>
      </c>
      <c r="L4" s="71">
        <v>1</v>
      </c>
      <c r="M4" s="72">
        <f>Table41001611591121151201929173115[[#This Row],[2010]]-Table41001611591121151201929173115[[#This Row],[2006]]</f>
        <v>0</v>
      </c>
      <c r="N4" s="71">
        <v>1</v>
      </c>
      <c r="O4" s="72">
        <f>Table41001611591121151201929173115[[#This Row],[2014]]-Table41001611591121151201929173115[[#This Row],[2010]]</f>
        <v>0</v>
      </c>
      <c r="P4" s="71">
        <v>1</v>
      </c>
      <c r="Q4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4</v>
      </c>
      <c r="R4" s="75">
        <v>8</v>
      </c>
      <c r="T4" s="44">
        <f>(Q9/T3)*100</f>
        <v>6.7982456140350882</v>
      </c>
      <c r="U4" s="44">
        <f>(Q19/U3)*100</f>
        <v>3.5596026490066226</v>
      </c>
      <c r="V4" s="44">
        <f>(Q25/V3)*100</f>
        <v>4.3367346938775508</v>
      </c>
      <c r="W4" s="44">
        <f>(Q30/W3)*100</f>
        <v>5.516759776536313</v>
      </c>
      <c r="X4" s="76">
        <f>(Q34/X3)*100</f>
        <v>6.0064935064935066</v>
      </c>
    </row>
    <row r="5" spans="1:24" ht="19">
      <c r="A5" s="70" t="s">
        <v>104</v>
      </c>
      <c r="B5" s="71"/>
      <c r="C5" s="72">
        <f>Table41001611591121151201929173115[[#This Row],[1990]]-Table41001611591121151201929173115[[#This Row],[1986]]</f>
        <v>0</v>
      </c>
      <c r="D5" s="71"/>
      <c r="E5" s="72">
        <f>Table41001611591121151201929173115[[#This Row],[1994]]-Table41001611591121151201929173115[[#This Row],[1990]]</f>
        <v>1</v>
      </c>
      <c r="F5" s="71">
        <v>1</v>
      </c>
      <c r="G5" s="72">
        <f>Table41001611591121151201929173115[[#This Row],[1998]]-Table41001611591121151201929173115[[#This Row],[1994]]</f>
        <v>0</v>
      </c>
      <c r="H5" s="71">
        <v>1</v>
      </c>
      <c r="I5" s="72">
        <f>Table41001611591121151201929173115[[#This Row],[2002]]-Table41001611591121151201929173115[[#This Row],[1998]]</f>
        <v>0</v>
      </c>
      <c r="J5" s="71">
        <v>1</v>
      </c>
      <c r="K5" s="72">
        <f>Table41001611591121151201929173115[[#This Row],[2006]]-Table41001611591121151201929173115[[#This Row],[2002]]</f>
        <v>-1</v>
      </c>
      <c r="L5" s="71"/>
      <c r="M5" s="72">
        <f>Table41001611591121151201929173115[[#This Row],[2010]]-Table41001611591121151201929173115[[#This Row],[2006]]</f>
        <v>0</v>
      </c>
      <c r="N5" s="71"/>
      <c r="O5" s="72">
        <f>Table41001611591121151201929173115[[#This Row],[2014]]-Table41001611591121151201929173115[[#This Row],[2010]]</f>
        <v>1</v>
      </c>
      <c r="P5" s="71">
        <v>1</v>
      </c>
      <c r="Q5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4</v>
      </c>
      <c r="R5" s="75">
        <v>8</v>
      </c>
    </row>
    <row r="6" spans="1:24" ht="19">
      <c r="A6" s="70" t="s">
        <v>73</v>
      </c>
      <c r="B6" s="71"/>
      <c r="C6" s="72">
        <f>Table41001611591121151201929173115[[#This Row],[1990]]-Table41001611591121151201929173115[[#This Row],[1986]]</f>
        <v>2</v>
      </c>
      <c r="D6" s="71">
        <v>2</v>
      </c>
      <c r="E6" s="72">
        <f>Table41001611591121151201929173115[[#This Row],[1994]]-Table41001611591121151201929173115[[#This Row],[1990]]</f>
        <v>-1</v>
      </c>
      <c r="F6" s="71">
        <v>1</v>
      </c>
      <c r="G6" s="72">
        <f>Table41001611591121151201929173115[[#This Row],[1998]]-Table41001611591121151201929173115[[#This Row],[1994]]</f>
        <v>0</v>
      </c>
      <c r="H6" s="71">
        <v>1</v>
      </c>
      <c r="I6" s="72">
        <f>Table41001611591121151201929173115[[#This Row],[2002]]-Table41001611591121151201929173115[[#This Row],[1998]]</f>
        <v>0</v>
      </c>
      <c r="J6" s="71">
        <v>1</v>
      </c>
      <c r="K6" s="72">
        <f>Table41001611591121151201929173115[[#This Row],[2006]]-Table41001611591121151201929173115[[#This Row],[2002]]</f>
        <v>-1</v>
      </c>
      <c r="L6" s="71"/>
      <c r="M6" s="72">
        <f>Table41001611591121151201929173115[[#This Row],[2010]]-Table41001611591121151201929173115[[#This Row],[2006]]</f>
        <v>1</v>
      </c>
      <c r="N6" s="71">
        <v>1</v>
      </c>
      <c r="O6" s="72">
        <f>Table41001611591121151201929173115[[#This Row],[2014]]-Table41001611591121151201929173115[[#This Row],[2010]]</f>
        <v>0</v>
      </c>
      <c r="P6" s="71">
        <v>1</v>
      </c>
      <c r="Q6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7</v>
      </c>
      <c r="R6" s="75">
        <v>17</v>
      </c>
      <c r="T6" s="178" t="s">
        <v>415</v>
      </c>
      <c r="U6" s="178"/>
      <c r="V6" s="178"/>
      <c r="W6" s="178"/>
      <c r="X6" s="178"/>
    </row>
    <row r="7" spans="1:24" ht="19">
      <c r="A7" s="70" t="s">
        <v>67</v>
      </c>
      <c r="B7" s="77"/>
      <c r="C7" s="72">
        <f>Table41001611591121151201929173115[[#This Row],[1990]]-Table41001611591121151201929173115[[#This Row],[1986]]</f>
        <v>3</v>
      </c>
      <c r="D7" s="77">
        <v>3</v>
      </c>
      <c r="E7" s="72">
        <f>Table41001611591121151201929173115[[#This Row],[1994]]-Table41001611591121151201929173115[[#This Row],[1990]]</f>
        <v>-3</v>
      </c>
      <c r="F7" s="77"/>
      <c r="G7" s="72">
        <f>Table41001611591121151201929173115[[#This Row],[1998]]-Table41001611591121151201929173115[[#This Row],[1994]]</f>
        <v>1</v>
      </c>
      <c r="H7" s="77">
        <v>1</v>
      </c>
      <c r="I7" s="72">
        <f>Table41001611591121151201929173115[[#This Row],[2002]]-Table41001611591121151201929173115[[#This Row],[1998]]</f>
        <v>0</v>
      </c>
      <c r="J7" s="77">
        <v>1</v>
      </c>
      <c r="K7" s="72">
        <f>Table41001611591121151201929173115[[#This Row],[2006]]-Table41001611591121151201929173115[[#This Row],[2002]]</f>
        <v>0</v>
      </c>
      <c r="L7" s="77">
        <v>1</v>
      </c>
      <c r="M7" s="72">
        <f>Table41001611591121151201929173115[[#This Row],[2010]]-Table41001611591121151201929173115[[#This Row],[2006]]</f>
        <v>0</v>
      </c>
      <c r="N7" s="77">
        <v>1</v>
      </c>
      <c r="O7" s="72">
        <f>Table41001611591121151201929173115[[#This Row],[2014]]-Table41001611591121151201929173115[[#This Row],[2010]]</f>
        <v>0</v>
      </c>
      <c r="P7" s="77">
        <v>1</v>
      </c>
      <c r="Q7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8</v>
      </c>
      <c r="R7" s="75">
        <v>8</v>
      </c>
      <c r="T7" s="65" t="s">
        <v>410</v>
      </c>
      <c r="U7" s="66" t="s">
        <v>411</v>
      </c>
      <c r="V7" s="67" t="s">
        <v>412</v>
      </c>
      <c r="W7" s="68" t="s">
        <v>413</v>
      </c>
      <c r="X7" s="69" t="s">
        <v>414</v>
      </c>
    </row>
    <row r="8" spans="1:24" ht="19">
      <c r="A8" s="70" t="s">
        <v>65</v>
      </c>
      <c r="B8" s="71">
        <v>2</v>
      </c>
      <c r="C8" s="72">
        <f>Table41001611591121151201929173115[[#This Row],[1990]]-Table41001611591121151201929173115[[#This Row],[1986]]</f>
        <v>0</v>
      </c>
      <c r="D8" s="71">
        <v>2</v>
      </c>
      <c r="E8" s="72">
        <f>Table41001611591121151201929173115[[#This Row],[1994]]-Table41001611591121151201929173115[[#This Row],[1990]]</f>
        <v>1</v>
      </c>
      <c r="F8" s="71">
        <v>3</v>
      </c>
      <c r="G8" s="72">
        <f>Table41001611591121151201929173115[[#This Row],[1998]]-Table41001611591121151201929173115[[#This Row],[1994]]</f>
        <v>-2</v>
      </c>
      <c r="H8" s="71">
        <v>1</v>
      </c>
      <c r="I8" s="72">
        <f>Table41001611591121151201929173115[[#This Row],[2002]]-Table41001611591121151201929173115[[#This Row],[1998]]</f>
        <v>-1</v>
      </c>
      <c r="J8" s="71"/>
      <c r="K8" s="72">
        <f>Table41001611591121151201929173115[[#This Row],[2006]]-Table41001611591121151201929173115[[#This Row],[2002]]</f>
        <v>0</v>
      </c>
      <c r="L8" s="71"/>
      <c r="M8" s="72">
        <f>Table41001611591121151201929173115[[#This Row],[2010]]-Table41001611591121151201929173115[[#This Row],[2006]]</f>
        <v>0</v>
      </c>
      <c r="N8" s="71"/>
      <c r="O8" s="72">
        <f>Table41001611591121151201929173115[[#This Row],[2014]]-Table41001611591121151201929173115[[#This Row],[2010]]</f>
        <v>0</v>
      </c>
      <c r="P8" s="71"/>
      <c r="Q8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8</v>
      </c>
      <c r="R8" s="75">
        <v>8</v>
      </c>
      <c r="T8" s="9">
        <f>R9</f>
        <v>57</v>
      </c>
      <c r="U8" s="9">
        <f>R19</f>
        <v>151</v>
      </c>
      <c r="V8" s="9">
        <f>R25</f>
        <v>49</v>
      </c>
      <c r="W8" s="9">
        <f>R30</f>
        <v>179</v>
      </c>
      <c r="X8" s="9">
        <f>R34</f>
        <v>77</v>
      </c>
    </row>
    <row r="9" spans="1:24" ht="19">
      <c r="A9" s="78" t="s">
        <v>410</v>
      </c>
      <c r="B9" s="79">
        <f>SUM(B3:B8)</f>
        <v>2</v>
      </c>
      <c r="C9" s="79">
        <f>Table41001611591121151201929173115[[#This Row],[1990]]-Table41001611591121151201929173115[[#This Row],[1986]]</f>
        <v>5</v>
      </c>
      <c r="D9" s="79">
        <f>SUM(D3:D8)</f>
        <v>7</v>
      </c>
      <c r="E9" s="80">
        <f>Table41001611591121151201929173115[[#This Row],[1994]]-Table41001611591121151201929173115[[#This Row],[1990]]</f>
        <v>-2</v>
      </c>
      <c r="F9" s="79">
        <f>SUM(F3:F8)</f>
        <v>5</v>
      </c>
      <c r="G9" s="80">
        <f>Table41001611591121151201929173115[[#This Row],[1998]]-Table41001611591121151201929173115[[#This Row],[1994]]</f>
        <v>-1</v>
      </c>
      <c r="H9" s="79">
        <f>SUM(H3:H8)</f>
        <v>4</v>
      </c>
      <c r="I9" s="80">
        <f>Table41001611591121151201929173115[[#This Row],[2002]]-Table41001611591121151201929173115[[#This Row],[1998]]</f>
        <v>0</v>
      </c>
      <c r="J9" s="79">
        <f>SUM(J3:J8)</f>
        <v>4</v>
      </c>
      <c r="K9" s="80">
        <f>Table41001611591121151201929173115[[#This Row],[2006]]-Table41001611591121151201929173115[[#This Row],[2002]]</f>
        <v>-2</v>
      </c>
      <c r="L9" s="79">
        <f>SUM(L3:L8)</f>
        <v>2</v>
      </c>
      <c r="M9" s="80">
        <f>Table41001611591121151201929173115[[#This Row],[2010]]-Table41001611591121151201929173115[[#This Row],[2006]]</f>
        <v>1</v>
      </c>
      <c r="N9" s="79">
        <f>SUM(N3:N8)</f>
        <v>3</v>
      </c>
      <c r="O9" s="80">
        <f>Table41001611591121151201929173115[[#This Row],[2014]]-Table41001611591121151201929173115[[#This Row],[2010]]</f>
        <v>1</v>
      </c>
      <c r="P9" s="79">
        <f>SUM(P3:P8)</f>
        <v>4</v>
      </c>
      <c r="Q9" s="81">
        <f>SUM(Q3:Q8)</f>
        <v>31</v>
      </c>
      <c r="R9" s="82">
        <v>57</v>
      </c>
      <c r="T9" s="44">
        <f>(Table41001611591121151201929173115[[#This Row],[2014]]/T8)*100</f>
        <v>7.0175438596491224</v>
      </c>
      <c r="U9" s="44">
        <f>(P19/U8)*100</f>
        <v>5.9602649006622519</v>
      </c>
      <c r="V9" s="44">
        <f>(P25/V8)*100</f>
        <v>2.0408163265306123</v>
      </c>
      <c r="W9" s="44">
        <f>(P30/W8)*100</f>
        <v>3.3519553072625698</v>
      </c>
      <c r="X9" s="44">
        <f>(P34/X8)*100</f>
        <v>5.1948051948051948</v>
      </c>
    </row>
    <row r="10" spans="1:24" ht="19">
      <c r="A10" s="70" t="s">
        <v>108</v>
      </c>
      <c r="B10" s="71">
        <v>1</v>
      </c>
      <c r="C10" s="72">
        <f>Table41001611591121151201929173115[[#This Row],[1990]]-Table41001611591121151201929173115[[#This Row],[1986]]</f>
        <v>0</v>
      </c>
      <c r="D10" s="71">
        <v>1</v>
      </c>
      <c r="E10" s="72">
        <f>Table41001611591121151201929173115[[#This Row],[1994]]-Table41001611591121151201929173115[[#This Row],[1990]]</f>
        <v>0</v>
      </c>
      <c r="F10" s="71">
        <v>1</v>
      </c>
      <c r="G10" s="72">
        <f>Table41001611591121151201929173115[[#This Row],[1998]]-Table41001611591121151201929173115[[#This Row],[1994]]</f>
        <v>0</v>
      </c>
      <c r="H10" s="71">
        <v>1</v>
      </c>
      <c r="I10" s="72">
        <f>Table41001611591121151201929173115[[#This Row],[2002]]-Table41001611591121151201929173115[[#This Row],[1998]]</f>
        <v>-1</v>
      </c>
      <c r="J10" s="71"/>
      <c r="K10" s="72">
        <f>Table41001611591121151201929173115[[#This Row],[2006]]-Table41001611591121151201929173115[[#This Row],[2002]]</f>
        <v>2</v>
      </c>
      <c r="L10" s="71">
        <v>2</v>
      </c>
      <c r="M10" s="72">
        <f>Table41001611591121151201929173115[[#This Row],[2010]]-Table41001611591121151201929173115[[#This Row],[2006]]</f>
        <v>0</v>
      </c>
      <c r="N10" s="71">
        <v>2</v>
      </c>
      <c r="O10" s="72">
        <f>Table41001611591121151201929173115[[#This Row],[2014]]-Table41001611591121151201929173115[[#This Row],[2010]]</f>
        <v>-2</v>
      </c>
      <c r="P10" s="71"/>
      <c r="Q10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8</v>
      </c>
      <c r="R10" s="75">
        <v>9</v>
      </c>
    </row>
    <row r="11" spans="1:24" ht="19">
      <c r="A11" s="70" t="s">
        <v>101</v>
      </c>
      <c r="B11" s="71"/>
      <c r="C11" s="72">
        <f>Table41001611591121151201929173115[[#This Row],[1990]]-Table41001611591121151201929173115[[#This Row],[1986]]</f>
        <v>2</v>
      </c>
      <c r="D11" s="71">
        <v>2</v>
      </c>
      <c r="E11" s="72">
        <f>Table41001611591121151201929173115[[#This Row],[1994]]-Table41001611591121151201929173115[[#This Row],[1990]]</f>
        <v>-1</v>
      </c>
      <c r="F11" s="71">
        <v>1</v>
      </c>
      <c r="G11" s="72">
        <f>Table41001611591121151201929173115[[#This Row],[1998]]-Table41001611591121151201929173115[[#This Row],[1994]]</f>
        <v>0</v>
      </c>
      <c r="H11" s="71">
        <v>1</v>
      </c>
      <c r="I11" s="72">
        <f>Table41001611591121151201929173115[[#This Row],[2002]]-Table41001611591121151201929173115[[#This Row],[1998]]</f>
        <v>0</v>
      </c>
      <c r="J11" s="71">
        <v>1</v>
      </c>
      <c r="K11" s="72">
        <f>Table41001611591121151201929173115[[#This Row],[2006]]-Table41001611591121151201929173115[[#This Row],[2002]]</f>
        <v>-1</v>
      </c>
      <c r="L11" s="71"/>
      <c r="M11" s="72">
        <f>Table41001611591121151201929173115[[#This Row],[2010]]-Table41001611591121151201929173115[[#This Row],[2006]]</f>
        <v>1</v>
      </c>
      <c r="N11" s="71">
        <v>1</v>
      </c>
      <c r="O11" s="72">
        <f>Table41001611591121151201929173115[[#This Row],[2014]]-Table41001611591121151201929173115[[#This Row],[2010]]</f>
        <v>0</v>
      </c>
      <c r="P11" s="71">
        <v>1</v>
      </c>
      <c r="Q11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7</v>
      </c>
      <c r="R11" s="75">
        <v>39</v>
      </c>
      <c r="T11" s="178" t="s">
        <v>416</v>
      </c>
      <c r="U11" s="178"/>
      <c r="V11" s="178"/>
      <c r="W11" s="178"/>
      <c r="X11" s="178"/>
    </row>
    <row r="12" spans="1:24" ht="19">
      <c r="A12" s="70" t="s">
        <v>99</v>
      </c>
      <c r="B12" s="71"/>
      <c r="C12" s="72">
        <f>Table41001611591121151201929173115[[#This Row],[1990]]-Table41001611591121151201929173115[[#This Row],[1986]]</f>
        <v>0</v>
      </c>
      <c r="D12" s="71"/>
      <c r="E12" s="72">
        <f>Table41001611591121151201929173115[[#This Row],[1994]]-Table41001611591121151201929173115[[#This Row],[1990]]</f>
        <v>0</v>
      </c>
      <c r="F12" s="71"/>
      <c r="G12" s="72">
        <f>Table41001611591121151201929173115[[#This Row],[1998]]-Table41001611591121151201929173115[[#This Row],[1994]]</f>
        <v>0</v>
      </c>
      <c r="H12" s="71"/>
      <c r="I12" s="72">
        <f>Table41001611591121151201929173115[[#This Row],[2002]]-Table41001611591121151201929173115[[#This Row],[1998]]</f>
        <v>0</v>
      </c>
      <c r="J12" s="71"/>
      <c r="K12" s="72">
        <f>Table41001611591121151201929173115[[#This Row],[2006]]-Table41001611591121151201929173115[[#This Row],[2002]]</f>
        <v>1</v>
      </c>
      <c r="L12" s="71">
        <v>1</v>
      </c>
      <c r="M12" s="72">
        <f>Table41001611591121151201929173115[[#This Row],[2010]]-Table41001611591121151201929173115[[#This Row],[2006]]</f>
        <v>0</v>
      </c>
      <c r="N12" s="71">
        <v>1</v>
      </c>
      <c r="O12" s="72">
        <f>Table41001611591121151201929173115[[#This Row],[2014]]-Table41001611591121151201929173115[[#This Row],[2010]]</f>
        <v>-1</v>
      </c>
      <c r="P12" s="71"/>
      <c r="Q12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2</v>
      </c>
      <c r="R12" s="75">
        <v>22</v>
      </c>
      <c r="T12" s="65" t="s">
        <v>410</v>
      </c>
      <c r="U12" s="66" t="s">
        <v>411</v>
      </c>
      <c r="V12" s="67" t="s">
        <v>412</v>
      </c>
      <c r="W12" s="68" t="s">
        <v>413</v>
      </c>
      <c r="X12" s="69" t="s">
        <v>414</v>
      </c>
    </row>
    <row r="13" spans="1:24" ht="19">
      <c r="A13" s="70" t="s">
        <v>90</v>
      </c>
      <c r="B13" s="71"/>
      <c r="C13" s="72">
        <f>Table41001611591121151201929173115[[#This Row],[1990]]-Table41001611591121151201929173115[[#This Row],[1986]]</f>
        <v>0</v>
      </c>
      <c r="D13" s="71"/>
      <c r="E13" s="72">
        <f>Table41001611591121151201929173115[[#This Row],[1994]]-Table41001611591121151201929173115[[#This Row],[1990]]</f>
        <v>0</v>
      </c>
      <c r="F13" s="71"/>
      <c r="G13" s="72">
        <f>Table41001611591121151201929173115[[#This Row],[1998]]-Table41001611591121151201929173115[[#This Row],[1994]]</f>
        <v>0</v>
      </c>
      <c r="H13" s="71"/>
      <c r="I13" s="72">
        <f>Table41001611591121151201929173115[[#This Row],[2002]]-Table41001611591121151201929173115[[#This Row],[1998]]</f>
        <v>1</v>
      </c>
      <c r="J13" s="71">
        <v>1</v>
      </c>
      <c r="K13" s="72">
        <f>Table41001611591121151201929173115[[#This Row],[2006]]-Table41001611591121151201929173115[[#This Row],[2002]]</f>
        <v>0</v>
      </c>
      <c r="L13" s="71">
        <v>1</v>
      </c>
      <c r="M13" s="72">
        <f>Table41001611591121151201929173115[[#This Row],[2010]]-Table41001611591121151201929173115[[#This Row],[2006]]</f>
        <v>0</v>
      </c>
      <c r="N13" s="71">
        <v>1</v>
      </c>
      <c r="O13" s="72">
        <f>Table41001611591121151201929173115[[#This Row],[2014]]-Table41001611591121151201929173115[[#This Row],[2010]]</f>
        <v>0</v>
      </c>
      <c r="P13" s="71">
        <v>1</v>
      </c>
      <c r="Q13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4</v>
      </c>
      <c r="R13" s="75">
        <v>18</v>
      </c>
      <c r="T13" s="9">
        <f>R9</f>
        <v>57</v>
      </c>
      <c r="U13" s="9">
        <f>R19</f>
        <v>151</v>
      </c>
      <c r="V13" s="9">
        <f>R25</f>
        <v>49</v>
      </c>
      <c r="W13" s="9">
        <f>R30</f>
        <v>179</v>
      </c>
      <c r="X13" s="9">
        <f>R34</f>
        <v>77</v>
      </c>
    </row>
    <row r="14" spans="1:24" ht="19">
      <c r="A14" s="70" t="s">
        <v>79</v>
      </c>
      <c r="B14" s="71"/>
      <c r="C14" s="72">
        <f>Table41001611591121151201929173115[[#This Row],[1990]]-Table41001611591121151201929173115[[#This Row],[1986]]</f>
        <v>0</v>
      </c>
      <c r="D14" s="71"/>
      <c r="E14" s="72">
        <f>Table41001611591121151201929173115[[#This Row],[1994]]-Table41001611591121151201929173115[[#This Row],[1990]]</f>
        <v>0</v>
      </c>
      <c r="F14" s="71"/>
      <c r="G14" s="72">
        <f>Table41001611591121151201929173115[[#This Row],[1998]]-Table41001611591121151201929173115[[#This Row],[1994]]</f>
        <v>1</v>
      </c>
      <c r="H14" s="71">
        <v>1</v>
      </c>
      <c r="I14" s="72">
        <f>Table41001611591121151201929173115[[#This Row],[2002]]-Table41001611591121151201929173115[[#This Row],[1998]]</f>
        <v>1</v>
      </c>
      <c r="J14" s="71">
        <v>2</v>
      </c>
      <c r="K14" s="72">
        <f>Table41001611591121151201929173115[[#This Row],[2006]]-Table41001611591121151201929173115[[#This Row],[2002]]</f>
        <v>-2</v>
      </c>
      <c r="L14" s="71"/>
      <c r="M14" s="72">
        <f>Table41001611591121151201929173115[[#This Row],[2010]]-Table41001611591121151201929173115[[#This Row],[2006]]</f>
        <v>0</v>
      </c>
      <c r="N14" s="71"/>
      <c r="O14" s="72">
        <f>Table41001611591121151201929173115[[#This Row],[2014]]-Table41001611591121151201929173115[[#This Row],[2010]]</f>
        <v>1</v>
      </c>
      <c r="P14" s="71">
        <v>1</v>
      </c>
      <c r="Q14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4</v>
      </c>
      <c r="R14" s="75">
        <v>12</v>
      </c>
      <c r="T14" s="44">
        <f>(N9/T13)*100</f>
        <v>5.2631578947368416</v>
      </c>
      <c r="U14" s="44">
        <f>(N19/U13)*100</f>
        <v>6.6225165562913908</v>
      </c>
      <c r="V14" s="44">
        <f>(N25/V13)*100</f>
        <v>2.0408163265306123</v>
      </c>
      <c r="W14" s="44">
        <f>(N30/W13)*100</f>
        <v>2.2346368715083798</v>
      </c>
      <c r="X14" s="44">
        <f>(N34/X13)*100</f>
        <v>5.1948051948051948</v>
      </c>
    </row>
    <row r="15" spans="1:24" ht="19">
      <c r="A15" s="70" t="s">
        <v>77</v>
      </c>
      <c r="B15" s="71"/>
      <c r="C15" s="72">
        <f>Table41001611591121151201929173115[[#This Row],[1990]]-Table41001611591121151201929173115[[#This Row],[1986]]</f>
        <v>0</v>
      </c>
      <c r="D15" s="71"/>
      <c r="E15" s="72">
        <f>Table41001611591121151201929173115[[#This Row],[1994]]-Table41001611591121151201929173115[[#This Row],[1990]]</f>
        <v>0</v>
      </c>
      <c r="F15" s="71"/>
      <c r="G15" s="72">
        <f>Table41001611591121151201929173115[[#This Row],[1998]]-Table41001611591121151201929173115[[#This Row],[1994]]</f>
        <v>1</v>
      </c>
      <c r="H15" s="71">
        <v>1</v>
      </c>
      <c r="I15" s="72">
        <f>Table41001611591121151201929173115[[#This Row],[2002]]-Table41001611591121151201929173115[[#This Row],[1998]]</f>
        <v>-1</v>
      </c>
      <c r="J15" s="71"/>
      <c r="K15" s="72">
        <f>Table41001611591121151201929173115[[#This Row],[2006]]-Table41001611591121151201929173115[[#This Row],[2002]]</f>
        <v>3</v>
      </c>
      <c r="L15" s="71">
        <v>3</v>
      </c>
      <c r="M15" s="72">
        <f>Table41001611591121151201929173115[[#This Row],[2010]]-Table41001611591121151201929173115[[#This Row],[2006]]</f>
        <v>1</v>
      </c>
      <c r="N15" s="71">
        <v>4</v>
      </c>
      <c r="O15" s="72">
        <f>Table41001611591121151201929173115[[#This Row],[2014]]-Table41001611591121151201929173115[[#This Row],[2010]]</f>
        <v>-1</v>
      </c>
      <c r="P15" s="71">
        <v>3</v>
      </c>
      <c r="Q15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11</v>
      </c>
      <c r="R15" s="75">
        <v>25</v>
      </c>
    </row>
    <row r="16" spans="1:24" ht="19">
      <c r="A16" s="70" t="s">
        <v>75</v>
      </c>
      <c r="B16" s="72"/>
      <c r="C16" s="72">
        <f>Table41001611591121151201929173115[[#This Row],[1990]]-Table41001611591121151201929173115[[#This Row],[1986]]</f>
        <v>0</v>
      </c>
      <c r="D16" s="72"/>
      <c r="E16" s="72">
        <f>Table41001611591121151201929173115[[#This Row],[1994]]-Table41001611591121151201929173115[[#This Row],[1990]]</f>
        <v>0</v>
      </c>
      <c r="F16" s="72"/>
      <c r="G16" s="72">
        <f>Table41001611591121151201929173115[[#This Row],[1998]]-Table41001611591121151201929173115[[#This Row],[1994]]</f>
        <v>0</v>
      </c>
      <c r="H16" s="72"/>
      <c r="I16" s="72">
        <f>Table41001611591121151201929173115[[#This Row],[2002]]-Table41001611591121151201929173115[[#This Row],[1998]]</f>
        <v>0</v>
      </c>
      <c r="J16" s="72"/>
      <c r="K16" s="72">
        <f>Table41001611591121151201929173115[[#This Row],[2006]]-Table41001611591121151201929173115[[#This Row],[2002]]</f>
        <v>1</v>
      </c>
      <c r="L16" s="72">
        <v>1</v>
      </c>
      <c r="M16" s="72">
        <f>Table41001611591121151201929173115[[#This Row],[2010]]-Table41001611591121151201929173115[[#This Row],[2006]]</f>
        <v>0</v>
      </c>
      <c r="N16" s="72">
        <v>1</v>
      </c>
      <c r="O16" s="72">
        <f>Table41001611591121151201929173115[[#This Row],[2014]]-Table41001611591121151201929173115[[#This Row],[2010]]</f>
        <v>1</v>
      </c>
      <c r="P16" s="72">
        <v>2</v>
      </c>
      <c r="Q16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4</v>
      </c>
      <c r="R16" s="75">
        <v>10</v>
      </c>
      <c r="T16" s="178" t="s">
        <v>417</v>
      </c>
      <c r="U16" s="178"/>
      <c r="V16" s="178"/>
      <c r="W16" s="178"/>
      <c r="X16" s="178"/>
    </row>
    <row r="17" spans="1:24" ht="19">
      <c r="A17" s="70" t="s">
        <v>69</v>
      </c>
      <c r="B17" s="71"/>
      <c r="C17" s="72">
        <f>Table41001611591121151201929173115[[#This Row],[1990]]-Table41001611591121151201929173115[[#This Row],[1986]]</f>
        <v>0</v>
      </c>
      <c r="D17" s="71"/>
      <c r="E17" s="72">
        <f>Table41001611591121151201929173115[[#This Row],[1994]]-Table41001611591121151201929173115[[#This Row],[1990]]</f>
        <v>0</v>
      </c>
      <c r="F17" s="71"/>
      <c r="G17" s="72">
        <f>Table41001611591121151201929173115[[#This Row],[1998]]-Table41001611591121151201929173115[[#This Row],[1994]]</f>
        <v>0</v>
      </c>
      <c r="H17" s="71"/>
      <c r="I17" s="72">
        <f>Table41001611591121151201929173115[[#This Row],[2002]]-Table41001611591121151201929173115[[#This Row],[1998]]</f>
        <v>1</v>
      </c>
      <c r="J17" s="71">
        <v>1</v>
      </c>
      <c r="K17" s="72">
        <f>Table41001611591121151201929173115[[#This Row],[2006]]-Table41001611591121151201929173115[[#This Row],[2002]]</f>
        <v>-1</v>
      </c>
      <c r="L17" s="71"/>
      <c r="M17" s="72">
        <f>Table41001611591121151201929173115[[#This Row],[2010]]-Table41001611591121151201929173115[[#This Row],[2006]]</f>
        <v>0</v>
      </c>
      <c r="N17" s="71"/>
      <c r="O17" s="72">
        <f>Table41001611591121151201929173115[[#This Row],[2014]]-Table41001611591121151201929173115[[#This Row],[2010]]</f>
        <v>0</v>
      </c>
      <c r="P17" s="71"/>
      <c r="Q17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1</v>
      </c>
      <c r="R17" s="75">
        <v>8</v>
      </c>
      <c r="T17" s="65" t="s">
        <v>410</v>
      </c>
      <c r="U17" s="66" t="s">
        <v>411</v>
      </c>
      <c r="V17" s="67" t="s">
        <v>412</v>
      </c>
      <c r="W17" s="68" t="s">
        <v>413</v>
      </c>
      <c r="X17" s="69" t="s">
        <v>414</v>
      </c>
    </row>
    <row r="18" spans="1:24" ht="19">
      <c r="A18" s="70" t="s">
        <v>56</v>
      </c>
      <c r="B18" s="71"/>
      <c r="C18" s="72">
        <f>Table41001611591121151201929173115[[#This Row],[1990]]-Table41001611591121151201929173115[[#This Row],[1986]]</f>
        <v>0</v>
      </c>
      <c r="D18" s="71"/>
      <c r="E18" s="72">
        <f>Table41001611591121151201929173115[[#This Row],[1994]]-Table41001611591121151201929173115[[#This Row],[1990]]</f>
        <v>0</v>
      </c>
      <c r="F18" s="71"/>
      <c r="G18" s="72">
        <f>Table41001611591121151201929173115[[#This Row],[1998]]-Table41001611591121151201929173115[[#This Row],[1994]]</f>
        <v>0</v>
      </c>
      <c r="H18" s="71"/>
      <c r="I18" s="72">
        <f>Table41001611591121151201929173115[[#This Row],[2002]]-Table41001611591121151201929173115[[#This Row],[1998]]</f>
        <v>0</v>
      </c>
      <c r="J18" s="71"/>
      <c r="K18" s="72">
        <f>Table41001611591121151201929173115[[#This Row],[2006]]-Table41001611591121151201929173115[[#This Row],[2002]]</f>
        <v>1</v>
      </c>
      <c r="L18" s="71">
        <v>1</v>
      </c>
      <c r="M18" s="72">
        <f>Table41001611591121151201929173115[[#This Row],[2010]]-Table41001611591121151201929173115[[#This Row],[2006]]</f>
        <v>-1</v>
      </c>
      <c r="N18" s="71"/>
      <c r="O18" s="72">
        <f>Table41001611591121151201929173115[[#This Row],[2014]]-Table41001611591121151201929173115[[#This Row],[2010]]</f>
        <v>1</v>
      </c>
      <c r="P18" s="71">
        <v>1</v>
      </c>
      <c r="Q18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2</v>
      </c>
      <c r="R18" s="75">
        <v>8</v>
      </c>
      <c r="T18" s="9">
        <f>R9</f>
        <v>57</v>
      </c>
      <c r="U18" s="9">
        <f>R19</f>
        <v>151</v>
      </c>
      <c r="V18" s="9">
        <f>R25</f>
        <v>49</v>
      </c>
      <c r="W18" s="9">
        <f>R30</f>
        <v>179</v>
      </c>
      <c r="X18" s="9">
        <f>R34</f>
        <v>77</v>
      </c>
    </row>
    <row r="19" spans="1:24" ht="19">
      <c r="A19" s="83" t="s">
        <v>411</v>
      </c>
      <c r="B19" s="84">
        <f>SUM(B10:B18)</f>
        <v>1</v>
      </c>
      <c r="C19" s="84">
        <f>Table41001611591121151201929173115[[#This Row],[1990]]-Table41001611591121151201929173115[[#This Row],[1986]]</f>
        <v>2</v>
      </c>
      <c r="D19" s="84">
        <f>SUM(D10:D18)</f>
        <v>3</v>
      </c>
      <c r="E19" s="80">
        <f>Table41001611591121151201929173115[[#This Row],[1994]]-Table41001611591121151201929173115[[#This Row],[1990]]</f>
        <v>-1</v>
      </c>
      <c r="F19" s="84">
        <f>SUM(F10:F18)</f>
        <v>2</v>
      </c>
      <c r="G19" s="80">
        <f>Table41001611591121151201929173115[[#This Row],[1998]]-Table41001611591121151201929173115[[#This Row],[1994]]</f>
        <v>2</v>
      </c>
      <c r="H19" s="84">
        <f>SUM(H10:H18)</f>
        <v>4</v>
      </c>
      <c r="I19" s="80">
        <f>Table41001611591121151201929173115[[#This Row],[2002]]-Table41001611591121151201929173115[[#This Row],[1998]]</f>
        <v>1</v>
      </c>
      <c r="J19" s="84">
        <f>SUM(J10:J18)</f>
        <v>5</v>
      </c>
      <c r="K19" s="80">
        <f>Table41001611591121151201929173115[[#This Row],[2006]]-Table41001611591121151201929173115[[#This Row],[2002]]</f>
        <v>4</v>
      </c>
      <c r="L19" s="84">
        <f>SUM(L10:L18)</f>
        <v>9</v>
      </c>
      <c r="M19" s="80">
        <f>Table41001611591121151201929173115[[#This Row],[2010]]-Table41001611591121151201929173115[[#This Row],[2006]]</f>
        <v>1</v>
      </c>
      <c r="N19" s="84">
        <f>SUM(N10:N18)</f>
        <v>10</v>
      </c>
      <c r="O19" s="80">
        <f>Table41001611591121151201929173115[[#This Row],[2014]]-Table41001611591121151201929173115[[#This Row],[2010]]</f>
        <v>-1</v>
      </c>
      <c r="P19" s="84">
        <f>SUM(P10:P18)</f>
        <v>9</v>
      </c>
      <c r="Q19" s="85">
        <f>SUM(Q10:Q18)</f>
        <v>43</v>
      </c>
      <c r="R19" s="43">
        <v>151</v>
      </c>
      <c r="T19" s="44">
        <f>(L9/T18)*100</f>
        <v>3.5087719298245612</v>
      </c>
      <c r="U19" s="44">
        <f>(L19/U18)*100</f>
        <v>5.9602649006622519</v>
      </c>
      <c r="V19" s="44">
        <f>(L25/V18)*100</f>
        <v>4.0816326530612246</v>
      </c>
      <c r="W19" s="44">
        <f>(L30/W18)*100</f>
        <v>3.3519553072625698</v>
      </c>
      <c r="X19" s="44">
        <f>(L34/X18)*100</f>
        <v>5.1948051948051948</v>
      </c>
    </row>
    <row r="20" spans="1:24" ht="19">
      <c r="A20" s="70" t="s">
        <v>97</v>
      </c>
      <c r="B20" s="71"/>
      <c r="C20" s="72">
        <f>Table41001611591121151201929173115[[#This Row],[1990]]-Table41001611591121151201929173115[[#This Row],[1986]]</f>
        <v>0</v>
      </c>
      <c r="D20" s="71"/>
      <c r="E20" s="72">
        <f>Table41001611591121151201929173115[[#This Row],[1994]]-Table41001611591121151201929173115[[#This Row],[1990]]</f>
        <v>0</v>
      </c>
      <c r="F20" s="71"/>
      <c r="G20" s="72">
        <f>Table41001611591121151201929173115[[#This Row],[1998]]-Table41001611591121151201929173115[[#This Row],[1994]]</f>
        <v>0</v>
      </c>
      <c r="H20" s="71"/>
      <c r="I20" s="72">
        <f>Table41001611591121151201929173115[[#This Row],[2002]]-Table41001611591121151201929173115[[#This Row],[1998]]</f>
        <v>0</v>
      </c>
      <c r="J20" s="71"/>
      <c r="K20" s="72">
        <f>Table41001611591121151201929173115[[#This Row],[2006]]-Table41001611591121151201929173115[[#This Row],[2002]]</f>
        <v>0</v>
      </c>
      <c r="L20" s="71"/>
      <c r="M20" s="72">
        <f>Table41001611591121151201929173115[[#This Row],[2010]]-Table41001611591121151201929173115[[#This Row],[2006]]</f>
        <v>0</v>
      </c>
      <c r="N20" s="71"/>
      <c r="O20" s="72">
        <f>Table41001611591121151201929173115[[#This Row],[2014]]-Table41001611591121151201929173115[[#This Row],[2010]]</f>
        <v>0</v>
      </c>
      <c r="P20" s="71"/>
      <c r="Q20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0</v>
      </c>
      <c r="R20" s="75">
        <v>8</v>
      </c>
    </row>
    <row r="21" spans="1:24" ht="19">
      <c r="A21" s="86" t="s">
        <v>94</v>
      </c>
      <c r="B21" s="87"/>
      <c r="C21" s="72">
        <f>Table41001611591121151201929173115[[#This Row],[1990]]-Table41001611591121151201929173115[[#This Row],[1986]]</f>
        <v>0</v>
      </c>
      <c r="D21" s="87"/>
      <c r="E21" s="72">
        <f>Table41001611591121151201929173115[[#This Row],[1994]]-Table41001611591121151201929173115[[#This Row],[1990]]</f>
        <v>1</v>
      </c>
      <c r="F21" s="71">
        <v>1</v>
      </c>
      <c r="G21" s="72">
        <f>Table41001611591121151201929173115[[#This Row],[1998]]-Table41001611591121151201929173115[[#This Row],[1994]]</f>
        <v>-1</v>
      </c>
      <c r="H21" s="87"/>
      <c r="I21" s="72">
        <f>Table41001611591121151201929173115[[#This Row],[2002]]-Table41001611591121151201929173115[[#This Row],[1998]]</f>
        <v>0</v>
      </c>
      <c r="J21" s="87"/>
      <c r="K21" s="72">
        <f>Table41001611591121151201929173115[[#This Row],[2006]]-Table41001611591121151201929173115[[#This Row],[2002]]</f>
        <v>2</v>
      </c>
      <c r="L21" s="87">
        <v>2</v>
      </c>
      <c r="M21" s="72">
        <f>Table41001611591121151201929173115[[#This Row],[2010]]-Table41001611591121151201929173115[[#This Row],[2006]]</f>
        <v>-1</v>
      </c>
      <c r="N21" s="87">
        <v>1</v>
      </c>
      <c r="O21" s="72">
        <f>Table41001611591121151201929173115[[#This Row],[2014]]-Table41001611591121151201929173115[[#This Row],[2010]]</f>
        <v>0</v>
      </c>
      <c r="P21" s="87">
        <v>1</v>
      </c>
      <c r="Q21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5</v>
      </c>
      <c r="R21" s="75">
        <v>17</v>
      </c>
      <c r="T21" s="178" t="s">
        <v>418</v>
      </c>
      <c r="U21" s="178"/>
      <c r="V21" s="178"/>
      <c r="W21" s="178"/>
      <c r="X21" s="178"/>
    </row>
    <row r="22" spans="1:24" ht="19">
      <c r="A22" s="88" t="s">
        <v>85</v>
      </c>
      <c r="B22" s="87">
        <v>1</v>
      </c>
      <c r="C22" s="72">
        <f>Table41001611591121151201929173115[[#This Row],[1990]]-Table41001611591121151201929173115[[#This Row],[1986]]</f>
        <v>1</v>
      </c>
      <c r="D22" s="87">
        <v>2</v>
      </c>
      <c r="E22" s="72">
        <f>Table41001611591121151201929173115[[#This Row],[1994]]-Table41001611591121151201929173115[[#This Row],[1990]]</f>
        <v>-1</v>
      </c>
      <c r="F22" s="71">
        <v>1</v>
      </c>
      <c r="G22" s="72">
        <f>Table41001611591121151201929173115[[#This Row],[1998]]-Table41001611591121151201929173115[[#This Row],[1994]]</f>
        <v>0</v>
      </c>
      <c r="H22" s="87">
        <v>1</v>
      </c>
      <c r="I22" s="72">
        <f>Table41001611591121151201929173115[[#This Row],[2002]]-Table41001611591121151201929173115[[#This Row],[1998]]</f>
        <v>1</v>
      </c>
      <c r="J22" s="87">
        <v>2</v>
      </c>
      <c r="K22" s="72">
        <f>Table41001611591121151201929173115[[#This Row],[2006]]-Table41001611591121151201929173115[[#This Row],[2002]]</f>
        <v>-2</v>
      </c>
      <c r="L22" s="87"/>
      <c r="M22" s="72">
        <f>Table41001611591121151201929173115[[#This Row],[2010]]-Table41001611591121151201929173115[[#This Row],[2006]]</f>
        <v>0</v>
      </c>
      <c r="N22" s="87"/>
      <c r="O22" s="72">
        <f>Table41001611591121151201929173115[[#This Row],[2014]]-Table41001611591121151201929173115[[#This Row],[2010]]</f>
        <v>0</v>
      </c>
      <c r="P22" s="87"/>
      <c r="Q22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7</v>
      </c>
      <c r="R22" s="75">
        <v>8</v>
      </c>
      <c r="T22" s="65" t="s">
        <v>410</v>
      </c>
      <c r="U22" s="66" t="s">
        <v>411</v>
      </c>
      <c r="V22" s="67" t="s">
        <v>412</v>
      </c>
      <c r="W22" s="68" t="s">
        <v>413</v>
      </c>
      <c r="X22" s="69" t="s">
        <v>414</v>
      </c>
    </row>
    <row r="23" spans="1:24" ht="19">
      <c r="A23" s="88" t="s">
        <v>83</v>
      </c>
      <c r="B23" s="87"/>
      <c r="C23" s="72">
        <f>Table41001611591121151201929173115[[#This Row],[1990]]-Table41001611591121151201929173115[[#This Row],[1986]]</f>
        <v>3</v>
      </c>
      <c r="D23" s="87">
        <v>3</v>
      </c>
      <c r="E23" s="72">
        <f>Table41001611591121151201929173115[[#This Row],[1994]]-Table41001611591121151201929173115[[#This Row],[1990]]</f>
        <v>-2</v>
      </c>
      <c r="F23" s="71">
        <v>1</v>
      </c>
      <c r="G23" s="72">
        <f>Table41001611591121151201929173115[[#This Row],[1998]]-Table41001611591121151201929173115[[#This Row],[1994]]</f>
        <v>0</v>
      </c>
      <c r="H23" s="87">
        <v>1</v>
      </c>
      <c r="I23" s="72">
        <f>Table41001611591121151201929173115[[#This Row],[2002]]-Table41001611591121151201929173115[[#This Row],[1998]]</f>
        <v>-1</v>
      </c>
      <c r="J23" s="87"/>
      <c r="K23" s="72">
        <f>Table41001611591121151201929173115[[#This Row],[2006]]-Table41001611591121151201929173115[[#This Row],[2002]]</f>
        <v>0</v>
      </c>
      <c r="L23" s="87"/>
      <c r="M23" s="72">
        <f>Table41001611591121151201929173115[[#This Row],[2010]]-Table41001611591121151201929173115[[#This Row],[2006]]</f>
        <v>0</v>
      </c>
      <c r="N23" s="87"/>
      <c r="O23" s="72">
        <f>Table41001611591121151201929173115[[#This Row],[2014]]-Table41001611591121151201929173115[[#This Row],[2010]]</f>
        <v>0</v>
      </c>
      <c r="P23" s="87"/>
      <c r="Q23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5</v>
      </c>
      <c r="R23" s="75">
        <v>8</v>
      </c>
      <c r="T23" s="9">
        <f>R9</f>
        <v>57</v>
      </c>
      <c r="U23" s="9">
        <f>R19</f>
        <v>151</v>
      </c>
      <c r="V23" s="9">
        <f>R25</f>
        <v>49</v>
      </c>
      <c r="W23" s="9">
        <f>R30</f>
        <v>179</v>
      </c>
      <c r="X23" s="9">
        <f>R34</f>
        <v>77</v>
      </c>
    </row>
    <row r="24" spans="1:24" ht="19">
      <c r="A24" s="88" t="s">
        <v>52</v>
      </c>
      <c r="B24" s="71"/>
      <c r="C24" s="72">
        <f>Table41001611591121151201929173115[[#This Row],[1990]]-Table41001611591121151201929173115[[#This Row],[1986]]</f>
        <v>0</v>
      </c>
      <c r="D24" s="71"/>
      <c r="E24" s="72">
        <f>Table41001611591121151201929173115[[#This Row],[1994]]-Table41001611591121151201929173115[[#This Row],[1990]]</f>
        <v>0</v>
      </c>
      <c r="F24" s="71"/>
      <c r="G24" s="72">
        <f>Table41001611591121151201929173115[[#This Row],[1998]]-Table41001611591121151201929173115[[#This Row],[1994]]</f>
        <v>0</v>
      </c>
      <c r="H24" s="71"/>
      <c r="I24" s="72">
        <f>Table41001611591121151201929173115[[#This Row],[2002]]-Table41001611591121151201929173115[[#This Row],[1998]]</f>
        <v>0</v>
      </c>
      <c r="J24" s="71"/>
      <c r="K24" s="72">
        <f>Table41001611591121151201929173115[[#This Row],[2006]]-Table41001611591121151201929173115[[#This Row],[2002]]</f>
        <v>0</v>
      </c>
      <c r="L24" s="71"/>
      <c r="M24" s="72">
        <f>Table41001611591121151201929173115[[#This Row],[2010]]-Table41001611591121151201929173115[[#This Row],[2006]]</f>
        <v>0</v>
      </c>
      <c r="N24" s="71"/>
      <c r="O24" s="72">
        <f>Table41001611591121151201929173115[[#This Row],[2014]]-Table41001611591121151201929173115[[#This Row],[2010]]</f>
        <v>0</v>
      </c>
      <c r="P24" s="71"/>
      <c r="Q24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0</v>
      </c>
      <c r="R24" s="75">
        <v>8</v>
      </c>
      <c r="T24" s="44">
        <f>(J9/T23)*100</f>
        <v>7.0175438596491224</v>
      </c>
      <c r="U24" s="44">
        <f>(J19/U23)*100</f>
        <v>3.3112582781456954</v>
      </c>
      <c r="V24" s="44">
        <f>(J25/V23)*100</f>
        <v>4.0816326530612246</v>
      </c>
      <c r="W24" s="44">
        <f>(J30/W23)*100</f>
        <v>5.5865921787709496</v>
      </c>
      <c r="X24" s="44">
        <f>(J34/X23)*100</f>
        <v>9.0909090909090917</v>
      </c>
    </row>
    <row r="25" spans="1:24" ht="19">
      <c r="A25" s="89" t="s">
        <v>412</v>
      </c>
      <c r="B25" s="79">
        <f>SUM(B20:B24)</f>
        <v>1</v>
      </c>
      <c r="C25" s="79">
        <f>Table41001611591121151201929173115[[#This Row],[1990]]-Table41001611591121151201929173115[[#This Row],[1986]]</f>
        <v>4</v>
      </c>
      <c r="D25" s="79">
        <f>SUM(D20:D24)</f>
        <v>5</v>
      </c>
      <c r="E25" s="80">
        <f>Table41001611591121151201929173115[[#This Row],[1994]]-Table41001611591121151201929173115[[#This Row],[1990]]</f>
        <v>-2</v>
      </c>
      <c r="F25" s="79">
        <f>SUM(F20:F24)</f>
        <v>3</v>
      </c>
      <c r="G25" s="80">
        <f>Table41001611591121151201929173115[[#This Row],[1998]]-Table41001611591121151201929173115[[#This Row],[1994]]</f>
        <v>-1</v>
      </c>
      <c r="H25" s="79">
        <f>SUM(H20:H24)</f>
        <v>2</v>
      </c>
      <c r="I25" s="80">
        <f>Table41001611591121151201929173115[[#This Row],[2002]]-Table41001611591121151201929173115[[#This Row],[1998]]</f>
        <v>0</v>
      </c>
      <c r="J25" s="79">
        <f>SUM(J20:J24)</f>
        <v>2</v>
      </c>
      <c r="K25" s="80">
        <f>Table41001611591121151201929173115[[#This Row],[2006]]-Table41001611591121151201929173115[[#This Row],[2002]]</f>
        <v>0</v>
      </c>
      <c r="L25" s="79">
        <f>SUM(L20:L24)</f>
        <v>2</v>
      </c>
      <c r="M25" s="80">
        <f>Table41001611591121151201929173115[[#This Row],[2010]]-Table41001611591121151201929173115[[#This Row],[2006]]</f>
        <v>-1</v>
      </c>
      <c r="N25" s="79">
        <f>SUM(N20:N24)</f>
        <v>1</v>
      </c>
      <c r="O25" s="80">
        <f>Table41001611591121151201929173115[[#This Row],[2014]]-Table41001611591121151201929173115[[#This Row],[2010]]</f>
        <v>0</v>
      </c>
      <c r="P25" s="79">
        <f>SUM(P20:P24)</f>
        <v>1</v>
      </c>
      <c r="Q25" s="90">
        <f>SUM(Q20:Q24)</f>
        <v>17</v>
      </c>
      <c r="R25" s="91">
        <v>49</v>
      </c>
    </row>
    <row r="26" spans="1:24" ht="19">
      <c r="A26" s="88" t="s">
        <v>95</v>
      </c>
      <c r="B26" s="71"/>
      <c r="C26" s="72">
        <f>Table41001611591121151201929173115[[#This Row],[1990]]-Table41001611591121151201929173115[[#This Row],[1986]]</f>
        <v>0</v>
      </c>
      <c r="D26" s="71"/>
      <c r="E26" s="72">
        <f>Table41001611591121151201929173115[[#This Row],[1994]]-Table41001611591121151201929173115[[#This Row],[1990]]</f>
        <v>1</v>
      </c>
      <c r="F26" s="71">
        <v>1</v>
      </c>
      <c r="G26" s="72">
        <f>Table41001611591121151201929173115[[#This Row],[1998]]-Table41001611591121151201929173115[[#This Row],[1994]]</f>
        <v>2</v>
      </c>
      <c r="H26" s="71">
        <v>3</v>
      </c>
      <c r="I26" s="72">
        <f>Table41001611591121151201929173115[[#This Row],[2002]]-Table41001611591121151201929173115[[#This Row],[1998]]</f>
        <v>-2</v>
      </c>
      <c r="J26" s="71">
        <v>1</v>
      </c>
      <c r="K26" s="72">
        <f>Table41001611591121151201929173115[[#This Row],[2006]]-Table41001611591121151201929173115[[#This Row],[2002]]</f>
        <v>-1</v>
      </c>
      <c r="L26" s="71"/>
      <c r="M26" s="72">
        <f>Table41001611591121151201929173115[[#This Row],[2010]]-Table41001611591121151201929173115[[#This Row],[2006]]</f>
        <v>0</v>
      </c>
      <c r="N26" s="71"/>
      <c r="O26" s="72">
        <f>Table41001611591121151201929173115[[#This Row],[2014]]-Table41001611591121151201929173115[[#This Row],[2010]]</f>
        <v>0</v>
      </c>
      <c r="P26" s="71"/>
      <c r="Q26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5</v>
      </c>
      <c r="R26" s="75">
        <v>10</v>
      </c>
      <c r="T26" s="178" t="s">
        <v>419</v>
      </c>
      <c r="U26" s="178"/>
      <c r="V26" s="178"/>
      <c r="W26" s="178"/>
      <c r="X26" s="178"/>
    </row>
    <row r="27" spans="1:24" ht="19">
      <c r="A27" s="88" t="s">
        <v>88</v>
      </c>
      <c r="B27" s="71">
        <v>1</v>
      </c>
      <c r="C27" s="72">
        <f>Table41001611591121151201929173115[[#This Row],[1990]]-Table41001611591121151201929173115[[#This Row],[1986]]</f>
        <v>4</v>
      </c>
      <c r="D27" s="71">
        <v>5</v>
      </c>
      <c r="E27" s="72">
        <f>Table41001611591121151201929173115[[#This Row],[1994]]-Table41001611591121151201929173115[[#This Row],[1990]]</f>
        <v>2</v>
      </c>
      <c r="F27" s="71">
        <v>7</v>
      </c>
      <c r="G27" s="72">
        <f>Table41001611591121151201929173115[[#This Row],[1998]]-Table41001611591121151201929173115[[#This Row],[1994]]</f>
        <v>-5</v>
      </c>
      <c r="H27" s="71">
        <v>2</v>
      </c>
      <c r="I27" s="72">
        <f>Table41001611591121151201929173115[[#This Row],[2002]]-Table41001611591121151201929173115[[#This Row],[1998]]</f>
        <v>0</v>
      </c>
      <c r="J27" s="71">
        <v>2</v>
      </c>
      <c r="K27" s="72">
        <f>Table41001611591121151201929173115[[#This Row],[2006]]-Table41001611591121151201929173115[[#This Row],[2002]]</f>
        <v>-2</v>
      </c>
      <c r="L27" s="71"/>
      <c r="M27" s="72">
        <f>Table41001611591121151201929173115[[#This Row],[2010]]-Table41001611591121151201929173115[[#This Row],[2006]]</f>
        <v>1</v>
      </c>
      <c r="N27" s="71">
        <v>1</v>
      </c>
      <c r="O27" s="72">
        <f>Table41001611591121151201929173115[[#This Row],[2014]]-Table41001611591121151201929173115[[#This Row],[2010]]</f>
        <v>0</v>
      </c>
      <c r="P27" s="71">
        <v>1</v>
      </c>
      <c r="Q27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19</v>
      </c>
      <c r="R27" s="75">
        <v>53</v>
      </c>
      <c r="T27" s="65" t="s">
        <v>410</v>
      </c>
      <c r="U27" s="66" t="s">
        <v>411</v>
      </c>
      <c r="V27" s="67" t="s">
        <v>412</v>
      </c>
      <c r="W27" s="68" t="s">
        <v>413</v>
      </c>
      <c r="X27" s="69" t="s">
        <v>414</v>
      </c>
    </row>
    <row r="28" spans="1:24" ht="19">
      <c r="A28" s="88" t="s">
        <v>72</v>
      </c>
      <c r="B28" s="71">
        <v>3</v>
      </c>
      <c r="C28" s="72">
        <f>Table41001611591121151201929173115[[#This Row],[1990]]-Table41001611591121151201929173115[[#This Row],[1986]]</f>
        <v>2</v>
      </c>
      <c r="D28" s="71">
        <v>5</v>
      </c>
      <c r="E28" s="72">
        <f>Table41001611591121151201929173115[[#This Row],[1994]]-Table41001611591121151201929173115[[#This Row],[1990]]</f>
        <v>-2</v>
      </c>
      <c r="F28" s="71">
        <v>3</v>
      </c>
      <c r="G28" s="72">
        <f>Table41001611591121151201929173115[[#This Row],[1998]]-Table41001611591121151201929173115[[#This Row],[1994]]</f>
        <v>-1</v>
      </c>
      <c r="H28" s="71">
        <v>2</v>
      </c>
      <c r="I28" s="72">
        <f>Table41001611591121151201929173115[[#This Row],[2002]]-Table41001611591121151201929173115[[#This Row],[1998]]</f>
        <v>0</v>
      </c>
      <c r="J28" s="71">
        <v>2</v>
      </c>
      <c r="K28" s="72">
        <f>Table41001611591121151201929173115[[#This Row],[2006]]-Table41001611591121151201929173115[[#This Row],[2002]]</f>
        <v>0</v>
      </c>
      <c r="L28" s="71">
        <v>2</v>
      </c>
      <c r="M28" s="72">
        <f>Table41001611591121151201929173115[[#This Row],[2010]]-Table41001611591121151201929173115[[#This Row],[2006]]</f>
        <v>-1</v>
      </c>
      <c r="N28" s="71">
        <v>1</v>
      </c>
      <c r="O28" s="72">
        <f>Table41001611591121151201929173115[[#This Row],[2014]]-Table41001611591121151201929173115[[#This Row],[2010]]</f>
        <v>2</v>
      </c>
      <c r="P28" s="71">
        <v>3</v>
      </c>
      <c r="Q28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21</v>
      </c>
      <c r="R28" s="75">
        <v>46</v>
      </c>
      <c r="T28" s="9">
        <f>R9</f>
        <v>57</v>
      </c>
      <c r="U28" s="9">
        <f>R19</f>
        <v>151</v>
      </c>
      <c r="V28" s="9">
        <f>R25</f>
        <v>49</v>
      </c>
      <c r="W28" s="9">
        <f>R30</f>
        <v>179</v>
      </c>
      <c r="X28" s="9">
        <f>R34</f>
        <v>77</v>
      </c>
    </row>
    <row r="29" spans="1:24" ht="19">
      <c r="A29" s="88" t="s">
        <v>54</v>
      </c>
      <c r="B29" s="71">
        <v>9</v>
      </c>
      <c r="C29" s="72">
        <f>Table41001611591121151201929173115[[#This Row],[1990]]-Table41001611591121151201929173115[[#This Row],[1986]]</f>
        <v>-4</v>
      </c>
      <c r="D29" s="71">
        <v>5</v>
      </c>
      <c r="E29" s="72">
        <f>Table41001611591121151201929173115[[#This Row],[1994]]-Table41001611591121151201929173115[[#This Row],[1990]]</f>
        <v>-2</v>
      </c>
      <c r="F29" s="71">
        <v>3</v>
      </c>
      <c r="G29" s="72">
        <f>Table41001611591121151201929173115[[#This Row],[1998]]-Table41001611591121151201929173115[[#This Row],[1994]]</f>
        <v>1</v>
      </c>
      <c r="H29" s="71">
        <v>4</v>
      </c>
      <c r="I29" s="72">
        <f>Table41001611591121151201929173115[[#This Row],[2002]]-Table41001611591121151201929173115[[#This Row],[1998]]</f>
        <v>1</v>
      </c>
      <c r="J29" s="71">
        <v>5</v>
      </c>
      <c r="K29" s="72">
        <f>Table41001611591121151201929173115[[#This Row],[2006]]-Table41001611591121151201929173115[[#This Row],[2002]]</f>
        <v>-1</v>
      </c>
      <c r="L29" s="71">
        <v>4</v>
      </c>
      <c r="M29" s="72">
        <f>Table41001611591121151201929173115[[#This Row],[2010]]-Table41001611591121151201929173115[[#This Row],[2006]]</f>
        <v>-2</v>
      </c>
      <c r="N29" s="71">
        <v>2</v>
      </c>
      <c r="O29" s="72">
        <f>Table41001611591121151201929173115[[#This Row],[2014]]-Table41001611591121151201929173115[[#This Row],[2010]]</f>
        <v>0</v>
      </c>
      <c r="P29" s="71">
        <v>2</v>
      </c>
      <c r="Q29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34</v>
      </c>
      <c r="R29" s="75">
        <v>70</v>
      </c>
      <c r="T29" s="44">
        <f>(H9/T28)*100</f>
        <v>7.0175438596491224</v>
      </c>
      <c r="U29" s="44">
        <f>(H19/U28)*100</f>
        <v>2.6490066225165565</v>
      </c>
      <c r="V29" s="44">
        <f>(H25/V28)*100</f>
        <v>4.0816326530612246</v>
      </c>
      <c r="W29" s="44">
        <f>(H30/W28)*100</f>
        <v>6.1452513966480442</v>
      </c>
      <c r="X29" s="44">
        <f>(H34/X28)*100</f>
        <v>12.987012987012985</v>
      </c>
    </row>
    <row r="30" spans="1:24" ht="19">
      <c r="A30" s="93" t="s">
        <v>413</v>
      </c>
      <c r="B30" s="79">
        <f>SUM(B26:B29)</f>
        <v>13</v>
      </c>
      <c r="C30" s="79">
        <f>Table41001611591121151201929173115[[#This Row],[1990]]-Table41001611591121151201929173115[[#This Row],[1986]]</f>
        <v>2</v>
      </c>
      <c r="D30" s="79">
        <f>SUM(D26:D29)</f>
        <v>15</v>
      </c>
      <c r="E30" s="80">
        <f>Table41001611591121151201929173115[[#This Row],[1994]]-Table41001611591121151201929173115[[#This Row],[1990]]</f>
        <v>-1</v>
      </c>
      <c r="F30" s="79">
        <f>SUM(F26:F29)</f>
        <v>14</v>
      </c>
      <c r="G30" s="80">
        <f>Table41001611591121151201929173115[[#This Row],[1998]]-Table41001611591121151201929173115[[#This Row],[1994]]</f>
        <v>-3</v>
      </c>
      <c r="H30" s="79">
        <f>SUM(H26:H29)</f>
        <v>11</v>
      </c>
      <c r="I30" s="80">
        <f>Table41001611591121151201929173115[[#This Row],[2002]]-Table41001611591121151201929173115[[#This Row],[1998]]</f>
        <v>-1</v>
      </c>
      <c r="J30" s="79">
        <f>SUM(J26:J29)</f>
        <v>10</v>
      </c>
      <c r="K30" s="80">
        <f>Table41001611591121151201929173115[[#This Row],[2006]]-Table41001611591121151201929173115[[#This Row],[2002]]</f>
        <v>-4</v>
      </c>
      <c r="L30" s="79">
        <f>SUM(L26:L29)</f>
        <v>6</v>
      </c>
      <c r="M30" s="80">
        <f>Table41001611591121151201929173115[[#This Row],[2010]]-Table41001611591121151201929173115[[#This Row],[2006]]</f>
        <v>-2</v>
      </c>
      <c r="N30" s="79">
        <f>SUM(N26:N29)</f>
        <v>4</v>
      </c>
      <c r="O30" s="80">
        <f>Table41001611591121151201929173115[[#This Row],[2014]]-Table41001611591121151201929173115[[#This Row],[2010]]</f>
        <v>2</v>
      </c>
      <c r="P30" s="79">
        <f>SUM(P26:P29)</f>
        <v>6</v>
      </c>
      <c r="Q30" s="94">
        <f>SUM(Q26:Q29)</f>
        <v>79</v>
      </c>
      <c r="R30" s="95">
        <v>179</v>
      </c>
    </row>
    <row r="31" spans="1:24" ht="19">
      <c r="A31" s="88" t="s">
        <v>13</v>
      </c>
      <c r="B31" s="71"/>
      <c r="C31" s="72">
        <f>Table41001611591121151201929173115[[#This Row],[1990]]-Table41001611591121151201929173115[[#This Row],[1986]]</f>
        <v>2</v>
      </c>
      <c r="D31" s="71">
        <v>2</v>
      </c>
      <c r="E31" s="72">
        <f>Table41001611591121151201929173115[[#This Row],[1994]]-Table41001611591121151201929173115[[#This Row],[1990]]</f>
        <v>2</v>
      </c>
      <c r="F31" s="71">
        <v>4</v>
      </c>
      <c r="G31" s="72">
        <f>Table41001611591121151201929173115[[#This Row],[1998]]-Table41001611591121151201929173115[[#This Row],[1994]]</f>
        <v>3</v>
      </c>
      <c r="H31" s="71">
        <v>7</v>
      </c>
      <c r="I31" s="72">
        <f>Table41001611591121151201929173115[[#This Row],[2002]]-Table41001611591121151201929173115[[#This Row],[1998]]</f>
        <v>-3</v>
      </c>
      <c r="J31" s="71">
        <v>4</v>
      </c>
      <c r="K31" s="72">
        <f>Table41001611591121151201929173115[[#This Row],[2006]]-Table41001611591121151201929173115[[#This Row],[2002]]</f>
        <v>-3</v>
      </c>
      <c r="L31" s="71">
        <v>1</v>
      </c>
      <c r="M31" s="72">
        <f>Table41001611591121151201929173115[[#This Row],[2010]]-Table41001611591121151201929173115[[#This Row],[2006]]</f>
        <v>0</v>
      </c>
      <c r="N31" s="71">
        <v>1</v>
      </c>
      <c r="O31" s="72">
        <f>Table41001611591121151201929173115[[#This Row],[2014]]-Table41001611591121151201929173115[[#This Row],[2010]]</f>
        <v>0</v>
      </c>
      <c r="P31" s="71">
        <v>1</v>
      </c>
      <c r="Q31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20</v>
      </c>
      <c r="R31" s="75">
        <v>30</v>
      </c>
      <c r="T31" s="178" t="s">
        <v>421</v>
      </c>
      <c r="U31" s="178"/>
      <c r="V31" s="178"/>
      <c r="W31" s="178"/>
      <c r="X31" s="178"/>
    </row>
    <row r="32" spans="1:24" ht="19">
      <c r="A32" s="88" t="s">
        <v>62</v>
      </c>
      <c r="B32" s="72"/>
      <c r="C32" s="72">
        <f>Table41001611591121151201929173115[[#This Row],[1990]]-Table41001611591121151201929173115[[#This Row],[1986]]</f>
        <v>0</v>
      </c>
      <c r="D32" s="72"/>
      <c r="E32" s="72">
        <f>Table41001611591121151201929173115[[#This Row],[1994]]-Table41001611591121151201929173115[[#This Row],[1990]]</f>
        <v>2</v>
      </c>
      <c r="F32" s="72">
        <v>2</v>
      </c>
      <c r="G32" s="72">
        <f>Table41001611591121151201929173115[[#This Row],[1998]]-Table41001611591121151201929173115[[#This Row],[1994]]</f>
        <v>1</v>
      </c>
      <c r="H32" s="72">
        <v>3</v>
      </c>
      <c r="I32" s="72">
        <f>Table41001611591121151201929173115[[#This Row],[2002]]-Table41001611591121151201929173115[[#This Row],[1998]]</f>
        <v>0</v>
      </c>
      <c r="J32" s="72">
        <v>3</v>
      </c>
      <c r="K32" s="72">
        <f>Table41001611591121151201929173115[[#This Row],[2006]]-Table41001611591121151201929173115[[#This Row],[2002]]</f>
        <v>0</v>
      </c>
      <c r="L32" s="72">
        <v>3</v>
      </c>
      <c r="M32" s="72">
        <f>Table41001611591121151201929173115[[#This Row],[2010]]-Table41001611591121151201929173115[[#This Row],[2006]]</f>
        <v>0</v>
      </c>
      <c r="N32" s="72">
        <v>3</v>
      </c>
      <c r="O32" s="72">
        <f>Table41001611591121151201929173115[[#This Row],[2014]]-Table41001611591121151201929173115[[#This Row],[2010]]</f>
        <v>0</v>
      </c>
      <c r="P32" s="72">
        <v>3</v>
      </c>
      <c r="Q32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17</v>
      </c>
      <c r="R32" s="75">
        <v>31</v>
      </c>
      <c r="T32" s="65" t="s">
        <v>410</v>
      </c>
      <c r="U32" s="66" t="s">
        <v>411</v>
      </c>
      <c r="V32" s="67" t="s">
        <v>412</v>
      </c>
      <c r="W32" s="68" t="s">
        <v>413</v>
      </c>
      <c r="X32" s="69" t="s">
        <v>414</v>
      </c>
    </row>
    <row r="33" spans="1:24" ht="19">
      <c r="A33" s="88" t="s">
        <v>60</v>
      </c>
      <c r="B33" s="71"/>
      <c r="C33" s="72">
        <f>Table41001611591121151201929173115[[#This Row],[1990]]-Table41001611591121151201929173115[[#This Row],[1986]]</f>
        <v>0</v>
      </c>
      <c r="D33" s="71"/>
      <c r="E33" s="72">
        <f>Table41001611591121151201929173115[[#This Row],[1994]]-Table41001611591121151201929173115[[#This Row],[1990]]</f>
        <v>0</v>
      </c>
      <c r="F33" s="71"/>
      <c r="G33" s="72">
        <f>Table41001611591121151201929173115[[#This Row],[1998]]-Table41001611591121151201929173115[[#This Row],[1994]]</f>
        <v>0</v>
      </c>
      <c r="H33" s="71"/>
      <c r="I33" s="72">
        <f>Table41001611591121151201929173115[[#This Row],[2002]]-Table41001611591121151201929173115[[#This Row],[1998]]</f>
        <v>0</v>
      </c>
      <c r="J33" s="71"/>
      <c r="K33" s="72">
        <f>Table41001611591121151201929173115[[#This Row],[2006]]-Table41001611591121151201929173115[[#This Row],[2002]]</f>
        <v>0</v>
      </c>
      <c r="L33" s="71"/>
      <c r="M33" s="72">
        <f>Table41001611591121151201929173115[[#This Row],[2010]]-Table41001611591121151201929173115[[#This Row],[2006]]</f>
        <v>0</v>
      </c>
      <c r="N33" s="71"/>
      <c r="O33" s="72">
        <f>Table41001611591121151201929173115[[#This Row],[2014]]-Table41001611591121151201929173115[[#This Row],[2010]]</f>
        <v>0</v>
      </c>
      <c r="P33" s="71"/>
      <c r="Q33" s="73">
        <f>SUM(Table41001611591121151201929173115[[#This Row],[1986]],Table41001611591121151201929173115[[#This Row],[1990]],Table41001611591121151201929173115[[#This Row],[1994]],Table41001611591121151201929173115[[#This Row],[1998]],Table41001611591121151201929173115[[#This Row],[2002]],Table41001611591121151201929173115[[#This Row],[2006]],Table41001611591121151201929173115[[#This Row],[2010]],Table41001611591121151201929173115[[#This Row],[2014]])</f>
        <v>0</v>
      </c>
      <c r="R33" s="75">
        <v>16</v>
      </c>
      <c r="T33" s="9">
        <f>R9</f>
        <v>57</v>
      </c>
      <c r="U33" s="9">
        <f>R19</f>
        <v>151</v>
      </c>
      <c r="V33" s="9">
        <f>R25</f>
        <v>49</v>
      </c>
      <c r="W33" s="9">
        <f>R30</f>
        <v>179</v>
      </c>
      <c r="X33" s="9">
        <f>R34</f>
        <v>77</v>
      </c>
    </row>
    <row r="34" spans="1:24" ht="19">
      <c r="A34" s="96" t="s">
        <v>414</v>
      </c>
      <c r="B34" s="97">
        <f>SUM(B31:B33)</f>
        <v>0</v>
      </c>
      <c r="C34" s="97">
        <f>Table41001611591121151201929173115[[#This Row],[1990]]-Table41001611591121151201929173115[[#This Row],[1986]]</f>
        <v>2</v>
      </c>
      <c r="D34" s="97">
        <f>SUM(D31:D33)</f>
        <v>2</v>
      </c>
      <c r="E34" s="80">
        <f>Table41001611591121151201929173115[[#This Row],[1994]]-Table41001611591121151201929173115[[#This Row],[1990]]</f>
        <v>4</v>
      </c>
      <c r="F34" s="97">
        <f>SUM(F31:F33)</f>
        <v>6</v>
      </c>
      <c r="G34" s="80">
        <f>Table41001611591121151201929173115[[#This Row],[1998]]-Table41001611591121151201929173115[[#This Row],[1994]]</f>
        <v>4</v>
      </c>
      <c r="H34" s="97">
        <f>SUM(H31:H33)</f>
        <v>10</v>
      </c>
      <c r="I34" s="80">
        <f>Table41001611591121151201929173115[[#This Row],[2002]]-Table41001611591121151201929173115[[#This Row],[1998]]</f>
        <v>-3</v>
      </c>
      <c r="J34" s="97">
        <f>SUM(J31:J33)</f>
        <v>7</v>
      </c>
      <c r="K34" s="80">
        <f>Table41001611591121151201929173115[[#This Row],[2006]]-Table41001611591121151201929173115[[#This Row],[2002]]</f>
        <v>-3</v>
      </c>
      <c r="L34" s="97">
        <f>SUM(L31:L33)</f>
        <v>4</v>
      </c>
      <c r="M34" s="80">
        <f>Table41001611591121151201929173115[[#This Row],[2010]]-Table41001611591121151201929173115[[#This Row],[2006]]</f>
        <v>0</v>
      </c>
      <c r="N34" s="97">
        <f>SUM(N31:N33)</f>
        <v>4</v>
      </c>
      <c r="O34" s="80">
        <f>Table41001611591121151201929173115[[#This Row],[2014]]-Table41001611591121151201929173115[[#This Row],[2010]]</f>
        <v>0</v>
      </c>
      <c r="P34" s="97">
        <f>SUM(P31:P33)</f>
        <v>4</v>
      </c>
      <c r="Q34" s="98">
        <f>SUM(Q31:Q33)</f>
        <v>37</v>
      </c>
      <c r="R34" s="99">
        <v>77</v>
      </c>
      <c r="T34" s="44">
        <f>(F9/T33)*100</f>
        <v>8.7719298245614024</v>
      </c>
      <c r="U34" s="44">
        <f>(F19/U33)*100</f>
        <v>1.3245033112582782</v>
      </c>
      <c r="V34" s="44">
        <f>(F25/V33)*100</f>
        <v>6.1224489795918364</v>
      </c>
      <c r="W34" s="44">
        <f>(F30/W33)*100</f>
        <v>7.8212290502793298</v>
      </c>
      <c r="X34" s="44">
        <f>(F34/X33)*100</f>
        <v>7.7922077922077921</v>
      </c>
    </row>
    <row r="35" spans="1:24" ht="19">
      <c r="A35" s="100" t="s">
        <v>420</v>
      </c>
      <c r="B35" s="101">
        <f>SUM(B9,B19,B25,B30,B34)</f>
        <v>17</v>
      </c>
      <c r="C35" s="101">
        <f>Table41001611591121151201929173115[[#This Row],[1990]]-Table41001611591121151201929173115[[#This Row],[1986]]</f>
        <v>15</v>
      </c>
      <c r="D35" s="101">
        <f>SUM(D9,D19,D25,D30,D34)</f>
        <v>32</v>
      </c>
      <c r="E35" s="80">
        <f>Table41001611591121151201929173115[[#This Row],[1994]]-Table41001611591121151201929173115[[#This Row],[1990]]</f>
        <v>-2</v>
      </c>
      <c r="F35" s="101">
        <f>SUM(F9,F19,F25,F30,F34)</f>
        <v>30</v>
      </c>
      <c r="G35" s="80">
        <f>Table41001611591121151201929173115[[#This Row],[1998]]-Table41001611591121151201929173115[[#This Row],[1994]]</f>
        <v>1</v>
      </c>
      <c r="H35" s="101">
        <f>SUM(H9,H19,H25,H30,H34)</f>
        <v>31</v>
      </c>
      <c r="I35" s="80">
        <f>Table41001611591121151201929173115[[#This Row],[2002]]-Table41001611591121151201929173115[[#This Row],[1998]]</f>
        <v>-3</v>
      </c>
      <c r="J35" s="101">
        <f>SUM(J9,J19,J25,J30,J34)</f>
        <v>28</v>
      </c>
      <c r="K35" s="80">
        <f>Table41001611591121151201929173115[[#This Row],[2006]]-Table41001611591121151201929173115[[#This Row],[2002]]</f>
        <v>-5</v>
      </c>
      <c r="L35" s="101">
        <f>SUM(L9,L19,L25,L30,L34)</f>
        <v>23</v>
      </c>
      <c r="M35" s="80">
        <f>Table41001611591121151201929173115[[#This Row],[2010]]-Table41001611591121151201929173115[[#This Row],[2006]]</f>
        <v>-1</v>
      </c>
      <c r="N35" s="101">
        <f>SUM(N9,N19,N25,N30,N34)</f>
        <v>22</v>
      </c>
      <c r="O35" s="80">
        <f>Table41001611591121151201929173115[[#This Row],[2014]]-Table41001611591121151201929173115[[#This Row],[2010]]</f>
        <v>2</v>
      </c>
      <c r="P35" s="101">
        <f>SUM(P9,P19,P25,P30,P34)</f>
        <v>24</v>
      </c>
      <c r="Q35" s="102">
        <f>SUM(Q9,Q19,Q25,Q30,Q34)</f>
        <v>207</v>
      </c>
      <c r="R35" s="75">
        <v>513</v>
      </c>
    </row>
    <row r="36" spans="1:24">
      <c r="T36" s="178" t="s">
        <v>422</v>
      </c>
      <c r="U36" s="178"/>
      <c r="V36" s="178"/>
      <c r="W36" s="178"/>
      <c r="X36" s="178"/>
    </row>
    <row r="37" spans="1:24">
      <c r="T37" s="65" t="s">
        <v>410</v>
      </c>
      <c r="U37" s="66" t="s">
        <v>411</v>
      </c>
      <c r="V37" s="67" t="s">
        <v>412</v>
      </c>
      <c r="W37" s="68" t="s">
        <v>413</v>
      </c>
      <c r="X37" s="69" t="s">
        <v>414</v>
      </c>
    </row>
    <row r="38" spans="1:24">
      <c r="T38" s="9">
        <f>R9</f>
        <v>57</v>
      </c>
      <c r="U38" s="9">
        <f>R19</f>
        <v>151</v>
      </c>
      <c r="V38" s="9">
        <f>R25</f>
        <v>49</v>
      </c>
      <c r="W38" s="9">
        <f>R30</f>
        <v>179</v>
      </c>
      <c r="X38" s="9">
        <f>R34</f>
        <v>77</v>
      </c>
    </row>
    <row r="39" spans="1:24">
      <c r="T39" s="44">
        <f>(D9/T38)*100</f>
        <v>12.280701754385964</v>
      </c>
      <c r="U39" s="44">
        <f>(D19/U38)*100</f>
        <v>1.9867549668874174</v>
      </c>
      <c r="V39" s="44">
        <f>(D25/V38)*100</f>
        <v>10.204081632653061</v>
      </c>
      <c r="W39" s="44">
        <f>(D30/W38)*100</f>
        <v>8.3798882681564244</v>
      </c>
      <c r="X39" s="44">
        <f>(D34/X38)*100</f>
        <v>2.5974025974025974</v>
      </c>
    </row>
    <row r="41" spans="1:24">
      <c r="T41" s="178" t="s">
        <v>422</v>
      </c>
      <c r="U41" s="178"/>
      <c r="V41" s="178"/>
      <c r="W41" s="178"/>
      <c r="X41" s="178"/>
    </row>
    <row r="42" spans="1:24">
      <c r="T42" s="65" t="s">
        <v>410</v>
      </c>
      <c r="U42" s="66" t="s">
        <v>411</v>
      </c>
      <c r="V42" s="67" t="s">
        <v>412</v>
      </c>
      <c r="W42" s="68" t="s">
        <v>413</v>
      </c>
      <c r="X42" s="69" t="s">
        <v>414</v>
      </c>
    </row>
    <row r="43" spans="1:24">
      <c r="T43" s="9">
        <f>R9</f>
        <v>57</v>
      </c>
      <c r="U43" s="9">
        <f>R19</f>
        <v>151</v>
      </c>
      <c r="V43" s="9">
        <f>R25</f>
        <v>49</v>
      </c>
      <c r="W43" s="9">
        <f>R30</f>
        <v>179</v>
      </c>
      <c r="X43" s="9">
        <f>R34</f>
        <v>77</v>
      </c>
    </row>
    <row r="44" spans="1:24">
      <c r="T44" s="44">
        <f>(B9/T43)*100</f>
        <v>3.5087719298245612</v>
      </c>
      <c r="U44" s="44">
        <f>(B19/U43)*100</f>
        <v>0.66225165562913912</v>
      </c>
      <c r="V44" s="44">
        <f>(B25/V43)*100</f>
        <v>2.0408163265306123</v>
      </c>
      <c r="W44" s="44">
        <f>(B30/W43)*100</f>
        <v>7.2625698324022352</v>
      </c>
      <c r="X44" s="44">
        <f>(B34/X43)*100</f>
        <v>0</v>
      </c>
    </row>
  </sheetData>
  <mergeCells count="10">
    <mergeCell ref="T26:X26"/>
    <mergeCell ref="T31:X31"/>
    <mergeCell ref="T36:X36"/>
    <mergeCell ref="T41:X41"/>
    <mergeCell ref="A1:Q1"/>
    <mergeCell ref="T1:X1"/>
    <mergeCell ref="T6:X6"/>
    <mergeCell ref="T11:X11"/>
    <mergeCell ref="T16:X16"/>
    <mergeCell ref="T21:X21"/>
  </mergeCells>
  <conditionalFormatting sqref="C4:C35">
    <cfRule type="cellIs" dxfId="71" priority="11" operator="greaterThan">
      <formula>0</formula>
    </cfRule>
  </conditionalFormatting>
  <conditionalFormatting sqref="C3">
    <cfRule type="cellIs" dxfId="70" priority="8" operator="greaterThan">
      <formula>0</formula>
    </cfRule>
  </conditionalFormatting>
  <conditionalFormatting sqref="E3">
    <cfRule type="cellIs" dxfId="69" priority="5" operator="greaterThan">
      <formula>0</formula>
    </cfRule>
  </conditionalFormatting>
  <conditionalFormatting sqref="C4:C35 E4:E35 G3:G35 I3:I35 K3:K35 M3:M35">
    <cfRule type="cellIs" dxfId="68" priority="10" operator="greaterThan">
      <formula>0</formula>
    </cfRule>
  </conditionalFormatting>
  <conditionalFormatting sqref="C4:C35 E4:E35 G3:G35 I3:I35 K3:K35 M3:M35">
    <cfRule type="cellIs" dxfId="67" priority="9" operator="lessThan">
      <formula>0</formula>
    </cfRule>
  </conditionalFormatting>
  <conditionalFormatting sqref="O3:O35">
    <cfRule type="cellIs" dxfId="66" priority="1" operator="lessThan">
      <formula>0</formula>
    </cfRule>
    <cfRule type="cellIs" dxfId="65" priority="2" operator="greaterThan">
      <formula>0</formula>
    </cfRule>
  </conditionalFormatting>
  <conditionalFormatting sqref="C3">
    <cfRule type="cellIs" dxfId="64" priority="7" operator="greaterThan">
      <formula>0</formula>
    </cfRule>
  </conditionalFormatting>
  <conditionalFormatting sqref="C3">
    <cfRule type="cellIs" dxfId="63" priority="6" operator="lessThan">
      <formula>0</formula>
    </cfRule>
  </conditionalFormatting>
  <conditionalFormatting sqref="E3">
    <cfRule type="cellIs" dxfId="62" priority="4" operator="greaterThan">
      <formula>0</formula>
    </cfRule>
  </conditionalFormatting>
  <conditionalFormatting sqref="E3">
    <cfRule type="cellIs" dxfId="61" priority="3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44"/>
  <sheetViews>
    <sheetView workbookViewId="0">
      <selection activeCell="V25" sqref="V25"/>
    </sheetView>
  </sheetViews>
  <sheetFormatPr baseColWidth="10" defaultRowHeight="16"/>
  <cols>
    <col min="1" max="1" width="20.83203125" customWidth="1"/>
    <col min="17" max="17" width="17.33203125" customWidth="1"/>
    <col min="20" max="20" width="19.1640625" customWidth="1"/>
    <col min="21" max="21" width="16.83203125" customWidth="1"/>
    <col min="22" max="22" width="15.83203125" customWidth="1"/>
    <col min="23" max="23" width="16.83203125" customWidth="1"/>
    <col min="24" max="24" width="16.6640625" customWidth="1"/>
  </cols>
  <sheetData>
    <row r="1" spans="1:24" ht="19">
      <c r="A1" s="182" t="s">
        <v>19</v>
      </c>
      <c r="B1" s="182"/>
      <c r="C1" s="182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T1" s="178" t="s">
        <v>391</v>
      </c>
      <c r="U1" s="178"/>
      <c r="V1" s="178"/>
      <c r="W1" s="178"/>
      <c r="X1" s="178"/>
    </row>
    <row r="2" spans="1:24" ht="19">
      <c r="A2" s="63" t="s">
        <v>392</v>
      </c>
      <c r="B2" s="63" t="s">
        <v>393</v>
      </c>
      <c r="C2" s="63" t="s">
        <v>394</v>
      </c>
      <c r="D2" s="63" t="s">
        <v>395</v>
      </c>
      <c r="E2" s="63" t="s">
        <v>396</v>
      </c>
      <c r="F2" s="63" t="s">
        <v>397</v>
      </c>
      <c r="G2" s="63" t="s">
        <v>398</v>
      </c>
      <c r="H2" s="63" t="s">
        <v>399</v>
      </c>
      <c r="I2" s="63" t="s">
        <v>400</v>
      </c>
      <c r="J2" s="63" t="s">
        <v>401</v>
      </c>
      <c r="K2" s="63" t="s">
        <v>402</v>
      </c>
      <c r="L2" s="63" t="s">
        <v>403</v>
      </c>
      <c r="M2" s="63" t="s">
        <v>404</v>
      </c>
      <c r="N2" s="63" t="s">
        <v>405</v>
      </c>
      <c r="O2" s="63" t="s">
        <v>406</v>
      </c>
      <c r="P2" s="63" t="s">
        <v>407</v>
      </c>
      <c r="Q2" s="64" t="s">
        <v>408</v>
      </c>
      <c r="R2" s="64" t="s">
        <v>409</v>
      </c>
      <c r="T2" s="65" t="s">
        <v>410</v>
      </c>
      <c r="U2" s="66" t="s">
        <v>411</v>
      </c>
      <c r="V2" s="67" t="s">
        <v>412</v>
      </c>
      <c r="W2" s="68" t="s">
        <v>413</v>
      </c>
      <c r="X2" s="69" t="s">
        <v>414</v>
      </c>
    </row>
    <row r="3" spans="1:24" ht="19">
      <c r="A3" s="70" t="s">
        <v>110</v>
      </c>
      <c r="B3" s="71"/>
      <c r="C3" s="72">
        <f>Table410016115911211512023121[[#This Row],[1990]]-Table410016115911211512023121[[#This Row],[1986]]</f>
        <v>0</v>
      </c>
      <c r="D3" s="71"/>
      <c r="E3" s="72">
        <f>Table410016115911211512023121[[#This Row],[1994]]-Table410016115911211512023121[[#This Row],[1990]]</f>
        <v>0</v>
      </c>
      <c r="F3" s="71"/>
      <c r="G3" s="72">
        <f>Table410016115911211512023121[[#This Row],[1998]]-Table410016115911211512023121[[#This Row],[1994]]</f>
        <v>0</v>
      </c>
      <c r="H3" s="71"/>
      <c r="I3" s="72">
        <f>Table410016115911211512023121[[#This Row],[2002]]-Table410016115911211512023121[[#This Row],[1998]]</f>
        <v>0</v>
      </c>
      <c r="J3" s="71"/>
      <c r="K3" s="72">
        <f>Table410016115911211512023121[[#This Row],[2006]]-Table410016115911211512023121[[#This Row],[2002]]</f>
        <v>0</v>
      </c>
      <c r="L3" s="71"/>
      <c r="M3" s="72">
        <f>Table410016115911211512023121[[#This Row],[2010]]-Table410016115911211512023121[[#This Row],[2006]]</f>
        <v>1</v>
      </c>
      <c r="N3" s="71">
        <v>1</v>
      </c>
      <c r="O3" s="72">
        <f>Table410016115911211512023121[[#This Row],[2014]]-Table410016115911211512023121[[#This Row],[2010]]</f>
        <v>-1</v>
      </c>
      <c r="P3" s="71"/>
      <c r="Q3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1</v>
      </c>
      <c r="R3" s="74">
        <v>8</v>
      </c>
      <c r="T3" s="9">
        <f>R9*8</f>
        <v>456</v>
      </c>
      <c r="U3" s="9">
        <f>R19*8</f>
        <v>1208</v>
      </c>
      <c r="V3" s="9">
        <f>R25*8</f>
        <v>392</v>
      </c>
      <c r="W3" s="9">
        <f>R30*8</f>
        <v>1432</v>
      </c>
      <c r="X3" s="9">
        <f>R34*8</f>
        <v>616</v>
      </c>
    </row>
    <row r="4" spans="1:24" ht="19">
      <c r="A4" s="70" t="s">
        <v>106</v>
      </c>
      <c r="B4" s="71"/>
      <c r="C4" s="72">
        <f>Table410016115911211512023121[[#This Row],[1990]]-Table410016115911211512023121[[#This Row],[1986]]</f>
        <v>0</v>
      </c>
      <c r="D4" s="71"/>
      <c r="E4" s="72">
        <f>Table410016115911211512023121[[#This Row],[1994]]-Table410016115911211512023121[[#This Row],[1990]]</f>
        <v>0</v>
      </c>
      <c r="F4" s="71"/>
      <c r="G4" s="72">
        <f>Table410016115911211512023121[[#This Row],[1998]]-Table410016115911211512023121[[#This Row],[1994]]</f>
        <v>0</v>
      </c>
      <c r="H4" s="71"/>
      <c r="I4" s="72">
        <f>Table410016115911211512023121[[#This Row],[2002]]-Table410016115911211512023121[[#This Row],[1998]]</f>
        <v>0</v>
      </c>
      <c r="J4" s="71"/>
      <c r="K4" s="72">
        <f>Table410016115911211512023121[[#This Row],[2006]]-Table410016115911211512023121[[#This Row],[2002]]</f>
        <v>0</v>
      </c>
      <c r="L4" s="71"/>
      <c r="M4" s="72">
        <f>Table410016115911211512023121[[#This Row],[2010]]-Table410016115911211512023121[[#This Row],[2006]]</f>
        <v>0</v>
      </c>
      <c r="N4" s="71"/>
      <c r="O4" s="72">
        <f>Table410016115911211512023121[[#This Row],[2014]]-Table410016115911211512023121[[#This Row],[2010]]</f>
        <v>0</v>
      </c>
      <c r="P4" s="71"/>
      <c r="Q4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4" s="75">
        <v>8</v>
      </c>
      <c r="T4" s="44">
        <f>(Q9/T3)*100</f>
        <v>0.6578947368421052</v>
      </c>
      <c r="U4" s="44">
        <f>(Q19/U3)*100</f>
        <v>0.49668874172185434</v>
      </c>
      <c r="V4" s="44">
        <f>(Q25/V3)*100</f>
        <v>0</v>
      </c>
      <c r="W4" s="44">
        <f>(Q30/W3)*100</f>
        <v>2.1648044692737431</v>
      </c>
      <c r="X4" s="76">
        <f>(Q34/X3)*100</f>
        <v>0.32467532467532467</v>
      </c>
    </row>
    <row r="5" spans="1:24" ht="19">
      <c r="A5" s="70" t="s">
        <v>104</v>
      </c>
      <c r="B5" s="71"/>
      <c r="C5" s="72">
        <f>Table410016115911211512023121[[#This Row],[1990]]-Table410016115911211512023121[[#This Row],[1986]]</f>
        <v>0</v>
      </c>
      <c r="D5" s="71"/>
      <c r="E5" s="72">
        <f>Table410016115911211512023121[[#This Row],[1994]]-Table410016115911211512023121[[#This Row],[1990]]</f>
        <v>0</v>
      </c>
      <c r="F5" s="71"/>
      <c r="G5" s="72">
        <f>Table410016115911211512023121[[#This Row],[1998]]-Table410016115911211512023121[[#This Row],[1994]]</f>
        <v>0</v>
      </c>
      <c r="H5" s="71"/>
      <c r="I5" s="72">
        <f>Table410016115911211512023121[[#This Row],[2002]]-Table410016115911211512023121[[#This Row],[1998]]</f>
        <v>0</v>
      </c>
      <c r="J5" s="71"/>
      <c r="K5" s="72">
        <f>Table410016115911211512023121[[#This Row],[2006]]-Table410016115911211512023121[[#This Row],[2002]]</f>
        <v>0</v>
      </c>
      <c r="L5" s="71"/>
      <c r="M5" s="72">
        <f>Table410016115911211512023121[[#This Row],[2010]]-Table410016115911211512023121[[#This Row],[2006]]</f>
        <v>0</v>
      </c>
      <c r="N5" s="71"/>
      <c r="O5" s="72">
        <f>Table410016115911211512023121[[#This Row],[2014]]-Table410016115911211512023121[[#This Row],[2010]]</f>
        <v>0</v>
      </c>
      <c r="P5" s="71"/>
      <c r="Q5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5" s="75">
        <v>8</v>
      </c>
    </row>
    <row r="6" spans="1:24" ht="19">
      <c r="A6" s="70" t="s">
        <v>73</v>
      </c>
      <c r="B6" s="71"/>
      <c r="C6" s="72">
        <f>Table410016115911211512023121[[#This Row],[1990]]-Table410016115911211512023121[[#This Row],[1986]]</f>
        <v>0</v>
      </c>
      <c r="D6" s="71"/>
      <c r="E6" s="72">
        <f>Table410016115911211512023121[[#This Row],[1994]]-Table410016115911211512023121[[#This Row],[1990]]</f>
        <v>0</v>
      </c>
      <c r="F6" s="71"/>
      <c r="G6" s="72">
        <f>Table410016115911211512023121[[#This Row],[1998]]-Table410016115911211512023121[[#This Row],[1994]]</f>
        <v>0</v>
      </c>
      <c r="H6" s="71"/>
      <c r="I6" s="72">
        <f>Table410016115911211512023121[[#This Row],[2002]]-Table410016115911211512023121[[#This Row],[1998]]</f>
        <v>0</v>
      </c>
      <c r="J6" s="71"/>
      <c r="K6" s="72">
        <f>Table410016115911211512023121[[#This Row],[2006]]-Table410016115911211512023121[[#This Row],[2002]]</f>
        <v>0</v>
      </c>
      <c r="L6" s="71"/>
      <c r="M6" s="72">
        <f>Table410016115911211512023121[[#This Row],[2010]]-Table410016115911211512023121[[#This Row],[2006]]</f>
        <v>0</v>
      </c>
      <c r="N6" s="71"/>
      <c r="O6" s="72">
        <f>Table410016115911211512023121[[#This Row],[2014]]-Table410016115911211512023121[[#This Row],[2010]]</f>
        <v>0</v>
      </c>
      <c r="P6" s="71"/>
      <c r="Q6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6" s="75">
        <v>17</v>
      </c>
      <c r="T6" s="178" t="s">
        <v>415</v>
      </c>
      <c r="U6" s="178"/>
      <c r="V6" s="178"/>
      <c r="W6" s="178"/>
      <c r="X6" s="178"/>
    </row>
    <row r="7" spans="1:24" ht="19">
      <c r="A7" s="70" t="s">
        <v>67</v>
      </c>
      <c r="B7" s="77"/>
      <c r="C7" s="72">
        <f>Table410016115911211512023121[[#This Row],[1990]]-Table410016115911211512023121[[#This Row],[1986]]</f>
        <v>0</v>
      </c>
      <c r="D7" s="77"/>
      <c r="E7" s="72">
        <f>Table410016115911211512023121[[#This Row],[1994]]-Table410016115911211512023121[[#This Row],[1990]]</f>
        <v>0</v>
      </c>
      <c r="F7" s="77"/>
      <c r="G7" s="72">
        <f>Table410016115911211512023121[[#This Row],[1998]]-Table410016115911211512023121[[#This Row],[1994]]</f>
        <v>0</v>
      </c>
      <c r="H7" s="77"/>
      <c r="I7" s="72">
        <f>Table410016115911211512023121[[#This Row],[2002]]-Table410016115911211512023121[[#This Row],[1998]]</f>
        <v>0</v>
      </c>
      <c r="J7" s="77"/>
      <c r="K7" s="72">
        <f>Table410016115911211512023121[[#This Row],[2006]]-Table410016115911211512023121[[#This Row],[2002]]</f>
        <v>1</v>
      </c>
      <c r="L7" s="77">
        <v>1</v>
      </c>
      <c r="M7" s="72">
        <f>Table410016115911211512023121[[#This Row],[2010]]-Table410016115911211512023121[[#This Row],[2006]]</f>
        <v>0</v>
      </c>
      <c r="N7" s="77">
        <v>1</v>
      </c>
      <c r="O7" s="72">
        <f>Table410016115911211512023121[[#This Row],[2014]]-Table410016115911211512023121[[#This Row],[2010]]</f>
        <v>-1</v>
      </c>
      <c r="P7" s="77"/>
      <c r="Q7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2</v>
      </c>
      <c r="R7" s="75">
        <v>8</v>
      </c>
      <c r="T7" s="65" t="s">
        <v>410</v>
      </c>
      <c r="U7" s="66" t="s">
        <v>411</v>
      </c>
      <c r="V7" s="67" t="s">
        <v>412</v>
      </c>
      <c r="W7" s="68" t="s">
        <v>413</v>
      </c>
      <c r="X7" s="69" t="s">
        <v>414</v>
      </c>
    </row>
    <row r="8" spans="1:24" ht="19">
      <c r="A8" s="70" t="s">
        <v>65</v>
      </c>
      <c r="B8" s="71"/>
      <c r="C8" s="72">
        <f>Table410016115911211512023121[[#This Row],[1990]]-Table410016115911211512023121[[#This Row],[1986]]</f>
        <v>0</v>
      </c>
      <c r="D8" s="71"/>
      <c r="E8" s="72">
        <f>Table410016115911211512023121[[#This Row],[1994]]-Table410016115911211512023121[[#This Row],[1990]]</f>
        <v>0</v>
      </c>
      <c r="F8" s="71"/>
      <c r="G8" s="72">
        <f>Table410016115911211512023121[[#This Row],[1998]]-Table410016115911211512023121[[#This Row],[1994]]</f>
        <v>0</v>
      </c>
      <c r="H8" s="71"/>
      <c r="I8" s="72">
        <f>Table410016115911211512023121[[#This Row],[2002]]-Table410016115911211512023121[[#This Row],[1998]]</f>
        <v>0</v>
      </c>
      <c r="J8" s="71"/>
      <c r="K8" s="72">
        <f>Table410016115911211512023121[[#This Row],[2006]]-Table410016115911211512023121[[#This Row],[2002]]</f>
        <v>0</v>
      </c>
      <c r="L8" s="71"/>
      <c r="M8" s="72">
        <f>Table410016115911211512023121[[#This Row],[2010]]-Table410016115911211512023121[[#This Row],[2006]]</f>
        <v>0</v>
      </c>
      <c r="N8" s="71"/>
      <c r="O8" s="72">
        <f>Table410016115911211512023121[[#This Row],[2014]]-Table410016115911211512023121[[#This Row],[2010]]</f>
        <v>0</v>
      </c>
      <c r="P8" s="71"/>
      <c r="Q8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8" s="75">
        <v>8</v>
      </c>
      <c r="T8" s="9">
        <f>R9</f>
        <v>57</v>
      </c>
      <c r="U8" s="9">
        <f>R19</f>
        <v>151</v>
      </c>
      <c r="V8" s="9">
        <f>R25</f>
        <v>49</v>
      </c>
      <c r="W8" s="9">
        <f>R30</f>
        <v>179</v>
      </c>
      <c r="X8" s="9">
        <f>R34</f>
        <v>77</v>
      </c>
    </row>
    <row r="9" spans="1:24" ht="19">
      <c r="A9" s="78" t="s">
        <v>410</v>
      </c>
      <c r="B9" s="79">
        <f>SUM(B3:B8)</f>
        <v>0</v>
      </c>
      <c r="C9" s="79">
        <f>Table410016115911211512023121[[#This Row],[1990]]-Table410016115911211512023121[[#This Row],[1986]]</f>
        <v>0</v>
      </c>
      <c r="D9" s="79">
        <f>SUM(D3:D8)</f>
        <v>0</v>
      </c>
      <c r="E9" s="80">
        <f>Table410016115911211512023121[[#This Row],[1994]]-Table410016115911211512023121[[#This Row],[1990]]</f>
        <v>0</v>
      </c>
      <c r="F9" s="79">
        <f>SUM(F3:F8)</f>
        <v>0</v>
      </c>
      <c r="G9" s="80">
        <f>Table410016115911211512023121[[#This Row],[1998]]-Table410016115911211512023121[[#This Row],[1994]]</f>
        <v>0</v>
      </c>
      <c r="H9" s="79">
        <f>SUM(H3:H8)</f>
        <v>0</v>
      </c>
      <c r="I9" s="80">
        <f>Table410016115911211512023121[[#This Row],[2002]]-Table410016115911211512023121[[#This Row],[1998]]</f>
        <v>0</v>
      </c>
      <c r="J9" s="79">
        <f>SUM(J3:J8)</f>
        <v>0</v>
      </c>
      <c r="K9" s="80">
        <f>Table410016115911211512023121[[#This Row],[2006]]-Table410016115911211512023121[[#This Row],[2002]]</f>
        <v>1</v>
      </c>
      <c r="L9" s="79">
        <f>SUM(L3:L8)</f>
        <v>1</v>
      </c>
      <c r="M9" s="80">
        <f>Table410016115911211512023121[[#This Row],[2010]]-Table410016115911211512023121[[#This Row],[2006]]</f>
        <v>1</v>
      </c>
      <c r="N9" s="79">
        <f>SUM(N3:N8)</f>
        <v>2</v>
      </c>
      <c r="O9" s="80">
        <f>Table410016115911211512023121[[#This Row],[2014]]-Table410016115911211512023121[[#This Row],[2010]]</f>
        <v>-2</v>
      </c>
      <c r="P9" s="79">
        <f>SUM(P3:P8)</f>
        <v>0</v>
      </c>
      <c r="Q9" s="81">
        <f>SUM(Q3:Q8)</f>
        <v>3</v>
      </c>
      <c r="R9" s="82">
        <v>57</v>
      </c>
      <c r="T9" s="44">
        <f>(Table410016115911211512023121[[#This Row],[2014]]/T8)*100</f>
        <v>0</v>
      </c>
      <c r="U9" s="44">
        <f>(P19/U8)*100</f>
        <v>0.66225165562913912</v>
      </c>
      <c r="V9" s="44">
        <f>(P25/V8)*100</f>
        <v>0</v>
      </c>
      <c r="W9" s="44">
        <f>(P30/W8)*100</f>
        <v>2.7932960893854748</v>
      </c>
      <c r="X9" s="44">
        <f>(P34/X8)*100</f>
        <v>1.2987012987012987</v>
      </c>
    </row>
    <row r="10" spans="1:24" ht="19">
      <c r="A10" s="70" t="s">
        <v>108</v>
      </c>
      <c r="B10" s="71"/>
      <c r="C10" s="72">
        <f>Table410016115911211512023121[[#This Row],[1990]]-Table410016115911211512023121[[#This Row],[1986]]</f>
        <v>0</v>
      </c>
      <c r="D10" s="71"/>
      <c r="E10" s="72">
        <f>Table410016115911211512023121[[#This Row],[1994]]-Table410016115911211512023121[[#This Row],[1990]]</f>
        <v>0</v>
      </c>
      <c r="F10" s="71"/>
      <c r="G10" s="72">
        <f>Table410016115911211512023121[[#This Row],[1998]]-Table410016115911211512023121[[#This Row],[1994]]</f>
        <v>0</v>
      </c>
      <c r="H10" s="71"/>
      <c r="I10" s="72">
        <f>Table410016115911211512023121[[#This Row],[2002]]-Table410016115911211512023121[[#This Row],[1998]]</f>
        <v>0</v>
      </c>
      <c r="J10" s="71"/>
      <c r="K10" s="72">
        <f>Table410016115911211512023121[[#This Row],[2006]]-Table410016115911211512023121[[#This Row],[2002]]</f>
        <v>0</v>
      </c>
      <c r="L10" s="71"/>
      <c r="M10" s="72">
        <f>Table410016115911211512023121[[#This Row],[2010]]-Table410016115911211512023121[[#This Row],[2006]]</f>
        <v>0</v>
      </c>
      <c r="N10" s="71"/>
      <c r="O10" s="72">
        <f>Table410016115911211512023121[[#This Row],[2014]]-Table410016115911211512023121[[#This Row],[2010]]</f>
        <v>0</v>
      </c>
      <c r="P10" s="71"/>
      <c r="Q10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10" s="75">
        <v>9</v>
      </c>
    </row>
    <row r="11" spans="1:24" ht="19">
      <c r="A11" s="70" t="s">
        <v>101</v>
      </c>
      <c r="B11" s="71"/>
      <c r="C11" s="72">
        <f>Table410016115911211512023121[[#This Row],[1990]]-Table410016115911211512023121[[#This Row],[1986]]</f>
        <v>0</v>
      </c>
      <c r="D11" s="71"/>
      <c r="E11" s="72">
        <f>Table410016115911211512023121[[#This Row],[1994]]-Table410016115911211512023121[[#This Row],[1990]]</f>
        <v>0</v>
      </c>
      <c r="F11" s="71"/>
      <c r="G11" s="72">
        <f>Table410016115911211512023121[[#This Row],[1998]]-Table410016115911211512023121[[#This Row],[1994]]</f>
        <v>0</v>
      </c>
      <c r="H11" s="71"/>
      <c r="I11" s="72">
        <f>Table410016115911211512023121[[#This Row],[2002]]-Table410016115911211512023121[[#This Row],[1998]]</f>
        <v>1</v>
      </c>
      <c r="J11" s="71">
        <v>1</v>
      </c>
      <c r="K11" s="72">
        <f>Table410016115911211512023121[[#This Row],[2006]]-Table410016115911211512023121[[#This Row],[2002]]</f>
        <v>0</v>
      </c>
      <c r="L11" s="71">
        <v>1</v>
      </c>
      <c r="M11" s="72">
        <f>Table410016115911211512023121[[#This Row],[2010]]-Table410016115911211512023121[[#This Row],[2006]]</f>
        <v>-1</v>
      </c>
      <c r="N11" s="71"/>
      <c r="O11" s="72">
        <f>Table410016115911211512023121[[#This Row],[2014]]-Table410016115911211512023121[[#This Row],[2010]]</f>
        <v>0</v>
      </c>
      <c r="P11" s="71"/>
      <c r="Q11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2</v>
      </c>
      <c r="R11" s="75">
        <v>39</v>
      </c>
      <c r="T11" s="178" t="s">
        <v>416</v>
      </c>
      <c r="U11" s="178"/>
      <c r="V11" s="178"/>
      <c r="W11" s="178"/>
      <c r="X11" s="178"/>
    </row>
    <row r="12" spans="1:24" ht="19">
      <c r="A12" s="70" t="s">
        <v>99</v>
      </c>
      <c r="B12" s="71"/>
      <c r="C12" s="72">
        <f>Table410016115911211512023121[[#This Row],[1990]]-Table410016115911211512023121[[#This Row],[1986]]</f>
        <v>0</v>
      </c>
      <c r="D12" s="71"/>
      <c r="E12" s="72">
        <f>Table410016115911211512023121[[#This Row],[1994]]-Table410016115911211512023121[[#This Row],[1990]]</f>
        <v>0</v>
      </c>
      <c r="F12" s="71"/>
      <c r="G12" s="72">
        <f>Table410016115911211512023121[[#This Row],[1998]]-Table410016115911211512023121[[#This Row],[1994]]</f>
        <v>0</v>
      </c>
      <c r="H12" s="71"/>
      <c r="I12" s="72">
        <f>Table410016115911211512023121[[#This Row],[2002]]-Table410016115911211512023121[[#This Row],[1998]]</f>
        <v>0</v>
      </c>
      <c r="J12" s="71"/>
      <c r="K12" s="72">
        <f>Table410016115911211512023121[[#This Row],[2006]]-Table410016115911211512023121[[#This Row],[2002]]</f>
        <v>0</v>
      </c>
      <c r="L12" s="71"/>
      <c r="M12" s="72">
        <f>Table410016115911211512023121[[#This Row],[2010]]-Table410016115911211512023121[[#This Row],[2006]]</f>
        <v>0</v>
      </c>
      <c r="N12" s="71"/>
      <c r="O12" s="72">
        <f>Table410016115911211512023121[[#This Row],[2014]]-Table410016115911211512023121[[#This Row],[2010]]</f>
        <v>0</v>
      </c>
      <c r="P12" s="71"/>
      <c r="Q12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12" s="75">
        <v>22</v>
      </c>
      <c r="T12" s="65" t="s">
        <v>410</v>
      </c>
      <c r="U12" s="66" t="s">
        <v>411</v>
      </c>
      <c r="V12" s="67" t="s">
        <v>412</v>
      </c>
      <c r="W12" s="68" t="s">
        <v>413</v>
      </c>
      <c r="X12" s="69" t="s">
        <v>414</v>
      </c>
    </row>
    <row r="13" spans="1:24" ht="19">
      <c r="A13" s="70" t="s">
        <v>90</v>
      </c>
      <c r="B13" s="71"/>
      <c r="C13" s="72">
        <f>Table410016115911211512023121[[#This Row],[1990]]-Table410016115911211512023121[[#This Row],[1986]]</f>
        <v>0</v>
      </c>
      <c r="D13" s="71"/>
      <c r="E13" s="72">
        <f>Table410016115911211512023121[[#This Row],[1994]]-Table410016115911211512023121[[#This Row],[1990]]</f>
        <v>0</v>
      </c>
      <c r="F13" s="71"/>
      <c r="G13" s="72">
        <f>Table410016115911211512023121[[#This Row],[1998]]-Table410016115911211512023121[[#This Row],[1994]]</f>
        <v>0</v>
      </c>
      <c r="H13" s="71"/>
      <c r="I13" s="72">
        <f>Table410016115911211512023121[[#This Row],[2002]]-Table410016115911211512023121[[#This Row],[1998]]</f>
        <v>0</v>
      </c>
      <c r="J13" s="71"/>
      <c r="K13" s="72">
        <f>Table410016115911211512023121[[#This Row],[2006]]-Table410016115911211512023121[[#This Row],[2002]]</f>
        <v>1</v>
      </c>
      <c r="L13" s="71">
        <v>1</v>
      </c>
      <c r="M13" s="72">
        <f>Table410016115911211512023121[[#This Row],[2010]]-Table410016115911211512023121[[#This Row],[2006]]</f>
        <v>0</v>
      </c>
      <c r="N13" s="71">
        <v>1</v>
      </c>
      <c r="O13" s="72">
        <f>Table410016115911211512023121[[#This Row],[2014]]-Table410016115911211512023121[[#This Row],[2010]]</f>
        <v>0</v>
      </c>
      <c r="P13" s="71">
        <v>1</v>
      </c>
      <c r="Q13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3</v>
      </c>
      <c r="R13" s="75">
        <v>18</v>
      </c>
      <c r="T13" s="9">
        <f>R9</f>
        <v>57</v>
      </c>
      <c r="U13" s="9">
        <f>R19</f>
        <v>151</v>
      </c>
      <c r="V13" s="9">
        <f>R25</f>
        <v>49</v>
      </c>
      <c r="W13" s="9">
        <f>R30</f>
        <v>179</v>
      </c>
      <c r="X13" s="9">
        <f>R34</f>
        <v>77</v>
      </c>
    </row>
    <row r="14" spans="1:24" ht="19">
      <c r="A14" s="70" t="s">
        <v>79</v>
      </c>
      <c r="B14" s="71"/>
      <c r="C14" s="72">
        <f>Table410016115911211512023121[[#This Row],[1990]]-Table410016115911211512023121[[#This Row],[1986]]</f>
        <v>0</v>
      </c>
      <c r="D14" s="71"/>
      <c r="E14" s="72">
        <f>Table410016115911211512023121[[#This Row],[1994]]-Table410016115911211512023121[[#This Row],[1990]]</f>
        <v>0</v>
      </c>
      <c r="F14" s="71"/>
      <c r="G14" s="72">
        <f>Table410016115911211512023121[[#This Row],[1998]]-Table410016115911211512023121[[#This Row],[1994]]</f>
        <v>0</v>
      </c>
      <c r="H14" s="71"/>
      <c r="I14" s="72">
        <f>Table410016115911211512023121[[#This Row],[2002]]-Table410016115911211512023121[[#This Row],[1998]]</f>
        <v>0</v>
      </c>
      <c r="J14" s="71"/>
      <c r="K14" s="72">
        <f>Table410016115911211512023121[[#This Row],[2006]]-Table410016115911211512023121[[#This Row],[2002]]</f>
        <v>0</v>
      </c>
      <c r="L14" s="71"/>
      <c r="M14" s="72">
        <f>Table410016115911211512023121[[#This Row],[2010]]-Table410016115911211512023121[[#This Row],[2006]]</f>
        <v>0</v>
      </c>
      <c r="N14" s="71"/>
      <c r="O14" s="72">
        <f>Table410016115911211512023121[[#This Row],[2014]]-Table410016115911211512023121[[#This Row],[2010]]</f>
        <v>0</v>
      </c>
      <c r="P14" s="71"/>
      <c r="Q14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14" s="75">
        <v>12</v>
      </c>
      <c r="T14" s="44">
        <f>(N9/T13)*100</f>
        <v>3.5087719298245612</v>
      </c>
      <c r="U14" s="44">
        <f>(N19/U13)*100</f>
        <v>1.3245033112582782</v>
      </c>
      <c r="V14" s="44">
        <f>(N25/V13)*100</f>
        <v>0</v>
      </c>
      <c r="W14" s="44">
        <f>(N30/W13)*100</f>
        <v>5.027932960893855</v>
      </c>
      <c r="X14" s="44">
        <f>(N34/X13)*100</f>
        <v>1.2987012987012987</v>
      </c>
    </row>
    <row r="15" spans="1:24" ht="19">
      <c r="A15" s="70" t="s">
        <v>77</v>
      </c>
      <c r="B15" s="71"/>
      <c r="C15" s="72">
        <f>Table410016115911211512023121[[#This Row],[1990]]-Table410016115911211512023121[[#This Row],[1986]]</f>
        <v>0</v>
      </c>
      <c r="D15" s="71"/>
      <c r="E15" s="72">
        <f>Table410016115911211512023121[[#This Row],[1994]]-Table410016115911211512023121[[#This Row],[1990]]</f>
        <v>0</v>
      </c>
      <c r="F15" s="71"/>
      <c r="G15" s="72">
        <f>Table410016115911211512023121[[#This Row],[1998]]-Table410016115911211512023121[[#This Row],[1994]]</f>
        <v>0</v>
      </c>
      <c r="H15" s="71"/>
      <c r="I15" s="72">
        <f>Table410016115911211512023121[[#This Row],[2002]]-Table410016115911211512023121[[#This Row],[1998]]</f>
        <v>0</v>
      </c>
      <c r="J15" s="71"/>
      <c r="K15" s="72">
        <f>Table410016115911211512023121[[#This Row],[2006]]-Table410016115911211512023121[[#This Row],[2002]]</f>
        <v>0</v>
      </c>
      <c r="L15" s="71"/>
      <c r="M15" s="72">
        <f>Table410016115911211512023121[[#This Row],[2010]]-Table410016115911211512023121[[#This Row],[2006]]</f>
        <v>0</v>
      </c>
      <c r="N15" s="71"/>
      <c r="O15" s="72">
        <f>Table410016115911211512023121[[#This Row],[2014]]-Table410016115911211512023121[[#This Row],[2010]]</f>
        <v>0</v>
      </c>
      <c r="P15" s="71"/>
      <c r="Q15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15" s="75">
        <v>25</v>
      </c>
    </row>
    <row r="16" spans="1:24" ht="19">
      <c r="A16" s="70" t="s">
        <v>75</v>
      </c>
      <c r="B16" s="72"/>
      <c r="C16" s="72">
        <f>Table410016115911211512023121[[#This Row],[1990]]-Table410016115911211512023121[[#This Row],[1986]]</f>
        <v>0</v>
      </c>
      <c r="D16" s="72"/>
      <c r="E16" s="72">
        <f>Table410016115911211512023121[[#This Row],[1994]]-Table410016115911211512023121[[#This Row],[1990]]</f>
        <v>0</v>
      </c>
      <c r="F16" s="72"/>
      <c r="G16" s="72">
        <f>Table410016115911211512023121[[#This Row],[1998]]-Table410016115911211512023121[[#This Row],[1994]]</f>
        <v>0</v>
      </c>
      <c r="H16" s="72"/>
      <c r="I16" s="72">
        <f>Table410016115911211512023121[[#This Row],[2002]]-Table410016115911211512023121[[#This Row],[1998]]</f>
        <v>0</v>
      </c>
      <c r="J16" s="72"/>
      <c r="K16" s="72">
        <f>Table410016115911211512023121[[#This Row],[2006]]-Table410016115911211512023121[[#This Row],[2002]]</f>
        <v>0</v>
      </c>
      <c r="L16" s="72"/>
      <c r="M16" s="72">
        <f>Table410016115911211512023121[[#This Row],[2010]]-Table410016115911211512023121[[#This Row],[2006]]</f>
        <v>0</v>
      </c>
      <c r="N16" s="72"/>
      <c r="O16" s="72">
        <f>Table410016115911211512023121[[#This Row],[2014]]-Table410016115911211512023121[[#This Row],[2010]]</f>
        <v>0</v>
      </c>
      <c r="P16" s="72"/>
      <c r="Q16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16" s="75">
        <v>10</v>
      </c>
      <c r="T16" s="178" t="s">
        <v>417</v>
      </c>
      <c r="U16" s="178"/>
      <c r="V16" s="178"/>
      <c r="W16" s="178"/>
      <c r="X16" s="178"/>
    </row>
    <row r="17" spans="1:24" ht="19">
      <c r="A17" s="70" t="s">
        <v>69</v>
      </c>
      <c r="B17" s="71"/>
      <c r="C17" s="72">
        <f>Table410016115911211512023121[[#This Row],[1990]]-Table410016115911211512023121[[#This Row],[1986]]</f>
        <v>0</v>
      </c>
      <c r="D17" s="71"/>
      <c r="E17" s="72">
        <f>Table410016115911211512023121[[#This Row],[1994]]-Table410016115911211512023121[[#This Row],[1990]]</f>
        <v>0</v>
      </c>
      <c r="F17" s="71"/>
      <c r="G17" s="72">
        <f>Table410016115911211512023121[[#This Row],[1998]]-Table410016115911211512023121[[#This Row],[1994]]</f>
        <v>0</v>
      </c>
      <c r="H17" s="71"/>
      <c r="I17" s="72">
        <f>Table410016115911211512023121[[#This Row],[2002]]-Table410016115911211512023121[[#This Row],[1998]]</f>
        <v>0</v>
      </c>
      <c r="J17" s="71"/>
      <c r="K17" s="72">
        <f>Table410016115911211512023121[[#This Row],[2006]]-Table410016115911211512023121[[#This Row],[2002]]</f>
        <v>0</v>
      </c>
      <c r="L17" s="71"/>
      <c r="M17" s="72">
        <f>Table410016115911211512023121[[#This Row],[2010]]-Table410016115911211512023121[[#This Row],[2006]]</f>
        <v>1</v>
      </c>
      <c r="N17" s="71">
        <v>1</v>
      </c>
      <c r="O17" s="72">
        <f>Table410016115911211512023121[[#This Row],[2014]]-Table410016115911211512023121[[#This Row],[2010]]</f>
        <v>-1</v>
      </c>
      <c r="P17" s="71"/>
      <c r="Q17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1</v>
      </c>
      <c r="R17" s="75">
        <v>8</v>
      </c>
      <c r="T17" s="65" t="s">
        <v>410</v>
      </c>
      <c r="U17" s="66" t="s">
        <v>411</v>
      </c>
      <c r="V17" s="67" t="s">
        <v>412</v>
      </c>
      <c r="W17" s="68" t="s">
        <v>413</v>
      </c>
      <c r="X17" s="69" t="s">
        <v>414</v>
      </c>
    </row>
    <row r="18" spans="1:24" ht="19">
      <c r="A18" s="70" t="s">
        <v>56</v>
      </c>
      <c r="B18" s="71"/>
      <c r="C18" s="72">
        <f>Table410016115911211512023121[[#This Row],[1990]]-Table410016115911211512023121[[#This Row],[1986]]</f>
        <v>0</v>
      </c>
      <c r="D18" s="71"/>
      <c r="E18" s="72">
        <f>Table410016115911211512023121[[#This Row],[1994]]-Table410016115911211512023121[[#This Row],[1990]]</f>
        <v>0</v>
      </c>
      <c r="F18" s="71"/>
      <c r="G18" s="72">
        <f>Table410016115911211512023121[[#This Row],[1998]]-Table410016115911211512023121[[#This Row],[1994]]</f>
        <v>0</v>
      </c>
      <c r="H18" s="71"/>
      <c r="I18" s="72">
        <f>Table410016115911211512023121[[#This Row],[2002]]-Table410016115911211512023121[[#This Row],[1998]]</f>
        <v>0</v>
      </c>
      <c r="J18" s="71"/>
      <c r="K18" s="72">
        <f>Table410016115911211512023121[[#This Row],[2006]]-Table410016115911211512023121[[#This Row],[2002]]</f>
        <v>0</v>
      </c>
      <c r="L18" s="71"/>
      <c r="M18" s="72">
        <f>Table410016115911211512023121[[#This Row],[2010]]-Table410016115911211512023121[[#This Row],[2006]]</f>
        <v>0</v>
      </c>
      <c r="N18" s="71"/>
      <c r="O18" s="72">
        <f>Table410016115911211512023121[[#This Row],[2014]]-Table410016115911211512023121[[#This Row],[2010]]</f>
        <v>0</v>
      </c>
      <c r="P18" s="71"/>
      <c r="Q18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18" s="75">
        <v>8</v>
      </c>
      <c r="T18" s="9">
        <f>R9</f>
        <v>57</v>
      </c>
      <c r="U18" s="9">
        <f>R19</f>
        <v>151</v>
      </c>
      <c r="V18" s="9">
        <f>R25</f>
        <v>49</v>
      </c>
      <c r="W18" s="9">
        <f>R30</f>
        <v>179</v>
      </c>
      <c r="X18" s="9">
        <f>R34</f>
        <v>77</v>
      </c>
    </row>
    <row r="19" spans="1:24" ht="19">
      <c r="A19" s="83" t="s">
        <v>411</v>
      </c>
      <c r="B19" s="84">
        <f>SUM(B10:B18)</f>
        <v>0</v>
      </c>
      <c r="C19" s="84">
        <f>Table410016115911211512023121[[#This Row],[1990]]-Table410016115911211512023121[[#This Row],[1986]]</f>
        <v>0</v>
      </c>
      <c r="D19" s="84">
        <f>SUM(D10:D18)</f>
        <v>0</v>
      </c>
      <c r="E19" s="80">
        <f>Table410016115911211512023121[[#This Row],[1994]]-Table410016115911211512023121[[#This Row],[1990]]</f>
        <v>0</v>
      </c>
      <c r="F19" s="84">
        <f>SUM(F10:F18)</f>
        <v>0</v>
      </c>
      <c r="G19" s="80">
        <f>Table410016115911211512023121[[#This Row],[1998]]-Table410016115911211512023121[[#This Row],[1994]]</f>
        <v>0</v>
      </c>
      <c r="H19" s="84">
        <f>SUM(H10:H18)</f>
        <v>0</v>
      </c>
      <c r="I19" s="80">
        <f>Table410016115911211512023121[[#This Row],[2002]]-Table410016115911211512023121[[#This Row],[1998]]</f>
        <v>1</v>
      </c>
      <c r="J19" s="84">
        <f>SUM(J10:J18)</f>
        <v>1</v>
      </c>
      <c r="K19" s="80">
        <f>Table410016115911211512023121[[#This Row],[2006]]-Table410016115911211512023121[[#This Row],[2002]]</f>
        <v>1</v>
      </c>
      <c r="L19" s="84">
        <f>SUM(L10:L18)</f>
        <v>2</v>
      </c>
      <c r="M19" s="80">
        <f>Table410016115911211512023121[[#This Row],[2010]]-Table410016115911211512023121[[#This Row],[2006]]</f>
        <v>0</v>
      </c>
      <c r="N19" s="84">
        <f>SUM(N10:N18)</f>
        <v>2</v>
      </c>
      <c r="O19" s="80">
        <f>Table410016115911211512023121[[#This Row],[2014]]-Table410016115911211512023121[[#This Row],[2010]]</f>
        <v>-1</v>
      </c>
      <c r="P19" s="84">
        <f>SUM(P10:P18)</f>
        <v>1</v>
      </c>
      <c r="Q19" s="85">
        <f>SUM(Q10:Q18)</f>
        <v>6</v>
      </c>
      <c r="R19" s="43">
        <v>151</v>
      </c>
      <c r="T19" s="44">
        <f>(L9/T18)*100</f>
        <v>1.7543859649122806</v>
      </c>
      <c r="U19" s="44">
        <f>(L19/U18)*100</f>
        <v>1.3245033112582782</v>
      </c>
      <c r="V19" s="44">
        <f>(L25/V18)*100</f>
        <v>0</v>
      </c>
      <c r="W19" s="44">
        <f>(L30/W18)*100</f>
        <v>5.5865921787709496</v>
      </c>
      <c r="X19" s="44">
        <f>(L34/X18)*100</f>
        <v>0</v>
      </c>
    </row>
    <row r="20" spans="1:24" ht="19">
      <c r="A20" s="70" t="s">
        <v>97</v>
      </c>
      <c r="B20" s="71"/>
      <c r="C20" s="72">
        <f>Table410016115911211512023121[[#This Row],[1990]]-Table410016115911211512023121[[#This Row],[1986]]</f>
        <v>0</v>
      </c>
      <c r="D20" s="71"/>
      <c r="E20" s="72">
        <f>Table410016115911211512023121[[#This Row],[1994]]-Table410016115911211512023121[[#This Row],[1990]]</f>
        <v>0</v>
      </c>
      <c r="F20" s="71"/>
      <c r="G20" s="72">
        <f>Table410016115911211512023121[[#This Row],[1998]]-Table410016115911211512023121[[#This Row],[1994]]</f>
        <v>0</v>
      </c>
      <c r="H20" s="71"/>
      <c r="I20" s="72">
        <f>Table410016115911211512023121[[#This Row],[2002]]-Table410016115911211512023121[[#This Row],[1998]]</f>
        <v>0</v>
      </c>
      <c r="J20" s="71"/>
      <c r="K20" s="72">
        <f>Table410016115911211512023121[[#This Row],[2006]]-Table410016115911211512023121[[#This Row],[2002]]</f>
        <v>0</v>
      </c>
      <c r="L20" s="71"/>
      <c r="M20" s="72">
        <f>Table410016115911211512023121[[#This Row],[2010]]-Table410016115911211512023121[[#This Row],[2006]]</f>
        <v>0</v>
      </c>
      <c r="N20" s="71"/>
      <c r="O20" s="72">
        <f>Table410016115911211512023121[[#This Row],[2014]]-Table410016115911211512023121[[#This Row],[2010]]</f>
        <v>0</v>
      </c>
      <c r="P20" s="71"/>
      <c r="Q20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20" s="75">
        <v>8</v>
      </c>
    </row>
    <row r="21" spans="1:24" ht="19">
      <c r="A21" s="86" t="s">
        <v>94</v>
      </c>
      <c r="B21" s="87"/>
      <c r="C21" s="72">
        <f>Table410016115911211512023121[[#This Row],[1990]]-Table410016115911211512023121[[#This Row],[1986]]</f>
        <v>0</v>
      </c>
      <c r="D21" s="87"/>
      <c r="E21" s="72">
        <f>Table410016115911211512023121[[#This Row],[1994]]-Table410016115911211512023121[[#This Row],[1990]]</f>
        <v>0</v>
      </c>
      <c r="F21" s="87"/>
      <c r="G21" s="72">
        <f>Table410016115911211512023121[[#This Row],[1998]]-Table410016115911211512023121[[#This Row],[1994]]</f>
        <v>0</v>
      </c>
      <c r="H21" s="87"/>
      <c r="I21" s="72">
        <f>Table410016115911211512023121[[#This Row],[2002]]-Table410016115911211512023121[[#This Row],[1998]]</f>
        <v>0</v>
      </c>
      <c r="J21" s="87"/>
      <c r="K21" s="72">
        <f>Table410016115911211512023121[[#This Row],[2006]]-Table410016115911211512023121[[#This Row],[2002]]</f>
        <v>0</v>
      </c>
      <c r="L21" s="87"/>
      <c r="M21" s="72">
        <f>Table410016115911211512023121[[#This Row],[2010]]-Table410016115911211512023121[[#This Row],[2006]]</f>
        <v>0</v>
      </c>
      <c r="N21" s="87"/>
      <c r="O21" s="72">
        <f>Table410016115911211512023121[[#This Row],[2014]]-Table410016115911211512023121[[#This Row],[2010]]</f>
        <v>0</v>
      </c>
      <c r="P21" s="87"/>
      <c r="Q21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21" s="75">
        <v>17</v>
      </c>
      <c r="T21" s="178" t="s">
        <v>418</v>
      </c>
      <c r="U21" s="178"/>
      <c r="V21" s="178"/>
      <c r="W21" s="178"/>
      <c r="X21" s="178"/>
    </row>
    <row r="22" spans="1:24" ht="19">
      <c r="A22" s="88" t="s">
        <v>85</v>
      </c>
      <c r="B22" s="87"/>
      <c r="C22" s="72">
        <f>Table410016115911211512023121[[#This Row],[1990]]-Table410016115911211512023121[[#This Row],[1986]]</f>
        <v>0</v>
      </c>
      <c r="D22" s="87"/>
      <c r="E22" s="72">
        <f>Table410016115911211512023121[[#This Row],[1994]]-Table410016115911211512023121[[#This Row],[1990]]</f>
        <v>0</v>
      </c>
      <c r="F22" s="87"/>
      <c r="G22" s="72">
        <f>Table410016115911211512023121[[#This Row],[1998]]-Table410016115911211512023121[[#This Row],[1994]]</f>
        <v>0</v>
      </c>
      <c r="H22" s="87"/>
      <c r="I22" s="72">
        <f>Table410016115911211512023121[[#This Row],[2002]]-Table410016115911211512023121[[#This Row],[1998]]</f>
        <v>0</v>
      </c>
      <c r="J22" s="87"/>
      <c r="K22" s="72">
        <f>Table410016115911211512023121[[#This Row],[2006]]-Table410016115911211512023121[[#This Row],[2002]]</f>
        <v>0</v>
      </c>
      <c r="L22" s="87"/>
      <c r="M22" s="72">
        <f>Table410016115911211512023121[[#This Row],[2010]]-Table410016115911211512023121[[#This Row],[2006]]</f>
        <v>0</v>
      </c>
      <c r="N22" s="87"/>
      <c r="O22" s="72">
        <f>Table410016115911211512023121[[#This Row],[2014]]-Table410016115911211512023121[[#This Row],[2010]]</f>
        <v>0</v>
      </c>
      <c r="P22" s="87"/>
      <c r="Q22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22" s="75">
        <v>8</v>
      </c>
      <c r="T22" s="65" t="s">
        <v>410</v>
      </c>
      <c r="U22" s="66" t="s">
        <v>411</v>
      </c>
      <c r="V22" s="67" t="s">
        <v>412</v>
      </c>
      <c r="W22" s="68" t="s">
        <v>413</v>
      </c>
      <c r="X22" s="69" t="s">
        <v>414</v>
      </c>
    </row>
    <row r="23" spans="1:24" ht="19">
      <c r="A23" s="88" t="s">
        <v>83</v>
      </c>
      <c r="B23" s="87"/>
      <c r="C23" s="72">
        <f>Table410016115911211512023121[[#This Row],[1990]]-Table410016115911211512023121[[#This Row],[1986]]</f>
        <v>0</v>
      </c>
      <c r="D23" s="87"/>
      <c r="E23" s="72">
        <f>Table410016115911211512023121[[#This Row],[1994]]-Table410016115911211512023121[[#This Row],[1990]]</f>
        <v>0</v>
      </c>
      <c r="F23" s="87"/>
      <c r="G23" s="72">
        <f>Table410016115911211512023121[[#This Row],[1998]]-Table410016115911211512023121[[#This Row],[1994]]</f>
        <v>0</v>
      </c>
      <c r="H23" s="87"/>
      <c r="I23" s="72">
        <f>Table410016115911211512023121[[#This Row],[2002]]-Table410016115911211512023121[[#This Row],[1998]]</f>
        <v>0</v>
      </c>
      <c r="J23" s="87"/>
      <c r="K23" s="72">
        <f>Table410016115911211512023121[[#This Row],[2006]]-Table410016115911211512023121[[#This Row],[2002]]</f>
        <v>0</v>
      </c>
      <c r="L23" s="87"/>
      <c r="M23" s="72">
        <f>Table410016115911211512023121[[#This Row],[2010]]-Table410016115911211512023121[[#This Row],[2006]]</f>
        <v>0</v>
      </c>
      <c r="N23" s="87"/>
      <c r="O23" s="72">
        <f>Table410016115911211512023121[[#This Row],[2014]]-Table410016115911211512023121[[#This Row],[2010]]</f>
        <v>0</v>
      </c>
      <c r="P23" s="87"/>
      <c r="Q23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23" s="75">
        <v>8</v>
      </c>
      <c r="T23" s="9">
        <f>R9</f>
        <v>57</v>
      </c>
      <c r="U23" s="9">
        <f>R19</f>
        <v>151</v>
      </c>
      <c r="V23" s="9">
        <f>R25</f>
        <v>49</v>
      </c>
      <c r="W23" s="9">
        <f>R30</f>
        <v>179</v>
      </c>
      <c r="X23" s="9">
        <f>R34</f>
        <v>77</v>
      </c>
    </row>
    <row r="24" spans="1:24" ht="19">
      <c r="A24" s="88" t="s">
        <v>52</v>
      </c>
      <c r="B24" s="71"/>
      <c r="C24" s="72">
        <f>Table410016115911211512023121[[#This Row],[1990]]-Table410016115911211512023121[[#This Row],[1986]]</f>
        <v>0</v>
      </c>
      <c r="D24" s="71"/>
      <c r="E24" s="72">
        <f>Table410016115911211512023121[[#This Row],[1994]]-Table410016115911211512023121[[#This Row],[1990]]</f>
        <v>0</v>
      </c>
      <c r="F24" s="71"/>
      <c r="G24" s="72">
        <f>Table410016115911211512023121[[#This Row],[1998]]-Table410016115911211512023121[[#This Row],[1994]]</f>
        <v>0</v>
      </c>
      <c r="H24" s="71"/>
      <c r="I24" s="72">
        <f>Table410016115911211512023121[[#This Row],[2002]]-Table410016115911211512023121[[#This Row],[1998]]</f>
        <v>0</v>
      </c>
      <c r="J24" s="71"/>
      <c r="K24" s="72">
        <f>Table410016115911211512023121[[#This Row],[2006]]-Table410016115911211512023121[[#This Row],[2002]]</f>
        <v>0</v>
      </c>
      <c r="L24" s="71"/>
      <c r="M24" s="72">
        <f>Table410016115911211512023121[[#This Row],[2010]]-Table410016115911211512023121[[#This Row],[2006]]</f>
        <v>0</v>
      </c>
      <c r="N24" s="71"/>
      <c r="O24" s="72">
        <f>Table410016115911211512023121[[#This Row],[2014]]-Table410016115911211512023121[[#This Row],[2010]]</f>
        <v>0</v>
      </c>
      <c r="P24" s="71"/>
      <c r="Q24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24" s="75">
        <v>8</v>
      </c>
      <c r="T24" s="44">
        <f>(J9/T23)*100</f>
        <v>0</v>
      </c>
      <c r="U24" s="44">
        <f>(J19/U23)*100</f>
        <v>0.66225165562913912</v>
      </c>
      <c r="V24" s="44">
        <f>(J25/V23)*100</f>
        <v>0</v>
      </c>
      <c r="W24" s="44">
        <f>(J30/W23)*100</f>
        <v>2.2346368715083798</v>
      </c>
      <c r="X24" s="44">
        <f>(J34/X23)*100</f>
        <v>0</v>
      </c>
    </row>
    <row r="25" spans="1:24" ht="19">
      <c r="A25" s="89" t="s">
        <v>412</v>
      </c>
      <c r="B25" s="79">
        <f>SUM(B20:B24)</f>
        <v>0</v>
      </c>
      <c r="C25" s="79">
        <f>Table410016115911211512023121[[#This Row],[1990]]-Table410016115911211512023121[[#This Row],[1986]]</f>
        <v>0</v>
      </c>
      <c r="D25" s="79">
        <f>SUM(D20:D24)</f>
        <v>0</v>
      </c>
      <c r="E25" s="80">
        <f>Table410016115911211512023121[[#This Row],[1994]]-Table410016115911211512023121[[#This Row],[1990]]</f>
        <v>0</v>
      </c>
      <c r="F25" s="79">
        <f>SUM(F20:F24)</f>
        <v>0</v>
      </c>
      <c r="G25" s="80">
        <f>Table410016115911211512023121[[#This Row],[1998]]-Table410016115911211512023121[[#This Row],[1994]]</f>
        <v>0</v>
      </c>
      <c r="H25" s="79">
        <f>SUM(H20:H24)</f>
        <v>0</v>
      </c>
      <c r="I25" s="80">
        <f>Table410016115911211512023121[[#This Row],[2002]]-Table410016115911211512023121[[#This Row],[1998]]</f>
        <v>0</v>
      </c>
      <c r="J25" s="79">
        <f>SUM(J20:J24)</f>
        <v>0</v>
      </c>
      <c r="K25" s="80">
        <f>Table410016115911211512023121[[#This Row],[2006]]-Table410016115911211512023121[[#This Row],[2002]]</f>
        <v>0</v>
      </c>
      <c r="L25" s="79">
        <f>SUM(L20:L24)</f>
        <v>0</v>
      </c>
      <c r="M25" s="80">
        <f>Table410016115911211512023121[[#This Row],[2010]]-Table410016115911211512023121[[#This Row],[2006]]</f>
        <v>0</v>
      </c>
      <c r="N25" s="79">
        <f>SUM(N20:N24)</f>
        <v>0</v>
      </c>
      <c r="O25" s="80">
        <f>Table410016115911211512023121[[#This Row],[2014]]-Table410016115911211512023121[[#This Row],[2010]]</f>
        <v>0</v>
      </c>
      <c r="P25" s="79">
        <f>SUM(P20:P24)</f>
        <v>0</v>
      </c>
      <c r="Q25" s="90">
        <f>SUM(Q20:Q24)</f>
        <v>0</v>
      </c>
      <c r="R25" s="91">
        <v>49</v>
      </c>
    </row>
    <row r="26" spans="1:24" ht="19">
      <c r="A26" s="88" t="s">
        <v>95</v>
      </c>
      <c r="B26" s="71"/>
      <c r="C26" s="72">
        <f>Table410016115911211512023121[[#This Row],[1990]]-Table410016115911211512023121[[#This Row],[1986]]</f>
        <v>0</v>
      </c>
      <c r="D26" s="71"/>
      <c r="E26" s="72">
        <f>Table410016115911211512023121[[#This Row],[1994]]-Table410016115911211512023121[[#This Row],[1990]]</f>
        <v>0</v>
      </c>
      <c r="F26" s="71"/>
      <c r="G26" s="72">
        <f>Table410016115911211512023121[[#This Row],[1998]]-Table410016115911211512023121[[#This Row],[1994]]</f>
        <v>0</v>
      </c>
      <c r="H26" s="71"/>
      <c r="I26" s="72">
        <f>Table410016115911211512023121[[#This Row],[2002]]-Table410016115911211512023121[[#This Row],[1998]]</f>
        <v>0</v>
      </c>
      <c r="J26" s="71"/>
      <c r="K26" s="72">
        <f>Table410016115911211512023121[[#This Row],[2006]]-Table410016115911211512023121[[#This Row],[2002]]</f>
        <v>0</v>
      </c>
      <c r="L26" s="71"/>
      <c r="M26" s="72">
        <f>Table410016115911211512023121[[#This Row],[2010]]-Table410016115911211512023121[[#This Row],[2006]]</f>
        <v>0</v>
      </c>
      <c r="N26" s="71"/>
      <c r="O26" s="72">
        <f>Table410016115911211512023121[[#This Row],[2014]]-Table410016115911211512023121[[#This Row],[2010]]</f>
        <v>1</v>
      </c>
      <c r="P26" s="71">
        <v>1</v>
      </c>
      <c r="Q26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1</v>
      </c>
      <c r="R26" s="75">
        <v>10</v>
      </c>
      <c r="T26" s="178" t="s">
        <v>419</v>
      </c>
      <c r="U26" s="178"/>
      <c r="V26" s="178"/>
      <c r="W26" s="178"/>
      <c r="X26" s="178"/>
    </row>
    <row r="27" spans="1:24" ht="19">
      <c r="A27" s="88" t="s">
        <v>88</v>
      </c>
      <c r="B27" s="71"/>
      <c r="C27" s="72">
        <f>Table410016115911211512023121[[#This Row],[1990]]-Table410016115911211512023121[[#This Row],[1986]]</f>
        <v>0</v>
      </c>
      <c r="D27" s="71"/>
      <c r="E27" s="72">
        <f>Table410016115911211512023121[[#This Row],[1994]]-Table410016115911211512023121[[#This Row],[1990]]</f>
        <v>0</v>
      </c>
      <c r="F27" s="71"/>
      <c r="G27" s="72">
        <f>Table410016115911211512023121[[#This Row],[1998]]-Table410016115911211512023121[[#This Row],[1994]]</f>
        <v>0</v>
      </c>
      <c r="H27" s="71"/>
      <c r="I27" s="72">
        <f>Table410016115911211512023121[[#This Row],[2002]]-Table410016115911211512023121[[#This Row],[1998]]</f>
        <v>1</v>
      </c>
      <c r="J27" s="71">
        <v>1</v>
      </c>
      <c r="K27" s="72">
        <f>Table410016115911211512023121[[#This Row],[2006]]-Table410016115911211512023121[[#This Row],[2002]]</f>
        <v>3</v>
      </c>
      <c r="L27" s="71">
        <v>4</v>
      </c>
      <c r="M27" s="72">
        <f>Table410016115911211512023121[[#This Row],[2010]]-Table410016115911211512023121[[#This Row],[2006]]</f>
        <v>-2</v>
      </c>
      <c r="N27" s="71">
        <v>2</v>
      </c>
      <c r="O27" s="72">
        <f>Table410016115911211512023121[[#This Row],[2014]]-Table410016115911211512023121[[#This Row],[2010]]</f>
        <v>-1</v>
      </c>
      <c r="P27" s="71">
        <v>1</v>
      </c>
      <c r="Q27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8</v>
      </c>
      <c r="R27" s="75">
        <v>53</v>
      </c>
      <c r="T27" s="65" t="s">
        <v>410</v>
      </c>
      <c r="U27" s="66" t="s">
        <v>411</v>
      </c>
      <c r="V27" s="67" t="s">
        <v>412</v>
      </c>
      <c r="W27" s="68" t="s">
        <v>413</v>
      </c>
      <c r="X27" s="69" t="s">
        <v>414</v>
      </c>
    </row>
    <row r="28" spans="1:24" ht="19">
      <c r="A28" s="88" t="s">
        <v>72</v>
      </c>
      <c r="B28" s="71"/>
      <c r="C28" s="72">
        <f>Table410016115911211512023121[[#This Row],[1990]]-Table410016115911211512023121[[#This Row],[1986]]</f>
        <v>1</v>
      </c>
      <c r="D28" s="71">
        <v>1</v>
      </c>
      <c r="E28" s="72">
        <f>Table410016115911211512023121[[#This Row],[1994]]-Table410016115911211512023121[[#This Row],[1990]]</f>
        <v>0</v>
      </c>
      <c r="F28" s="71">
        <v>1</v>
      </c>
      <c r="G28" s="72">
        <f>Table410016115911211512023121[[#This Row],[1998]]-Table410016115911211512023121[[#This Row],[1994]]</f>
        <v>0</v>
      </c>
      <c r="H28" s="71">
        <v>1</v>
      </c>
      <c r="I28" s="72">
        <f>Table410016115911211512023121[[#This Row],[2002]]-Table410016115911211512023121[[#This Row],[1998]]</f>
        <v>0</v>
      </c>
      <c r="J28" s="71">
        <v>1</v>
      </c>
      <c r="K28" s="72">
        <f>Table410016115911211512023121[[#This Row],[2006]]-Table410016115911211512023121[[#This Row],[2002]]</f>
        <v>0</v>
      </c>
      <c r="L28" s="71">
        <v>1</v>
      </c>
      <c r="M28" s="72">
        <f>Table410016115911211512023121[[#This Row],[2010]]-Table410016115911211512023121[[#This Row],[2006]]</f>
        <v>1</v>
      </c>
      <c r="N28" s="71">
        <v>2</v>
      </c>
      <c r="O28" s="72">
        <f>Table410016115911211512023121[[#This Row],[2014]]-Table410016115911211512023121[[#This Row],[2010]]</f>
        <v>-2</v>
      </c>
      <c r="P28" s="71"/>
      <c r="Q28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7</v>
      </c>
      <c r="R28" s="75">
        <v>46</v>
      </c>
      <c r="T28" s="9">
        <f>R9</f>
        <v>57</v>
      </c>
      <c r="U28" s="9">
        <f>R19</f>
        <v>151</v>
      </c>
      <c r="V28" s="9">
        <f>R25</f>
        <v>49</v>
      </c>
      <c r="W28" s="9">
        <f>R30</f>
        <v>179</v>
      </c>
      <c r="X28" s="9">
        <f>R34</f>
        <v>77</v>
      </c>
    </row>
    <row r="29" spans="1:24" ht="19">
      <c r="A29" s="88" t="s">
        <v>54</v>
      </c>
      <c r="B29" s="71"/>
      <c r="C29" s="72">
        <f>Table410016115911211512023121[[#This Row],[1990]]-Table410016115911211512023121[[#This Row],[1986]]</f>
        <v>0</v>
      </c>
      <c r="D29" s="71"/>
      <c r="E29" s="72">
        <f>Table410016115911211512023121[[#This Row],[1994]]-Table410016115911211512023121[[#This Row],[1990]]</f>
        <v>0</v>
      </c>
      <c r="F29" s="71"/>
      <c r="G29" s="72">
        <f>Table410016115911211512023121[[#This Row],[1998]]-Table410016115911211512023121[[#This Row],[1994]]</f>
        <v>0</v>
      </c>
      <c r="H29" s="71"/>
      <c r="I29" s="72">
        <f>Table410016115911211512023121[[#This Row],[2002]]-Table410016115911211512023121[[#This Row],[1998]]</f>
        <v>2</v>
      </c>
      <c r="J29" s="71">
        <v>2</v>
      </c>
      <c r="K29" s="72">
        <f>Table410016115911211512023121[[#This Row],[2006]]-Table410016115911211512023121[[#This Row],[2002]]</f>
        <v>3</v>
      </c>
      <c r="L29" s="71">
        <v>5</v>
      </c>
      <c r="M29" s="72">
        <f>Table410016115911211512023121[[#This Row],[2010]]-Table410016115911211512023121[[#This Row],[2006]]</f>
        <v>0</v>
      </c>
      <c r="N29" s="71">
        <v>5</v>
      </c>
      <c r="O29" s="72">
        <f>Table410016115911211512023121[[#This Row],[2014]]-Table410016115911211512023121[[#This Row],[2010]]</f>
        <v>-2</v>
      </c>
      <c r="P29" s="71">
        <v>3</v>
      </c>
      <c r="Q29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15</v>
      </c>
      <c r="R29" s="75">
        <v>70</v>
      </c>
      <c r="T29" s="44">
        <f>(H9/T28)*100</f>
        <v>0</v>
      </c>
      <c r="U29" s="44">
        <f>(H19/U28)*100</f>
        <v>0</v>
      </c>
      <c r="V29" s="44">
        <f>(H25/V28)*100</f>
        <v>0</v>
      </c>
      <c r="W29" s="44">
        <f>(H30/W28)*100</f>
        <v>0.55865921787709494</v>
      </c>
      <c r="X29" s="44">
        <f>(H34/X28)*100</f>
        <v>0</v>
      </c>
    </row>
    <row r="30" spans="1:24" ht="19">
      <c r="A30" s="93" t="s">
        <v>413</v>
      </c>
      <c r="B30" s="79">
        <f>SUM(B26:B29)</f>
        <v>0</v>
      </c>
      <c r="C30" s="79">
        <f>Table410016115911211512023121[[#This Row],[1990]]-Table410016115911211512023121[[#This Row],[1986]]</f>
        <v>1</v>
      </c>
      <c r="D30" s="79">
        <f>SUM(D26:D29)</f>
        <v>1</v>
      </c>
      <c r="E30" s="80">
        <f>Table410016115911211512023121[[#This Row],[1994]]-Table410016115911211512023121[[#This Row],[1990]]</f>
        <v>0</v>
      </c>
      <c r="F30" s="79">
        <f>SUM(F26:F29)</f>
        <v>1</v>
      </c>
      <c r="G30" s="80">
        <f>Table410016115911211512023121[[#This Row],[1998]]-Table410016115911211512023121[[#This Row],[1994]]</f>
        <v>0</v>
      </c>
      <c r="H30" s="79">
        <f>SUM(H26:H29)</f>
        <v>1</v>
      </c>
      <c r="I30" s="80">
        <f>Table410016115911211512023121[[#This Row],[2002]]-Table410016115911211512023121[[#This Row],[1998]]</f>
        <v>3</v>
      </c>
      <c r="J30" s="79">
        <f>SUM(J26:J29)</f>
        <v>4</v>
      </c>
      <c r="K30" s="80">
        <f>Table410016115911211512023121[[#This Row],[2006]]-Table410016115911211512023121[[#This Row],[2002]]</f>
        <v>6</v>
      </c>
      <c r="L30" s="79">
        <f>SUM(L26:L29)</f>
        <v>10</v>
      </c>
      <c r="M30" s="80">
        <f>Table410016115911211512023121[[#This Row],[2010]]-Table410016115911211512023121[[#This Row],[2006]]</f>
        <v>-1</v>
      </c>
      <c r="N30" s="79">
        <f>SUM(N26:N29)</f>
        <v>9</v>
      </c>
      <c r="O30" s="80">
        <f>Table410016115911211512023121[[#This Row],[2014]]-Table410016115911211512023121[[#This Row],[2010]]</f>
        <v>-4</v>
      </c>
      <c r="P30" s="79">
        <f>SUM(P26:P29)</f>
        <v>5</v>
      </c>
      <c r="Q30" s="94">
        <f>SUM(Q26:Q29)</f>
        <v>31</v>
      </c>
      <c r="R30" s="95">
        <v>179</v>
      </c>
    </row>
    <row r="31" spans="1:24" ht="19">
      <c r="A31" s="88" t="s">
        <v>13</v>
      </c>
      <c r="B31" s="71"/>
      <c r="C31" s="72">
        <f>Table410016115911211512023121[[#This Row],[1990]]-Table410016115911211512023121[[#This Row],[1986]]</f>
        <v>0</v>
      </c>
      <c r="D31" s="71"/>
      <c r="E31" s="72">
        <f>Table410016115911211512023121[[#This Row],[1994]]-Table410016115911211512023121[[#This Row],[1990]]</f>
        <v>0</v>
      </c>
      <c r="F31" s="71"/>
      <c r="G31" s="72">
        <f>Table410016115911211512023121[[#This Row],[1998]]-Table410016115911211512023121[[#This Row],[1994]]</f>
        <v>0</v>
      </c>
      <c r="H31" s="71"/>
      <c r="I31" s="72">
        <f>Table410016115911211512023121[[#This Row],[2002]]-Table410016115911211512023121[[#This Row],[1998]]</f>
        <v>0</v>
      </c>
      <c r="J31" s="71"/>
      <c r="K31" s="72">
        <f>Table410016115911211512023121[[#This Row],[2006]]-Table410016115911211512023121[[#This Row],[2002]]</f>
        <v>0</v>
      </c>
      <c r="L31" s="71"/>
      <c r="M31" s="72">
        <f>Table410016115911211512023121[[#This Row],[2010]]-Table410016115911211512023121[[#This Row],[2006]]</f>
        <v>1</v>
      </c>
      <c r="N31" s="71">
        <v>1</v>
      </c>
      <c r="O31" s="72">
        <f>Table410016115911211512023121[[#This Row],[2014]]-Table410016115911211512023121[[#This Row],[2010]]</f>
        <v>0</v>
      </c>
      <c r="P31" s="71">
        <v>1</v>
      </c>
      <c r="Q31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2</v>
      </c>
      <c r="R31" s="75">
        <v>30</v>
      </c>
      <c r="T31" s="178" t="s">
        <v>421</v>
      </c>
      <c r="U31" s="178"/>
      <c r="V31" s="178"/>
      <c r="W31" s="178"/>
      <c r="X31" s="178"/>
    </row>
    <row r="32" spans="1:24" ht="19">
      <c r="A32" s="88" t="s">
        <v>62</v>
      </c>
      <c r="B32" s="72"/>
      <c r="C32" s="72">
        <f>Table410016115911211512023121[[#This Row],[1990]]-Table410016115911211512023121[[#This Row],[1986]]</f>
        <v>0</v>
      </c>
      <c r="D32" s="72"/>
      <c r="E32" s="72">
        <f>Table410016115911211512023121[[#This Row],[1994]]-Table410016115911211512023121[[#This Row],[1990]]</f>
        <v>0</v>
      </c>
      <c r="F32" s="72"/>
      <c r="G32" s="72">
        <f>Table410016115911211512023121[[#This Row],[1998]]-Table410016115911211512023121[[#This Row],[1994]]</f>
        <v>0</v>
      </c>
      <c r="H32" s="72"/>
      <c r="I32" s="72">
        <f>Table410016115911211512023121[[#This Row],[2002]]-Table410016115911211512023121[[#This Row],[1998]]</f>
        <v>0</v>
      </c>
      <c r="J32" s="72"/>
      <c r="K32" s="72">
        <f>Table410016115911211512023121[[#This Row],[2006]]-Table410016115911211512023121[[#This Row],[2002]]</f>
        <v>0</v>
      </c>
      <c r="L32" s="72"/>
      <c r="M32" s="72">
        <f>Table410016115911211512023121[[#This Row],[2010]]-Table410016115911211512023121[[#This Row],[2006]]</f>
        <v>0</v>
      </c>
      <c r="N32" s="72"/>
      <c r="O32" s="72">
        <f>Table410016115911211512023121[[#This Row],[2014]]-Table410016115911211512023121[[#This Row],[2010]]</f>
        <v>0</v>
      </c>
      <c r="P32" s="72"/>
      <c r="Q32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32" s="75">
        <v>31</v>
      </c>
      <c r="T32" s="65" t="s">
        <v>410</v>
      </c>
      <c r="U32" s="66" t="s">
        <v>411</v>
      </c>
      <c r="V32" s="67" t="s">
        <v>412</v>
      </c>
      <c r="W32" s="68" t="s">
        <v>413</v>
      </c>
      <c r="X32" s="69" t="s">
        <v>414</v>
      </c>
    </row>
    <row r="33" spans="1:24" ht="19">
      <c r="A33" s="88" t="s">
        <v>60</v>
      </c>
      <c r="B33" s="71"/>
      <c r="C33" s="72">
        <f>Table410016115911211512023121[[#This Row],[1990]]-Table410016115911211512023121[[#This Row],[1986]]</f>
        <v>0</v>
      </c>
      <c r="D33" s="71"/>
      <c r="E33" s="72">
        <f>Table410016115911211512023121[[#This Row],[1994]]-Table410016115911211512023121[[#This Row],[1990]]</f>
        <v>0</v>
      </c>
      <c r="F33" s="71"/>
      <c r="G33" s="72">
        <f>Table410016115911211512023121[[#This Row],[1998]]-Table410016115911211512023121[[#This Row],[1994]]</f>
        <v>0</v>
      </c>
      <c r="H33" s="71"/>
      <c r="I33" s="72">
        <f>Table410016115911211512023121[[#This Row],[2002]]-Table410016115911211512023121[[#This Row],[1998]]</f>
        <v>0</v>
      </c>
      <c r="J33" s="71"/>
      <c r="K33" s="72">
        <f>Table410016115911211512023121[[#This Row],[2006]]-Table410016115911211512023121[[#This Row],[2002]]</f>
        <v>0</v>
      </c>
      <c r="L33" s="71"/>
      <c r="M33" s="72">
        <f>Table410016115911211512023121[[#This Row],[2010]]-Table410016115911211512023121[[#This Row],[2006]]</f>
        <v>0</v>
      </c>
      <c r="N33" s="71"/>
      <c r="O33" s="72">
        <f>Table410016115911211512023121[[#This Row],[2014]]-Table410016115911211512023121[[#This Row],[2010]]</f>
        <v>0</v>
      </c>
      <c r="P33" s="71"/>
      <c r="Q33" s="73">
        <f>SUM(Table410016115911211512023121[[#This Row],[1986]],Table410016115911211512023121[[#This Row],[1990]],Table410016115911211512023121[[#This Row],[1994]],Table410016115911211512023121[[#This Row],[1998]],Table410016115911211512023121[[#This Row],[2002]],Table410016115911211512023121[[#This Row],[2006]],Table410016115911211512023121[[#This Row],[2010]],Table410016115911211512023121[[#This Row],[2014]])</f>
        <v>0</v>
      </c>
      <c r="R33" s="75">
        <v>16</v>
      </c>
      <c r="T33" s="9">
        <f>R9</f>
        <v>57</v>
      </c>
      <c r="U33" s="9">
        <f>R19</f>
        <v>151</v>
      </c>
      <c r="V33" s="9">
        <f>R25</f>
        <v>49</v>
      </c>
      <c r="W33" s="9">
        <f>R30</f>
        <v>179</v>
      </c>
      <c r="X33" s="9">
        <f>R34</f>
        <v>77</v>
      </c>
    </row>
    <row r="34" spans="1:24" ht="19">
      <c r="A34" s="96" t="s">
        <v>414</v>
      </c>
      <c r="B34" s="97">
        <f>SUM(B31:B33)</f>
        <v>0</v>
      </c>
      <c r="C34" s="97">
        <f>Table410016115911211512023121[[#This Row],[1990]]-Table410016115911211512023121[[#This Row],[1986]]</f>
        <v>0</v>
      </c>
      <c r="D34" s="97">
        <f>SUM(D31:D33)</f>
        <v>0</v>
      </c>
      <c r="E34" s="80">
        <f>Table410016115911211512023121[[#This Row],[1994]]-Table410016115911211512023121[[#This Row],[1990]]</f>
        <v>0</v>
      </c>
      <c r="F34" s="97">
        <f>SUM(F31:F33)</f>
        <v>0</v>
      </c>
      <c r="G34" s="80">
        <f>Table410016115911211512023121[[#This Row],[1998]]-Table410016115911211512023121[[#This Row],[1994]]</f>
        <v>0</v>
      </c>
      <c r="H34" s="97">
        <f>SUM(H31:H33)</f>
        <v>0</v>
      </c>
      <c r="I34" s="80">
        <f>Table410016115911211512023121[[#This Row],[2002]]-Table410016115911211512023121[[#This Row],[1998]]</f>
        <v>0</v>
      </c>
      <c r="J34" s="97">
        <f>SUM(J31:J33)</f>
        <v>0</v>
      </c>
      <c r="K34" s="80">
        <f>Table410016115911211512023121[[#This Row],[2006]]-Table410016115911211512023121[[#This Row],[2002]]</f>
        <v>0</v>
      </c>
      <c r="L34" s="97">
        <f>SUM(L31:L33)</f>
        <v>0</v>
      </c>
      <c r="M34" s="80">
        <f>Table410016115911211512023121[[#This Row],[2010]]-Table410016115911211512023121[[#This Row],[2006]]</f>
        <v>1</v>
      </c>
      <c r="N34" s="97">
        <f>SUM(N31:N33)</f>
        <v>1</v>
      </c>
      <c r="O34" s="80">
        <f>Table410016115911211512023121[[#This Row],[2014]]-Table410016115911211512023121[[#This Row],[2010]]</f>
        <v>0</v>
      </c>
      <c r="P34" s="97">
        <f>SUM(P31:P33)</f>
        <v>1</v>
      </c>
      <c r="Q34" s="98">
        <f>SUM(Q31:Q33)</f>
        <v>2</v>
      </c>
      <c r="R34" s="99">
        <v>77</v>
      </c>
      <c r="T34" s="44">
        <f>(F9/T33)*100</f>
        <v>0</v>
      </c>
      <c r="U34" s="44">
        <f>(F19/U33)*100</f>
        <v>0</v>
      </c>
      <c r="V34" s="44">
        <f>(F25/V33)*100</f>
        <v>0</v>
      </c>
      <c r="W34" s="44">
        <f>(F30/W33)*100</f>
        <v>0.55865921787709494</v>
      </c>
      <c r="X34" s="44">
        <f>(F34/X33)*100</f>
        <v>0</v>
      </c>
    </row>
    <row r="35" spans="1:24" ht="19">
      <c r="A35" s="100" t="s">
        <v>420</v>
      </c>
      <c r="B35" s="101">
        <f>SUM(B9,B19,B25,B30,B34)</f>
        <v>0</v>
      </c>
      <c r="C35" s="101">
        <f>Table410016115911211512023121[[#This Row],[1990]]-Table410016115911211512023121[[#This Row],[1986]]</f>
        <v>1</v>
      </c>
      <c r="D35" s="101">
        <f>SUM(D9,D19,D25,D30,D34)</f>
        <v>1</v>
      </c>
      <c r="E35" s="80">
        <f>Table410016115911211512023121[[#This Row],[1994]]-Table410016115911211512023121[[#This Row],[1990]]</f>
        <v>0</v>
      </c>
      <c r="F35" s="101">
        <f>SUM(F9,F19,F25,F30,F34)</f>
        <v>1</v>
      </c>
      <c r="G35" s="80">
        <f>Table410016115911211512023121[[#This Row],[1998]]-Table410016115911211512023121[[#This Row],[1994]]</f>
        <v>0</v>
      </c>
      <c r="H35" s="101">
        <f>SUM(H9,H19,H25,H30,H34)</f>
        <v>1</v>
      </c>
      <c r="I35" s="80">
        <f>Table410016115911211512023121[[#This Row],[2002]]-Table410016115911211512023121[[#This Row],[1998]]</f>
        <v>4</v>
      </c>
      <c r="J35" s="101">
        <f>SUM(J9,J19,J25,J30,J34)</f>
        <v>5</v>
      </c>
      <c r="K35" s="80">
        <f>Table410016115911211512023121[[#This Row],[2006]]-Table410016115911211512023121[[#This Row],[2002]]</f>
        <v>8</v>
      </c>
      <c r="L35" s="101">
        <f>SUM(L9,L19,L25,L30,L34)</f>
        <v>13</v>
      </c>
      <c r="M35" s="80">
        <f>Table410016115911211512023121[[#This Row],[2010]]-Table410016115911211512023121[[#This Row],[2006]]</f>
        <v>1</v>
      </c>
      <c r="N35" s="101">
        <f>SUM(N9,N19,N25,N30,N34)</f>
        <v>14</v>
      </c>
      <c r="O35" s="80">
        <f>Table410016115911211512023121[[#This Row],[2014]]-Table410016115911211512023121[[#This Row],[2010]]</f>
        <v>-7</v>
      </c>
      <c r="P35" s="101">
        <f>SUM(P9,P19,P25,P30,P34)</f>
        <v>7</v>
      </c>
      <c r="Q35" s="102">
        <f>SUM(Q9,Q19,Q25,Q30,Q34)</f>
        <v>42</v>
      </c>
      <c r="R35" s="75">
        <v>513</v>
      </c>
    </row>
    <row r="36" spans="1:24">
      <c r="T36" s="178" t="s">
        <v>422</v>
      </c>
      <c r="U36" s="178"/>
      <c r="V36" s="178"/>
      <c r="W36" s="178"/>
      <c r="X36" s="178"/>
    </row>
    <row r="37" spans="1:24">
      <c r="T37" s="65" t="s">
        <v>410</v>
      </c>
      <c r="U37" s="66" t="s">
        <v>411</v>
      </c>
      <c r="V37" s="67" t="s">
        <v>412</v>
      </c>
      <c r="W37" s="68" t="s">
        <v>413</v>
      </c>
      <c r="X37" s="69" t="s">
        <v>414</v>
      </c>
    </row>
    <row r="38" spans="1:24">
      <c r="T38" s="9">
        <f>R9</f>
        <v>57</v>
      </c>
      <c r="U38" s="9">
        <f>R19</f>
        <v>151</v>
      </c>
      <c r="V38" s="9">
        <f>R25</f>
        <v>49</v>
      </c>
      <c r="W38" s="9">
        <f>R30</f>
        <v>179</v>
      </c>
      <c r="X38" s="9">
        <f>R34</f>
        <v>77</v>
      </c>
    </row>
    <row r="39" spans="1:24">
      <c r="T39" s="44">
        <f>(D9/T38)*100</f>
        <v>0</v>
      </c>
      <c r="U39" s="44">
        <f>(D19/U38)*100</f>
        <v>0</v>
      </c>
      <c r="V39" s="44">
        <f>(D25/V38)*100</f>
        <v>0</v>
      </c>
      <c r="W39" s="44">
        <f>(D30/W38)*100</f>
        <v>0.55865921787709494</v>
      </c>
      <c r="X39" s="44">
        <f>(D34/X38)*100</f>
        <v>0</v>
      </c>
    </row>
    <row r="41" spans="1:24">
      <c r="T41" s="178" t="s">
        <v>422</v>
      </c>
      <c r="U41" s="178"/>
      <c r="V41" s="178"/>
      <c r="W41" s="178"/>
      <c r="X41" s="178"/>
    </row>
    <row r="42" spans="1:24">
      <c r="T42" s="65" t="s">
        <v>410</v>
      </c>
      <c r="U42" s="66" t="s">
        <v>411</v>
      </c>
      <c r="V42" s="67" t="s">
        <v>412</v>
      </c>
      <c r="W42" s="68" t="s">
        <v>413</v>
      </c>
      <c r="X42" s="69" t="s">
        <v>414</v>
      </c>
    </row>
    <row r="43" spans="1:24">
      <c r="T43" s="9">
        <f>R9</f>
        <v>57</v>
      </c>
      <c r="U43" s="9">
        <f>R19</f>
        <v>151</v>
      </c>
      <c r="V43" s="9">
        <f>R25</f>
        <v>49</v>
      </c>
      <c r="W43" s="9">
        <f>R30</f>
        <v>179</v>
      </c>
      <c r="X43" s="9">
        <f>R34</f>
        <v>77</v>
      </c>
    </row>
    <row r="44" spans="1:24">
      <c r="T44" s="44">
        <f>(B9/T43)*100</f>
        <v>0</v>
      </c>
      <c r="U44" s="44">
        <f>(B19/U43)*100</f>
        <v>0</v>
      </c>
      <c r="V44" s="44">
        <f>(B25/V43)*100</f>
        <v>0</v>
      </c>
      <c r="W44" s="44">
        <f>(B30/W43)*100</f>
        <v>0</v>
      </c>
      <c r="X44" s="44">
        <f>(B34/X43)*100</f>
        <v>0</v>
      </c>
    </row>
  </sheetData>
  <mergeCells count="10">
    <mergeCell ref="T26:X26"/>
    <mergeCell ref="T31:X31"/>
    <mergeCell ref="T36:X36"/>
    <mergeCell ref="T41:X41"/>
    <mergeCell ref="A1:Q1"/>
    <mergeCell ref="T1:X1"/>
    <mergeCell ref="T6:X6"/>
    <mergeCell ref="T11:X11"/>
    <mergeCell ref="T16:X16"/>
    <mergeCell ref="T21:X21"/>
  </mergeCells>
  <conditionalFormatting sqref="C4:C35">
    <cfRule type="cellIs" dxfId="47" priority="11" operator="greaterThan">
      <formula>0</formula>
    </cfRule>
  </conditionalFormatting>
  <conditionalFormatting sqref="C3">
    <cfRule type="cellIs" dxfId="46" priority="8" operator="greaterThan">
      <formula>0</formula>
    </cfRule>
  </conditionalFormatting>
  <conditionalFormatting sqref="E3">
    <cfRule type="cellIs" dxfId="45" priority="5" operator="greaterThan">
      <formula>0</formula>
    </cfRule>
  </conditionalFormatting>
  <conditionalFormatting sqref="C4:C35 E4:E35 G3:G35 I3:I35 K3:K35 M3:M35">
    <cfRule type="cellIs" dxfId="44" priority="10" operator="greaterThan">
      <formula>0</formula>
    </cfRule>
  </conditionalFormatting>
  <conditionalFormatting sqref="C4:C35 E4:E35 G3:G35 I3:I35 K3:K35 M3:M35">
    <cfRule type="cellIs" dxfId="43" priority="9" operator="lessThan">
      <formula>0</formula>
    </cfRule>
  </conditionalFormatting>
  <conditionalFormatting sqref="C3">
    <cfRule type="cellIs" dxfId="42" priority="7" operator="greaterThan">
      <formula>0</formula>
    </cfRule>
  </conditionalFormatting>
  <conditionalFormatting sqref="C3">
    <cfRule type="cellIs" dxfId="41" priority="6" operator="lessThan">
      <formula>0</formula>
    </cfRule>
  </conditionalFormatting>
  <conditionalFormatting sqref="E3">
    <cfRule type="cellIs" dxfId="40" priority="4" operator="greaterThan">
      <formula>0</formula>
    </cfRule>
  </conditionalFormatting>
  <conditionalFormatting sqref="E3">
    <cfRule type="cellIs" dxfId="39" priority="3" operator="lessThan">
      <formula>0</formula>
    </cfRule>
  </conditionalFormatting>
  <conditionalFormatting sqref="O3:O35">
    <cfRule type="cellIs" dxfId="38" priority="1" operator="lessThan">
      <formula>0</formula>
    </cfRule>
    <cfRule type="cellIs" dxfId="37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44"/>
  <sheetViews>
    <sheetView workbookViewId="0">
      <selection activeCell="Y5" sqref="Y5"/>
    </sheetView>
  </sheetViews>
  <sheetFormatPr baseColWidth="10" defaultRowHeight="16"/>
  <cols>
    <col min="1" max="1" width="18.6640625" customWidth="1"/>
    <col min="17" max="17" width="17.33203125" customWidth="1"/>
    <col min="20" max="20" width="16" customWidth="1"/>
    <col min="21" max="21" width="14.83203125" customWidth="1"/>
    <col min="22" max="22" width="16" customWidth="1"/>
    <col min="23" max="23" width="15.5" customWidth="1"/>
    <col min="24" max="24" width="15" customWidth="1"/>
  </cols>
  <sheetData>
    <row r="1" spans="1:24" ht="19">
      <c r="A1" s="179" t="s">
        <v>25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T1" s="178" t="s">
        <v>391</v>
      </c>
      <c r="U1" s="178"/>
      <c r="V1" s="178"/>
      <c r="W1" s="178"/>
      <c r="X1" s="178"/>
    </row>
    <row r="2" spans="1:24" ht="19">
      <c r="A2" s="63" t="s">
        <v>392</v>
      </c>
      <c r="B2" s="63" t="s">
        <v>393</v>
      </c>
      <c r="C2" s="63" t="s">
        <v>394</v>
      </c>
      <c r="D2" s="63" t="s">
        <v>395</v>
      </c>
      <c r="E2" s="63" t="s">
        <v>396</v>
      </c>
      <c r="F2" s="63" t="s">
        <v>397</v>
      </c>
      <c r="G2" s="63" t="s">
        <v>398</v>
      </c>
      <c r="H2" s="63" t="s">
        <v>399</v>
      </c>
      <c r="I2" s="63" t="s">
        <v>400</v>
      </c>
      <c r="J2" s="63" t="s">
        <v>401</v>
      </c>
      <c r="K2" s="63" t="s">
        <v>402</v>
      </c>
      <c r="L2" s="63" t="s">
        <v>403</v>
      </c>
      <c r="M2" s="63" t="s">
        <v>404</v>
      </c>
      <c r="N2" s="63" t="s">
        <v>405</v>
      </c>
      <c r="O2" s="63" t="s">
        <v>406</v>
      </c>
      <c r="P2" s="63" t="s">
        <v>407</v>
      </c>
      <c r="Q2" s="64" t="s">
        <v>408</v>
      </c>
      <c r="R2" s="64" t="s">
        <v>409</v>
      </c>
      <c r="T2" s="65" t="s">
        <v>410</v>
      </c>
      <c r="U2" s="66" t="s">
        <v>411</v>
      </c>
      <c r="V2" s="67" t="s">
        <v>412</v>
      </c>
      <c r="W2" s="68" t="s">
        <v>413</v>
      </c>
      <c r="X2" s="69" t="s">
        <v>414</v>
      </c>
    </row>
    <row r="3" spans="1:24" ht="19">
      <c r="A3" s="70" t="s">
        <v>110</v>
      </c>
      <c r="B3" s="71"/>
      <c r="C3" s="72">
        <f>Table410016115911211512019293032122[[#This Row],[1990]]-Table410016115911211512019293032122[[#This Row],[1986]]</f>
        <v>0</v>
      </c>
      <c r="D3" s="71"/>
      <c r="E3" s="72">
        <f>Table410016115911211512019293032122[[#This Row],[1994]]-Table410016115911211512019293032122[[#This Row],[1990]]</f>
        <v>0</v>
      </c>
      <c r="F3" s="71"/>
      <c r="G3" s="72">
        <f>Table410016115911211512019293032122[[#This Row],[1998]]-Table410016115911211512019293032122[[#This Row],[1994]]</f>
        <v>0</v>
      </c>
      <c r="H3" s="71"/>
      <c r="I3" s="72">
        <f>Table410016115911211512019293032122[[#This Row],[2002]]-Table410016115911211512019293032122[[#This Row],[1998]]</f>
        <v>0</v>
      </c>
      <c r="J3" s="71"/>
      <c r="K3" s="72">
        <f>Table410016115911211512019293032122[[#This Row],[2006]]-Table410016115911211512019293032122[[#This Row],[2002]]</f>
        <v>0</v>
      </c>
      <c r="L3" s="71"/>
      <c r="M3" s="72">
        <f>Table410016115911211512019293032122[[#This Row],[2010]]-Table410016115911211512019293032122[[#This Row],[2006]]</f>
        <v>0</v>
      </c>
      <c r="N3" s="71"/>
      <c r="O3" s="72">
        <f>Table410016115911211512019293032122[[#This Row],[2014]]-Table410016115911211512019293032122[[#This Row],[2010]]</f>
        <v>0</v>
      </c>
      <c r="P3" s="71"/>
      <c r="Q3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0</v>
      </c>
      <c r="R3" s="157">
        <v>8</v>
      </c>
      <c r="T3" s="9">
        <f>R9*8</f>
        <v>456</v>
      </c>
      <c r="U3" s="9">
        <f>R19*8</f>
        <v>1208</v>
      </c>
      <c r="V3" s="9">
        <f>R25*8</f>
        <v>392</v>
      </c>
      <c r="W3" s="9">
        <f>R30*8</f>
        <v>1432</v>
      </c>
      <c r="X3" s="9">
        <f>R34*8</f>
        <v>616</v>
      </c>
    </row>
    <row r="4" spans="1:24" ht="19">
      <c r="A4" s="70" t="s">
        <v>106</v>
      </c>
      <c r="B4" s="71"/>
      <c r="C4" s="72">
        <f>Table410016115911211512019293032122[[#This Row],[1990]]-Table410016115911211512019293032122[[#This Row],[1986]]</f>
        <v>0</v>
      </c>
      <c r="D4" s="71"/>
      <c r="E4" s="72">
        <f>Table410016115911211512019293032122[[#This Row],[1994]]-Table410016115911211512019293032122[[#This Row],[1990]]</f>
        <v>0</v>
      </c>
      <c r="F4" s="71"/>
      <c r="G4" s="72">
        <f>Table410016115911211512019293032122[[#This Row],[1998]]-Table410016115911211512019293032122[[#This Row],[1994]]</f>
        <v>0</v>
      </c>
      <c r="H4" s="71"/>
      <c r="I4" s="72">
        <f>Table410016115911211512019293032122[[#This Row],[2002]]-Table410016115911211512019293032122[[#This Row],[1998]]</f>
        <v>0</v>
      </c>
      <c r="J4" s="71"/>
      <c r="K4" s="72">
        <f>Table410016115911211512019293032122[[#This Row],[2006]]-Table410016115911211512019293032122[[#This Row],[2002]]</f>
        <v>0</v>
      </c>
      <c r="L4" s="71"/>
      <c r="M4" s="72">
        <f>Table410016115911211512019293032122[[#This Row],[2010]]-Table410016115911211512019293032122[[#This Row],[2006]]</f>
        <v>0</v>
      </c>
      <c r="N4" s="71"/>
      <c r="O4" s="72">
        <f>Table410016115911211512019293032122[[#This Row],[2014]]-Table410016115911211512019293032122[[#This Row],[2010]]</f>
        <v>0</v>
      </c>
      <c r="P4" s="71"/>
      <c r="Q4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0</v>
      </c>
      <c r="R4" s="157">
        <v>8</v>
      </c>
      <c r="T4" s="44">
        <f>(Q9/T3)*100</f>
        <v>0.21929824561403508</v>
      </c>
      <c r="U4" s="44">
        <f>(Q19/U3)*100</f>
        <v>0.41390728476821192</v>
      </c>
      <c r="V4" s="44">
        <f>(Q25/V3)*100</f>
        <v>0.51020408163265307</v>
      </c>
      <c r="W4" s="44">
        <f>(Q30/W3)*100</f>
        <v>0.41899441340782123</v>
      </c>
      <c r="X4" s="76">
        <f>(Q34/X3)*100</f>
        <v>0.16233766233766234</v>
      </c>
    </row>
    <row r="5" spans="1:24" ht="19">
      <c r="A5" s="70" t="s">
        <v>104</v>
      </c>
      <c r="B5" s="71"/>
      <c r="C5" s="72">
        <f>Table410016115911211512019293032122[[#This Row],[1990]]-Table410016115911211512019293032122[[#This Row],[1986]]</f>
        <v>0</v>
      </c>
      <c r="D5" s="71"/>
      <c r="E5" s="72">
        <f>Table410016115911211512019293032122[[#This Row],[1994]]-Table410016115911211512019293032122[[#This Row],[1990]]</f>
        <v>0</v>
      </c>
      <c r="F5" s="71"/>
      <c r="G5" s="72">
        <f>Table410016115911211512019293032122[[#This Row],[1998]]-Table410016115911211512019293032122[[#This Row],[1994]]</f>
        <v>0</v>
      </c>
      <c r="H5" s="71"/>
      <c r="I5" s="72">
        <f>Table410016115911211512019293032122[[#This Row],[2002]]-Table410016115911211512019293032122[[#This Row],[1998]]</f>
        <v>0</v>
      </c>
      <c r="J5" s="71"/>
      <c r="K5" s="72">
        <f>Table410016115911211512019293032122[[#This Row],[2006]]-Table410016115911211512019293032122[[#This Row],[2002]]</f>
        <v>0</v>
      </c>
      <c r="L5" s="71"/>
      <c r="M5" s="72">
        <f>Table410016115911211512019293032122[[#This Row],[2010]]-Table410016115911211512019293032122[[#This Row],[2006]]</f>
        <v>0</v>
      </c>
      <c r="N5" s="71"/>
      <c r="O5" s="72">
        <f>Table410016115911211512019293032122[[#This Row],[2014]]-Table410016115911211512019293032122[[#This Row],[2010]]</f>
        <v>0</v>
      </c>
      <c r="P5" s="71"/>
      <c r="Q5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0</v>
      </c>
      <c r="R5" s="157">
        <v>8</v>
      </c>
    </row>
    <row r="6" spans="1:24" ht="19">
      <c r="A6" s="70" t="s">
        <v>73</v>
      </c>
      <c r="B6" s="71"/>
      <c r="C6" s="72">
        <f>Table410016115911211512019293032122[[#This Row],[1990]]-Table410016115911211512019293032122[[#This Row],[1986]]</f>
        <v>0</v>
      </c>
      <c r="D6" s="71"/>
      <c r="E6" s="72">
        <f>Table410016115911211512019293032122[[#This Row],[1994]]-Table410016115911211512019293032122[[#This Row],[1990]]</f>
        <v>0</v>
      </c>
      <c r="F6" s="71"/>
      <c r="G6" s="72">
        <f>Table410016115911211512019293032122[[#This Row],[1998]]-Table410016115911211512019293032122[[#This Row],[1994]]</f>
        <v>0</v>
      </c>
      <c r="H6" s="71"/>
      <c r="I6" s="72">
        <f>Table410016115911211512019293032122[[#This Row],[2002]]-Table410016115911211512019293032122[[#This Row],[1998]]</f>
        <v>0</v>
      </c>
      <c r="J6" s="71"/>
      <c r="K6" s="72">
        <f>Table410016115911211512019293032122[[#This Row],[2006]]-Table410016115911211512019293032122[[#This Row],[2002]]</f>
        <v>0</v>
      </c>
      <c r="L6" s="71"/>
      <c r="M6" s="72">
        <f>Table410016115911211512019293032122[[#This Row],[2010]]-Table410016115911211512019293032122[[#This Row],[2006]]</f>
        <v>0</v>
      </c>
      <c r="N6" s="71"/>
      <c r="O6" s="72">
        <f>Table410016115911211512019293032122[[#This Row],[2014]]-Table410016115911211512019293032122[[#This Row],[2010]]</f>
        <v>1</v>
      </c>
      <c r="P6" s="71">
        <v>1</v>
      </c>
      <c r="Q6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1</v>
      </c>
      <c r="R6" s="157">
        <v>17</v>
      </c>
      <c r="T6" s="178" t="s">
        <v>415</v>
      </c>
      <c r="U6" s="178"/>
      <c r="V6" s="178"/>
      <c r="W6" s="178"/>
      <c r="X6" s="178"/>
    </row>
    <row r="7" spans="1:24" ht="19">
      <c r="A7" s="70" t="s">
        <v>67</v>
      </c>
      <c r="B7" s="77"/>
      <c r="C7" s="72">
        <f>Table410016115911211512019293032122[[#This Row],[1990]]-Table410016115911211512019293032122[[#This Row],[1986]]</f>
        <v>0</v>
      </c>
      <c r="D7" s="77"/>
      <c r="E7" s="72">
        <f>Table410016115911211512019293032122[[#This Row],[1994]]-Table410016115911211512019293032122[[#This Row],[1990]]</f>
        <v>0</v>
      </c>
      <c r="F7" s="77"/>
      <c r="G7" s="72">
        <f>Table410016115911211512019293032122[[#This Row],[1998]]-Table410016115911211512019293032122[[#This Row],[1994]]</f>
        <v>0</v>
      </c>
      <c r="H7" s="77"/>
      <c r="I7" s="72">
        <f>Table410016115911211512019293032122[[#This Row],[2002]]-Table410016115911211512019293032122[[#This Row],[1998]]</f>
        <v>0</v>
      </c>
      <c r="J7" s="77"/>
      <c r="K7" s="72">
        <f>Table410016115911211512019293032122[[#This Row],[2006]]-Table410016115911211512019293032122[[#This Row],[2002]]</f>
        <v>0</v>
      </c>
      <c r="L7" s="77"/>
      <c r="M7" s="72">
        <f>Table410016115911211512019293032122[[#This Row],[2010]]-Table410016115911211512019293032122[[#This Row],[2006]]</f>
        <v>0</v>
      </c>
      <c r="N7" s="77"/>
      <c r="O7" s="72">
        <f>Table410016115911211512019293032122[[#This Row],[2014]]-Table410016115911211512019293032122[[#This Row],[2010]]</f>
        <v>0</v>
      </c>
      <c r="P7" s="77"/>
      <c r="Q7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0</v>
      </c>
      <c r="R7" s="157">
        <v>8</v>
      </c>
      <c r="T7" s="65" t="s">
        <v>410</v>
      </c>
      <c r="U7" s="66" t="s">
        <v>411</v>
      </c>
      <c r="V7" s="67" t="s">
        <v>412</v>
      </c>
      <c r="W7" s="68" t="s">
        <v>413</v>
      </c>
      <c r="X7" s="69" t="s">
        <v>414</v>
      </c>
    </row>
    <row r="8" spans="1:24" ht="19">
      <c r="A8" s="70" t="s">
        <v>65</v>
      </c>
      <c r="B8" s="71"/>
      <c r="C8" s="72">
        <f>Table410016115911211512019293032122[[#This Row],[1990]]-Table410016115911211512019293032122[[#This Row],[1986]]</f>
        <v>0</v>
      </c>
      <c r="D8" s="71"/>
      <c r="E8" s="72">
        <f>Table410016115911211512019293032122[[#This Row],[1994]]-Table410016115911211512019293032122[[#This Row],[1990]]</f>
        <v>0</v>
      </c>
      <c r="F8" s="71"/>
      <c r="G8" s="72">
        <f>Table410016115911211512019293032122[[#This Row],[1998]]-Table410016115911211512019293032122[[#This Row],[1994]]</f>
        <v>0</v>
      </c>
      <c r="H8" s="71"/>
      <c r="I8" s="72">
        <f>Table410016115911211512019293032122[[#This Row],[2002]]-Table410016115911211512019293032122[[#This Row],[1998]]</f>
        <v>0</v>
      </c>
      <c r="J8" s="71"/>
      <c r="K8" s="72">
        <f>Table410016115911211512019293032122[[#This Row],[2006]]-Table410016115911211512019293032122[[#This Row],[2002]]</f>
        <v>0</v>
      </c>
      <c r="L8" s="71"/>
      <c r="M8" s="72">
        <f>Table410016115911211512019293032122[[#This Row],[2010]]-Table410016115911211512019293032122[[#This Row],[2006]]</f>
        <v>0</v>
      </c>
      <c r="N8" s="71"/>
      <c r="O8" s="72">
        <f>Table410016115911211512019293032122[[#This Row],[2014]]-Table410016115911211512019293032122[[#This Row],[2010]]</f>
        <v>0</v>
      </c>
      <c r="P8" s="71"/>
      <c r="Q8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0</v>
      </c>
      <c r="R8" s="157">
        <v>8</v>
      </c>
      <c r="T8" s="9">
        <f>R9</f>
        <v>57</v>
      </c>
      <c r="U8" s="9">
        <f>R19</f>
        <v>151</v>
      </c>
      <c r="V8" s="9">
        <f>R25</f>
        <v>49</v>
      </c>
      <c r="W8" s="9">
        <f>R30</f>
        <v>179</v>
      </c>
      <c r="X8" s="9">
        <f>R34</f>
        <v>77</v>
      </c>
    </row>
    <row r="9" spans="1:24" ht="19">
      <c r="A9" s="78" t="s">
        <v>410</v>
      </c>
      <c r="B9" s="79">
        <f>SUM(B3:B8)</f>
        <v>0</v>
      </c>
      <c r="C9" s="79">
        <f>Table410016115911211512019293032122[[#This Row],[1990]]-Table410016115911211512019293032122[[#This Row],[1986]]</f>
        <v>0</v>
      </c>
      <c r="D9" s="79">
        <f>SUM(D3:D8)</f>
        <v>0</v>
      </c>
      <c r="E9" s="80">
        <f>Table410016115911211512019293032122[[#This Row],[1994]]-Table410016115911211512019293032122[[#This Row],[1990]]</f>
        <v>0</v>
      </c>
      <c r="F9" s="79">
        <f>SUM(F3:F8)</f>
        <v>0</v>
      </c>
      <c r="G9" s="80">
        <f>Table410016115911211512019293032122[[#This Row],[1998]]-Table410016115911211512019293032122[[#This Row],[1994]]</f>
        <v>0</v>
      </c>
      <c r="H9" s="79">
        <f>SUM(H3:H8)</f>
        <v>0</v>
      </c>
      <c r="I9" s="80">
        <f>Table410016115911211512019293032122[[#This Row],[2002]]-Table410016115911211512019293032122[[#This Row],[1998]]</f>
        <v>0</v>
      </c>
      <c r="J9" s="79">
        <f>SUM(J3:J8)</f>
        <v>0</v>
      </c>
      <c r="K9" s="80">
        <f>Table410016115911211512019293032122[[#This Row],[2006]]-Table410016115911211512019293032122[[#This Row],[2002]]</f>
        <v>0</v>
      </c>
      <c r="L9" s="79">
        <f>SUM(L3:L8)</f>
        <v>0</v>
      </c>
      <c r="M9" s="80">
        <f>Table410016115911211512019293032122[[#This Row],[2010]]-Table410016115911211512019293032122[[#This Row],[2006]]</f>
        <v>0</v>
      </c>
      <c r="N9" s="79">
        <f>SUM(N3:N8)</f>
        <v>0</v>
      </c>
      <c r="O9" s="80">
        <f>Table410016115911211512019293032122[[#This Row],[2014]]-Table410016115911211512019293032122[[#This Row],[2010]]</f>
        <v>1</v>
      </c>
      <c r="P9" s="79">
        <f>SUM(P3:P8)</f>
        <v>1</v>
      </c>
      <c r="Q9" s="81">
        <f>SUM(Q3:Q8)</f>
        <v>1</v>
      </c>
      <c r="R9" s="159">
        <f>SUM(R3:R8)</f>
        <v>57</v>
      </c>
      <c r="T9" s="44">
        <f>(Table410016115911211512019293032122[[#This Row],[2014]]/T8)*100</f>
        <v>1.7543859649122806</v>
      </c>
      <c r="U9" s="44">
        <f>(P19/U8)*100</f>
        <v>3.3112582781456954</v>
      </c>
      <c r="V9" s="44">
        <f>(P25/V8)*100</f>
        <v>4.0816326530612246</v>
      </c>
      <c r="W9" s="44">
        <f>(P30/W8)*100</f>
        <v>3.3519553072625698</v>
      </c>
      <c r="X9" s="44">
        <f>(P34/X8)*100</f>
        <v>1.2987012987012987</v>
      </c>
    </row>
    <row r="10" spans="1:24" ht="19">
      <c r="A10" s="70" t="s">
        <v>108</v>
      </c>
      <c r="B10" s="71"/>
      <c r="C10" s="72">
        <f>Table410016115911211512019293032122[[#This Row],[1990]]-Table410016115911211512019293032122[[#This Row],[1986]]</f>
        <v>0</v>
      </c>
      <c r="D10" s="71"/>
      <c r="E10" s="72">
        <f>Table410016115911211512019293032122[[#This Row],[1994]]-Table410016115911211512019293032122[[#This Row],[1990]]</f>
        <v>0</v>
      </c>
      <c r="F10" s="71"/>
      <c r="G10" s="72">
        <f>Table410016115911211512019293032122[[#This Row],[1998]]-Table410016115911211512019293032122[[#This Row],[1994]]</f>
        <v>0</v>
      </c>
      <c r="H10" s="71"/>
      <c r="I10" s="72">
        <f>Table410016115911211512019293032122[[#This Row],[2002]]-Table410016115911211512019293032122[[#This Row],[1998]]</f>
        <v>0</v>
      </c>
      <c r="J10" s="71"/>
      <c r="K10" s="72">
        <f>Table410016115911211512019293032122[[#This Row],[2006]]-Table410016115911211512019293032122[[#This Row],[2002]]</f>
        <v>0</v>
      </c>
      <c r="L10" s="71"/>
      <c r="M10" s="72">
        <f>Table410016115911211512019293032122[[#This Row],[2010]]-Table410016115911211512019293032122[[#This Row],[2006]]</f>
        <v>0</v>
      </c>
      <c r="N10" s="71"/>
      <c r="O10" s="72">
        <f>Table410016115911211512019293032122[[#This Row],[2014]]-Table410016115911211512019293032122[[#This Row],[2010]]</f>
        <v>0</v>
      </c>
      <c r="P10" s="71"/>
      <c r="Q10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0</v>
      </c>
      <c r="R10" s="157">
        <v>9</v>
      </c>
    </row>
    <row r="11" spans="1:24" ht="19">
      <c r="A11" s="70" t="s">
        <v>101</v>
      </c>
      <c r="B11" s="71"/>
      <c r="C11" s="72">
        <f>Table410016115911211512019293032122[[#This Row],[1990]]-Table410016115911211512019293032122[[#This Row],[1986]]</f>
        <v>0</v>
      </c>
      <c r="D11" s="71"/>
      <c r="E11" s="72">
        <f>Table410016115911211512019293032122[[#This Row],[1994]]-Table410016115911211512019293032122[[#This Row],[1990]]</f>
        <v>0</v>
      </c>
      <c r="F11" s="71"/>
      <c r="G11" s="72">
        <f>Table410016115911211512019293032122[[#This Row],[1998]]-Table410016115911211512019293032122[[#This Row],[1994]]</f>
        <v>0</v>
      </c>
      <c r="H11" s="71"/>
      <c r="I11" s="72">
        <f>Table410016115911211512019293032122[[#This Row],[2002]]-Table410016115911211512019293032122[[#This Row],[1998]]</f>
        <v>0</v>
      </c>
      <c r="J11" s="71"/>
      <c r="K11" s="72">
        <f>Table410016115911211512019293032122[[#This Row],[2006]]-Table410016115911211512019293032122[[#This Row],[2002]]</f>
        <v>0</v>
      </c>
      <c r="L11" s="71"/>
      <c r="M11" s="72">
        <f>Table410016115911211512019293032122[[#This Row],[2010]]-Table410016115911211512019293032122[[#This Row],[2006]]</f>
        <v>0</v>
      </c>
      <c r="N11" s="71"/>
      <c r="O11" s="72">
        <f>Table410016115911211512019293032122[[#This Row],[2014]]-Table410016115911211512019293032122[[#This Row],[2010]]</f>
        <v>1</v>
      </c>
      <c r="P11" s="71">
        <v>1</v>
      </c>
      <c r="Q11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1</v>
      </c>
      <c r="R11" s="157">
        <v>39</v>
      </c>
      <c r="T11" s="178" t="s">
        <v>416</v>
      </c>
      <c r="U11" s="178"/>
      <c r="V11" s="178"/>
      <c r="W11" s="178"/>
      <c r="X11" s="178"/>
    </row>
    <row r="12" spans="1:24" ht="19">
      <c r="A12" s="70" t="s">
        <v>99</v>
      </c>
      <c r="B12" s="71"/>
      <c r="C12" s="72">
        <f>Table410016115911211512019293032122[[#This Row],[1990]]-Table410016115911211512019293032122[[#This Row],[1986]]</f>
        <v>0</v>
      </c>
      <c r="D12" s="71"/>
      <c r="E12" s="72">
        <f>Table410016115911211512019293032122[[#This Row],[1994]]-Table410016115911211512019293032122[[#This Row],[1990]]</f>
        <v>0</v>
      </c>
      <c r="F12" s="71"/>
      <c r="G12" s="72">
        <f>Table410016115911211512019293032122[[#This Row],[1998]]-Table410016115911211512019293032122[[#This Row],[1994]]</f>
        <v>0</v>
      </c>
      <c r="H12" s="71"/>
      <c r="I12" s="72">
        <f>Table410016115911211512019293032122[[#This Row],[2002]]-Table410016115911211512019293032122[[#This Row],[1998]]</f>
        <v>0</v>
      </c>
      <c r="J12" s="71"/>
      <c r="K12" s="72">
        <f>Table410016115911211512019293032122[[#This Row],[2006]]-Table410016115911211512019293032122[[#This Row],[2002]]</f>
        <v>0</v>
      </c>
      <c r="L12" s="71"/>
      <c r="M12" s="72">
        <f>Table410016115911211512019293032122[[#This Row],[2010]]-Table410016115911211512019293032122[[#This Row],[2006]]</f>
        <v>0</v>
      </c>
      <c r="N12" s="71"/>
      <c r="O12" s="72">
        <f>Table410016115911211512019293032122[[#This Row],[2014]]-Table410016115911211512019293032122[[#This Row],[2010]]</f>
        <v>1</v>
      </c>
      <c r="P12" s="71">
        <v>1</v>
      </c>
      <c r="Q12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1</v>
      </c>
      <c r="R12" s="157">
        <v>22</v>
      </c>
      <c r="T12" s="65" t="s">
        <v>410</v>
      </c>
      <c r="U12" s="66" t="s">
        <v>411</v>
      </c>
      <c r="V12" s="67" t="s">
        <v>412</v>
      </c>
      <c r="W12" s="68" t="s">
        <v>413</v>
      </c>
      <c r="X12" s="69" t="s">
        <v>414</v>
      </c>
    </row>
    <row r="13" spans="1:24" ht="19">
      <c r="A13" s="70" t="s">
        <v>90</v>
      </c>
      <c r="B13" s="71"/>
      <c r="C13" s="72">
        <f>Table410016115911211512019293032122[[#This Row],[1990]]-Table410016115911211512019293032122[[#This Row],[1986]]</f>
        <v>0</v>
      </c>
      <c r="D13" s="71"/>
      <c r="E13" s="72">
        <f>Table410016115911211512019293032122[[#This Row],[1994]]-Table410016115911211512019293032122[[#This Row],[1990]]</f>
        <v>0</v>
      </c>
      <c r="F13" s="71"/>
      <c r="G13" s="72">
        <f>Table410016115911211512019293032122[[#This Row],[1998]]-Table410016115911211512019293032122[[#This Row],[1994]]</f>
        <v>0</v>
      </c>
      <c r="H13" s="71"/>
      <c r="I13" s="72">
        <f>Table410016115911211512019293032122[[#This Row],[2002]]-Table410016115911211512019293032122[[#This Row],[1998]]</f>
        <v>0</v>
      </c>
      <c r="J13" s="71"/>
      <c r="K13" s="72">
        <f>Table410016115911211512019293032122[[#This Row],[2006]]-Table410016115911211512019293032122[[#This Row],[2002]]</f>
        <v>0</v>
      </c>
      <c r="L13" s="71"/>
      <c r="M13" s="72">
        <f>Table410016115911211512019293032122[[#This Row],[2010]]-Table410016115911211512019293032122[[#This Row],[2006]]</f>
        <v>0</v>
      </c>
      <c r="N13" s="71"/>
      <c r="O13" s="72">
        <f>Table410016115911211512019293032122[[#This Row],[2014]]-Table410016115911211512019293032122[[#This Row],[2010]]</f>
        <v>0</v>
      </c>
      <c r="P13" s="71"/>
      <c r="Q13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0</v>
      </c>
      <c r="R13" s="157">
        <v>18</v>
      </c>
      <c r="T13" s="9">
        <f>R9</f>
        <v>57</v>
      </c>
      <c r="U13" s="9">
        <f>R19</f>
        <v>151</v>
      </c>
      <c r="V13" s="9">
        <f>R25</f>
        <v>49</v>
      </c>
      <c r="W13" s="9">
        <f>R30</f>
        <v>179</v>
      </c>
      <c r="X13" s="9">
        <f>R34</f>
        <v>77</v>
      </c>
    </row>
    <row r="14" spans="1:24" ht="19">
      <c r="A14" s="70" t="s">
        <v>79</v>
      </c>
      <c r="B14" s="71"/>
      <c r="C14" s="72">
        <f>Table410016115911211512019293032122[[#This Row],[1990]]-Table410016115911211512019293032122[[#This Row],[1986]]</f>
        <v>0</v>
      </c>
      <c r="D14" s="71"/>
      <c r="E14" s="72">
        <f>Table410016115911211512019293032122[[#This Row],[1994]]-Table410016115911211512019293032122[[#This Row],[1990]]</f>
        <v>0</v>
      </c>
      <c r="F14" s="71"/>
      <c r="G14" s="72">
        <f>Table410016115911211512019293032122[[#This Row],[1998]]-Table410016115911211512019293032122[[#This Row],[1994]]</f>
        <v>0</v>
      </c>
      <c r="H14" s="71"/>
      <c r="I14" s="72">
        <f>Table410016115911211512019293032122[[#This Row],[2002]]-Table410016115911211512019293032122[[#This Row],[1998]]</f>
        <v>0</v>
      </c>
      <c r="J14" s="71"/>
      <c r="K14" s="72">
        <f>Table410016115911211512019293032122[[#This Row],[2006]]-Table410016115911211512019293032122[[#This Row],[2002]]</f>
        <v>0</v>
      </c>
      <c r="L14" s="71"/>
      <c r="M14" s="72">
        <f>Table410016115911211512019293032122[[#This Row],[2010]]-Table410016115911211512019293032122[[#This Row],[2006]]</f>
        <v>0</v>
      </c>
      <c r="N14" s="71"/>
      <c r="O14" s="72">
        <f>Table410016115911211512019293032122[[#This Row],[2014]]-Table410016115911211512019293032122[[#This Row],[2010]]</f>
        <v>1</v>
      </c>
      <c r="P14" s="71">
        <v>1</v>
      </c>
      <c r="Q14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1</v>
      </c>
      <c r="R14" s="157">
        <v>12</v>
      </c>
      <c r="T14" s="9">
        <f>(N9/T13)*100</f>
        <v>0</v>
      </c>
      <c r="U14" s="9">
        <f>(N19/U13)*100</f>
        <v>0</v>
      </c>
      <c r="V14" s="9">
        <f>(N25/V13)*100</f>
        <v>0</v>
      </c>
      <c r="W14" s="9">
        <f>(N30/W13)*100</f>
        <v>0</v>
      </c>
      <c r="X14" s="9">
        <f>(N34/X13)*100</f>
        <v>0</v>
      </c>
    </row>
    <row r="15" spans="1:24" ht="19">
      <c r="A15" s="70" t="s">
        <v>77</v>
      </c>
      <c r="B15" s="71"/>
      <c r="C15" s="72">
        <f>Table410016115911211512019293032122[[#This Row],[1990]]-Table410016115911211512019293032122[[#This Row],[1986]]</f>
        <v>0</v>
      </c>
      <c r="D15" s="71"/>
      <c r="E15" s="72">
        <f>Table410016115911211512019293032122[[#This Row],[1994]]-Table410016115911211512019293032122[[#This Row],[1990]]</f>
        <v>0</v>
      </c>
      <c r="F15" s="71"/>
      <c r="G15" s="72">
        <f>Table410016115911211512019293032122[[#This Row],[1998]]-Table410016115911211512019293032122[[#This Row],[1994]]</f>
        <v>0</v>
      </c>
      <c r="H15" s="71"/>
      <c r="I15" s="72">
        <f>Table410016115911211512019293032122[[#This Row],[2002]]-Table410016115911211512019293032122[[#This Row],[1998]]</f>
        <v>0</v>
      </c>
      <c r="J15" s="71"/>
      <c r="K15" s="72">
        <f>Table410016115911211512019293032122[[#This Row],[2006]]-Table410016115911211512019293032122[[#This Row],[2002]]</f>
        <v>0</v>
      </c>
      <c r="L15" s="71"/>
      <c r="M15" s="72">
        <f>Table410016115911211512019293032122[[#This Row],[2010]]-Table410016115911211512019293032122[[#This Row],[2006]]</f>
        <v>0</v>
      </c>
      <c r="N15" s="71"/>
      <c r="O15" s="72">
        <f>Table410016115911211512019293032122[[#This Row],[2014]]-Table410016115911211512019293032122[[#This Row],[2010]]</f>
        <v>1</v>
      </c>
      <c r="P15" s="71">
        <v>1</v>
      </c>
      <c r="Q15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1</v>
      </c>
      <c r="R15" s="157">
        <v>25</v>
      </c>
    </row>
    <row r="16" spans="1:24" ht="19">
      <c r="A16" s="70" t="s">
        <v>75</v>
      </c>
      <c r="B16" s="72"/>
      <c r="C16" s="72">
        <f>Table410016115911211512019293032122[[#This Row],[1990]]-Table410016115911211512019293032122[[#This Row],[1986]]</f>
        <v>0</v>
      </c>
      <c r="D16" s="72"/>
      <c r="E16" s="72">
        <f>Table410016115911211512019293032122[[#This Row],[1994]]-Table410016115911211512019293032122[[#This Row],[1990]]</f>
        <v>0</v>
      </c>
      <c r="F16" s="72"/>
      <c r="G16" s="72">
        <f>Table410016115911211512019293032122[[#This Row],[1998]]-Table410016115911211512019293032122[[#This Row],[1994]]</f>
        <v>0</v>
      </c>
      <c r="H16" s="72"/>
      <c r="I16" s="72">
        <f>Table410016115911211512019293032122[[#This Row],[2002]]-Table410016115911211512019293032122[[#This Row],[1998]]</f>
        <v>0</v>
      </c>
      <c r="J16" s="72"/>
      <c r="K16" s="72">
        <f>Table410016115911211512019293032122[[#This Row],[2006]]-Table410016115911211512019293032122[[#This Row],[2002]]</f>
        <v>0</v>
      </c>
      <c r="L16" s="72"/>
      <c r="M16" s="72">
        <f>Table410016115911211512019293032122[[#This Row],[2010]]-Table410016115911211512019293032122[[#This Row],[2006]]</f>
        <v>0</v>
      </c>
      <c r="N16" s="72"/>
      <c r="O16" s="72">
        <f>Table410016115911211512019293032122[[#This Row],[2014]]-Table410016115911211512019293032122[[#This Row],[2010]]</f>
        <v>0</v>
      </c>
      <c r="P16" s="72"/>
      <c r="Q16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0</v>
      </c>
      <c r="R16" s="157">
        <v>10</v>
      </c>
      <c r="T16" s="178" t="s">
        <v>417</v>
      </c>
      <c r="U16" s="178"/>
      <c r="V16" s="178"/>
      <c r="W16" s="178"/>
      <c r="X16" s="178"/>
    </row>
    <row r="17" spans="1:24" ht="19">
      <c r="A17" s="70" t="s">
        <v>69</v>
      </c>
      <c r="B17" s="71"/>
      <c r="C17" s="72">
        <f>Table410016115911211512019293032122[[#This Row],[1990]]-Table410016115911211512019293032122[[#This Row],[1986]]</f>
        <v>0</v>
      </c>
      <c r="D17" s="71"/>
      <c r="E17" s="72">
        <f>Table410016115911211512019293032122[[#This Row],[1994]]-Table410016115911211512019293032122[[#This Row],[1990]]</f>
        <v>0</v>
      </c>
      <c r="F17" s="71"/>
      <c r="G17" s="72">
        <f>Table410016115911211512019293032122[[#This Row],[1998]]-Table410016115911211512019293032122[[#This Row],[1994]]</f>
        <v>0</v>
      </c>
      <c r="H17" s="71"/>
      <c r="I17" s="72">
        <f>Table410016115911211512019293032122[[#This Row],[2002]]-Table410016115911211512019293032122[[#This Row],[1998]]</f>
        <v>0</v>
      </c>
      <c r="J17" s="71"/>
      <c r="K17" s="72">
        <f>Table410016115911211512019293032122[[#This Row],[2006]]-Table410016115911211512019293032122[[#This Row],[2002]]</f>
        <v>0</v>
      </c>
      <c r="L17" s="71"/>
      <c r="M17" s="72">
        <f>Table410016115911211512019293032122[[#This Row],[2010]]-Table410016115911211512019293032122[[#This Row],[2006]]</f>
        <v>0</v>
      </c>
      <c r="N17" s="71"/>
      <c r="O17" s="72">
        <f>Table410016115911211512019293032122[[#This Row],[2014]]-Table410016115911211512019293032122[[#This Row],[2010]]</f>
        <v>0</v>
      </c>
      <c r="P17" s="71"/>
      <c r="Q17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0</v>
      </c>
      <c r="R17" s="157">
        <v>8</v>
      </c>
      <c r="T17" s="65" t="s">
        <v>410</v>
      </c>
      <c r="U17" s="66" t="s">
        <v>411</v>
      </c>
      <c r="V17" s="67" t="s">
        <v>412</v>
      </c>
      <c r="W17" s="68" t="s">
        <v>413</v>
      </c>
      <c r="X17" s="69" t="s">
        <v>414</v>
      </c>
    </row>
    <row r="18" spans="1:24" ht="19">
      <c r="A18" s="70" t="s">
        <v>56</v>
      </c>
      <c r="B18" s="71"/>
      <c r="C18" s="72">
        <f>Table410016115911211512019293032122[[#This Row],[1990]]-Table410016115911211512019293032122[[#This Row],[1986]]</f>
        <v>0</v>
      </c>
      <c r="D18" s="71"/>
      <c r="E18" s="72">
        <f>Table410016115911211512019293032122[[#This Row],[1994]]-Table410016115911211512019293032122[[#This Row],[1990]]</f>
        <v>0</v>
      </c>
      <c r="F18" s="71"/>
      <c r="G18" s="72">
        <f>Table410016115911211512019293032122[[#This Row],[1998]]-Table410016115911211512019293032122[[#This Row],[1994]]</f>
        <v>0</v>
      </c>
      <c r="H18" s="71"/>
      <c r="I18" s="72">
        <f>Table410016115911211512019293032122[[#This Row],[2002]]-Table410016115911211512019293032122[[#This Row],[1998]]</f>
        <v>0</v>
      </c>
      <c r="J18" s="71"/>
      <c r="K18" s="72">
        <f>Table410016115911211512019293032122[[#This Row],[2006]]-Table410016115911211512019293032122[[#This Row],[2002]]</f>
        <v>0</v>
      </c>
      <c r="L18" s="71"/>
      <c r="M18" s="72">
        <f>Table410016115911211512019293032122[[#This Row],[2010]]-Table410016115911211512019293032122[[#This Row],[2006]]</f>
        <v>0</v>
      </c>
      <c r="N18" s="71"/>
      <c r="O18" s="72">
        <f>Table410016115911211512019293032122[[#This Row],[2014]]-Table410016115911211512019293032122[[#This Row],[2010]]</f>
        <v>1</v>
      </c>
      <c r="P18" s="71">
        <v>1</v>
      </c>
      <c r="Q18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1</v>
      </c>
      <c r="R18" s="157">
        <v>8</v>
      </c>
      <c r="T18" s="9">
        <f>R9</f>
        <v>57</v>
      </c>
      <c r="U18" s="9">
        <f>R19</f>
        <v>151</v>
      </c>
      <c r="V18" s="9">
        <f>R25</f>
        <v>49</v>
      </c>
      <c r="W18" s="9">
        <f>R30</f>
        <v>179</v>
      </c>
      <c r="X18" s="9">
        <f>R34</f>
        <v>77</v>
      </c>
    </row>
    <row r="19" spans="1:24" ht="19">
      <c r="A19" s="83" t="s">
        <v>411</v>
      </c>
      <c r="B19" s="84">
        <f>SUM(B10:B18)</f>
        <v>0</v>
      </c>
      <c r="C19" s="84">
        <f>Table410016115911211512019293032122[[#This Row],[1990]]-Table410016115911211512019293032122[[#This Row],[1986]]</f>
        <v>0</v>
      </c>
      <c r="D19" s="84">
        <f>SUM(D10:D18)</f>
        <v>0</v>
      </c>
      <c r="E19" s="80">
        <f>Table410016115911211512019293032122[[#This Row],[1994]]-Table410016115911211512019293032122[[#This Row],[1990]]</f>
        <v>0</v>
      </c>
      <c r="F19" s="84">
        <f>SUM(F10:F18)</f>
        <v>0</v>
      </c>
      <c r="G19" s="80">
        <f>Table410016115911211512019293032122[[#This Row],[1998]]-Table410016115911211512019293032122[[#This Row],[1994]]</f>
        <v>0</v>
      </c>
      <c r="H19" s="84">
        <f>SUM(H10:H18)</f>
        <v>0</v>
      </c>
      <c r="I19" s="80">
        <f>Table410016115911211512019293032122[[#This Row],[2002]]-Table410016115911211512019293032122[[#This Row],[1998]]</f>
        <v>0</v>
      </c>
      <c r="J19" s="84">
        <f>SUM(J10:J18)</f>
        <v>0</v>
      </c>
      <c r="K19" s="80">
        <f>Table410016115911211512019293032122[[#This Row],[2006]]-Table410016115911211512019293032122[[#This Row],[2002]]</f>
        <v>0</v>
      </c>
      <c r="L19" s="84">
        <f>SUM(L10:L18)</f>
        <v>0</v>
      </c>
      <c r="M19" s="80">
        <f>Table410016115911211512019293032122[[#This Row],[2010]]-Table410016115911211512019293032122[[#This Row],[2006]]</f>
        <v>0</v>
      </c>
      <c r="N19" s="84">
        <f>SUM(N10:N18)</f>
        <v>0</v>
      </c>
      <c r="O19" s="80">
        <f>Table410016115911211512019293032122[[#This Row],[2014]]-Table410016115911211512019293032122[[#This Row],[2010]]</f>
        <v>5</v>
      </c>
      <c r="P19" s="84">
        <f>SUM(P10:P18)</f>
        <v>5</v>
      </c>
      <c r="Q19" s="85">
        <f>SUM(Q10:Q18)</f>
        <v>5</v>
      </c>
      <c r="R19" s="161">
        <f>SUM(R10:R18)</f>
        <v>151</v>
      </c>
      <c r="T19" s="9">
        <f>(L9/T18)*100</f>
        <v>0</v>
      </c>
      <c r="U19" s="9">
        <f>(L19/U18)*100</f>
        <v>0</v>
      </c>
      <c r="V19" s="9">
        <f>(L25/V18)*100</f>
        <v>0</v>
      </c>
      <c r="W19" s="9">
        <f>(L30/W18)*100</f>
        <v>0</v>
      </c>
      <c r="X19" s="9">
        <f>(L34/X18)*100</f>
        <v>0</v>
      </c>
    </row>
    <row r="20" spans="1:24" ht="19">
      <c r="A20" s="70" t="s">
        <v>97</v>
      </c>
      <c r="B20" s="71"/>
      <c r="C20" s="72">
        <f>Table410016115911211512019293032122[[#This Row],[1990]]-Table410016115911211512019293032122[[#This Row],[1986]]</f>
        <v>0</v>
      </c>
      <c r="D20" s="71"/>
      <c r="E20" s="72">
        <f>Table410016115911211512019293032122[[#This Row],[1994]]-Table410016115911211512019293032122[[#This Row],[1990]]</f>
        <v>0</v>
      </c>
      <c r="F20" s="71"/>
      <c r="G20" s="72">
        <f>Table410016115911211512019293032122[[#This Row],[1998]]-Table410016115911211512019293032122[[#This Row],[1994]]</f>
        <v>0</v>
      </c>
      <c r="H20" s="71"/>
      <c r="I20" s="72">
        <f>Table410016115911211512019293032122[[#This Row],[2002]]-Table410016115911211512019293032122[[#This Row],[1998]]</f>
        <v>0</v>
      </c>
      <c r="J20" s="71"/>
      <c r="K20" s="72">
        <f>Table410016115911211512019293032122[[#This Row],[2006]]-Table410016115911211512019293032122[[#This Row],[2002]]</f>
        <v>0</v>
      </c>
      <c r="L20" s="71"/>
      <c r="M20" s="72">
        <f>Table410016115911211512019293032122[[#This Row],[2010]]-Table410016115911211512019293032122[[#This Row],[2006]]</f>
        <v>0</v>
      </c>
      <c r="N20" s="71"/>
      <c r="O20" s="72">
        <f>Table410016115911211512019293032122[[#This Row],[2014]]-Table410016115911211512019293032122[[#This Row],[2010]]</f>
        <v>1</v>
      </c>
      <c r="P20" s="71">
        <v>1</v>
      </c>
      <c r="Q20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1</v>
      </c>
      <c r="R20" s="157">
        <v>8</v>
      </c>
    </row>
    <row r="21" spans="1:24" ht="19">
      <c r="A21" s="86" t="s">
        <v>94</v>
      </c>
      <c r="B21" s="87"/>
      <c r="C21" s="72">
        <f>Table410016115911211512019293032122[[#This Row],[1990]]-Table410016115911211512019293032122[[#This Row],[1986]]</f>
        <v>0</v>
      </c>
      <c r="D21" s="87"/>
      <c r="E21" s="72">
        <f>Table410016115911211512019293032122[[#This Row],[1994]]-Table410016115911211512019293032122[[#This Row],[1990]]</f>
        <v>0</v>
      </c>
      <c r="F21" s="87"/>
      <c r="G21" s="72">
        <f>Table410016115911211512019293032122[[#This Row],[1998]]-Table410016115911211512019293032122[[#This Row],[1994]]</f>
        <v>0</v>
      </c>
      <c r="H21" s="87"/>
      <c r="I21" s="72">
        <f>Table410016115911211512019293032122[[#This Row],[2002]]-Table410016115911211512019293032122[[#This Row],[1998]]</f>
        <v>0</v>
      </c>
      <c r="J21" s="87"/>
      <c r="K21" s="72">
        <f>Table410016115911211512019293032122[[#This Row],[2006]]-Table410016115911211512019293032122[[#This Row],[2002]]</f>
        <v>0</v>
      </c>
      <c r="L21" s="87"/>
      <c r="M21" s="72">
        <f>Table410016115911211512019293032122[[#This Row],[2010]]-Table410016115911211512019293032122[[#This Row],[2006]]</f>
        <v>0</v>
      </c>
      <c r="N21" s="87"/>
      <c r="O21" s="72">
        <f>Table410016115911211512019293032122[[#This Row],[2014]]-Table410016115911211512019293032122[[#This Row],[2010]]</f>
        <v>1</v>
      </c>
      <c r="P21" s="71">
        <v>1</v>
      </c>
      <c r="Q21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1</v>
      </c>
      <c r="R21" s="157">
        <v>17</v>
      </c>
      <c r="T21" s="178" t="s">
        <v>418</v>
      </c>
      <c r="U21" s="178"/>
      <c r="V21" s="178"/>
      <c r="W21" s="178"/>
      <c r="X21" s="178"/>
    </row>
    <row r="22" spans="1:24" ht="19">
      <c r="A22" s="88" t="s">
        <v>85</v>
      </c>
      <c r="B22" s="87"/>
      <c r="C22" s="72">
        <f>Table410016115911211512019293032122[[#This Row],[1990]]-Table410016115911211512019293032122[[#This Row],[1986]]</f>
        <v>0</v>
      </c>
      <c r="D22" s="87"/>
      <c r="E22" s="72">
        <f>Table410016115911211512019293032122[[#This Row],[1994]]-Table410016115911211512019293032122[[#This Row],[1990]]</f>
        <v>0</v>
      </c>
      <c r="F22" s="87"/>
      <c r="G22" s="72">
        <f>Table410016115911211512019293032122[[#This Row],[1998]]-Table410016115911211512019293032122[[#This Row],[1994]]</f>
        <v>0</v>
      </c>
      <c r="H22" s="87"/>
      <c r="I22" s="72">
        <f>Table410016115911211512019293032122[[#This Row],[2002]]-Table410016115911211512019293032122[[#This Row],[1998]]</f>
        <v>0</v>
      </c>
      <c r="J22" s="87"/>
      <c r="K22" s="72">
        <f>Table410016115911211512019293032122[[#This Row],[2006]]-Table410016115911211512019293032122[[#This Row],[2002]]</f>
        <v>0</v>
      </c>
      <c r="L22" s="87"/>
      <c r="M22" s="72">
        <f>Table410016115911211512019293032122[[#This Row],[2010]]-Table410016115911211512019293032122[[#This Row],[2006]]</f>
        <v>0</v>
      </c>
      <c r="N22" s="87"/>
      <c r="O22" s="72">
        <f>Table410016115911211512019293032122[[#This Row],[2014]]-Table410016115911211512019293032122[[#This Row],[2010]]</f>
        <v>0</v>
      </c>
      <c r="P22" s="87"/>
      <c r="Q22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0</v>
      </c>
      <c r="R22" s="157">
        <v>8</v>
      </c>
      <c r="T22" s="65" t="s">
        <v>410</v>
      </c>
      <c r="U22" s="66" t="s">
        <v>411</v>
      </c>
      <c r="V22" s="67" t="s">
        <v>412</v>
      </c>
      <c r="W22" s="68" t="s">
        <v>413</v>
      </c>
      <c r="X22" s="69" t="s">
        <v>414</v>
      </c>
    </row>
    <row r="23" spans="1:24" ht="19">
      <c r="A23" s="88" t="s">
        <v>83</v>
      </c>
      <c r="B23" s="87"/>
      <c r="C23" s="72">
        <f>Table410016115911211512019293032122[[#This Row],[1990]]-Table410016115911211512019293032122[[#This Row],[1986]]</f>
        <v>0</v>
      </c>
      <c r="D23" s="87"/>
      <c r="E23" s="72">
        <f>Table410016115911211512019293032122[[#This Row],[1994]]-Table410016115911211512019293032122[[#This Row],[1990]]</f>
        <v>0</v>
      </c>
      <c r="F23" s="87"/>
      <c r="G23" s="72">
        <f>Table410016115911211512019293032122[[#This Row],[1998]]-Table410016115911211512019293032122[[#This Row],[1994]]</f>
        <v>0</v>
      </c>
      <c r="H23" s="87"/>
      <c r="I23" s="72">
        <f>Table410016115911211512019293032122[[#This Row],[2002]]-Table410016115911211512019293032122[[#This Row],[1998]]</f>
        <v>0</v>
      </c>
      <c r="J23" s="87"/>
      <c r="K23" s="72">
        <f>Table410016115911211512019293032122[[#This Row],[2006]]-Table410016115911211512019293032122[[#This Row],[2002]]</f>
        <v>0</v>
      </c>
      <c r="L23" s="87"/>
      <c r="M23" s="72">
        <f>Table410016115911211512019293032122[[#This Row],[2010]]-Table410016115911211512019293032122[[#This Row],[2006]]</f>
        <v>0</v>
      </c>
      <c r="N23" s="87"/>
      <c r="O23" s="72">
        <f>Table410016115911211512019293032122[[#This Row],[2014]]-Table410016115911211512019293032122[[#This Row],[2010]]</f>
        <v>0</v>
      </c>
      <c r="P23" s="87"/>
      <c r="Q23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0</v>
      </c>
      <c r="R23" s="157">
        <v>8</v>
      </c>
      <c r="T23" s="9">
        <f>R9</f>
        <v>57</v>
      </c>
      <c r="U23" s="9">
        <f>R19</f>
        <v>151</v>
      </c>
      <c r="V23" s="9">
        <f>R25</f>
        <v>49</v>
      </c>
      <c r="W23" s="9">
        <f>R30</f>
        <v>179</v>
      </c>
      <c r="X23" s="9">
        <f>R34</f>
        <v>77</v>
      </c>
    </row>
    <row r="24" spans="1:24" ht="19">
      <c r="A24" s="88" t="s">
        <v>52</v>
      </c>
      <c r="B24" s="71"/>
      <c r="C24" s="72">
        <f>Table410016115911211512019293032122[[#This Row],[1990]]-Table410016115911211512019293032122[[#This Row],[1986]]</f>
        <v>0</v>
      </c>
      <c r="D24" s="71"/>
      <c r="E24" s="72">
        <f>Table410016115911211512019293032122[[#This Row],[1994]]-Table410016115911211512019293032122[[#This Row],[1990]]</f>
        <v>0</v>
      </c>
      <c r="F24" s="71"/>
      <c r="G24" s="72">
        <f>Table410016115911211512019293032122[[#This Row],[1998]]-Table410016115911211512019293032122[[#This Row],[1994]]</f>
        <v>0</v>
      </c>
      <c r="H24" s="71"/>
      <c r="I24" s="72">
        <f>Table410016115911211512019293032122[[#This Row],[2002]]-Table410016115911211512019293032122[[#This Row],[1998]]</f>
        <v>0</v>
      </c>
      <c r="J24" s="71"/>
      <c r="K24" s="72">
        <f>Table410016115911211512019293032122[[#This Row],[2006]]-Table410016115911211512019293032122[[#This Row],[2002]]</f>
        <v>0</v>
      </c>
      <c r="L24" s="71"/>
      <c r="M24" s="72">
        <f>Table410016115911211512019293032122[[#This Row],[2010]]-Table410016115911211512019293032122[[#This Row],[2006]]</f>
        <v>0</v>
      </c>
      <c r="N24" s="71"/>
      <c r="O24" s="72">
        <f>Table410016115911211512019293032122[[#This Row],[2014]]-Table410016115911211512019293032122[[#This Row],[2010]]</f>
        <v>0</v>
      </c>
      <c r="P24" s="71"/>
      <c r="Q24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0</v>
      </c>
      <c r="R24" s="157">
        <v>8</v>
      </c>
      <c r="T24" s="9">
        <f>(J9/T23)*100</f>
        <v>0</v>
      </c>
      <c r="U24" s="9">
        <f>(J19/U23)*100</f>
        <v>0</v>
      </c>
      <c r="V24" s="9">
        <f>(J25/V23)*100</f>
        <v>0</v>
      </c>
      <c r="W24" s="9">
        <f>(J30/W23)*100</f>
        <v>0</v>
      </c>
      <c r="X24" s="9">
        <f>(J34/X23)*100</f>
        <v>0</v>
      </c>
    </row>
    <row r="25" spans="1:24" ht="19">
      <c r="A25" s="89" t="s">
        <v>412</v>
      </c>
      <c r="B25" s="79">
        <f>SUM(B20:B24)</f>
        <v>0</v>
      </c>
      <c r="C25" s="79">
        <f>Table410016115911211512019293032122[[#This Row],[1990]]-Table410016115911211512019293032122[[#This Row],[1986]]</f>
        <v>0</v>
      </c>
      <c r="D25" s="79">
        <f>SUM(D20:D24)</f>
        <v>0</v>
      </c>
      <c r="E25" s="80">
        <f>Table410016115911211512019293032122[[#This Row],[1994]]-Table410016115911211512019293032122[[#This Row],[1990]]</f>
        <v>0</v>
      </c>
      <c r="F25" s="79">
        <f>SUM(F20:F24)</f>
        <v>0</v>
      </c>
      <c r="G25" s="80">
        <f>Table410016115911211512019293032122[[#This Row],[1998]]-Table410016115911211512019293032122[[#This Row],[1994]]</f>
        <v>0</v>
      </c>
      <c r="H25" s="79">
        <f>SUM(H20:H24)</f>
        <v>0</v>
      </c>
      <c r="I25" s="80">
        <f>Table410016115911211512019293032122[[#This Row],[2002]]-Table410016115911211512019293032122[[#This Row],[1998]]</f>
        <v>0</v>
      </c>
      <c r="J25" s="79">
        <f>SUM(J20:J24)</f>
        <v>0</v>
      </c>
      <c r="K25" s="80">
        <f>Table410016115911211512019293032122[[#This Row],[2006]]-Table410016115911211512019293032122[[#This Row],[2002]]</f>
        <v>0</v>
      </c>
      <c r="L25" s="79">
        <f>SUM(L20:L24)</f>
        <v>0</v>
      </c>
      <c r="M25" s="80">
        <f>Table410016115911211512019293032122[[#This Row],[2010]]-Table410016115911211512019293032122[[#This Row],[2006]]</f>
        <v>0</v>
      </c>
      <c r="N25" s="79">
        <f>SUM(N20:N24)</f>
        <v>0</v>
      </c>
      <c r="O25" s="80">
        <f>Table410016115911211512019293032122[[#This Row],[2014]]-Table410016115911211512019293032122[[#This Row],[2010]]</f>
        <v>2</v>
      </c>
      <c r="P25" s="79">
        <f>SUM(P20:P24)</f>
        <v>2</v>
      </c>
      <c r="Q25" s="90">
        <f>SUM(Q20:Q24)</f>
        <v>2</v>
      </c>
      <c r="R25" s="163">
        <f>SUM(R20:R24)</f>
        <v>49</v>
      </c>
    </row>
    <row r="26" spans="1:24" ht="19">
      <c r="A26" s="88" t="s">
        <v>95</v>
      </c>
      <c r="B26" s="71"/>
      <c r="C26" s="72">
        <f>Table410016115911211512019293032122[[#This Row],[1990]]-Table410016115911211512019293032122[[#This Row],[1986]]</f>
        <v>0</v>
      </c>
      <c r="D26" s="71"/>
      <c r="E26" s="72">
        <f>Table410016115911211512019293032122[[#This Row],[1994]]-Table410016115911211512019293032122[[#This Row],[1990]]</f>
        <v>0</v>
      </c>
      <c r="F26" s="71"/>
      <c r="G26" s="72">
        <f>Table410016115911211512019293032122[[#This Row],[1998]]-Table410016115911211512019293032122[[#This Row],[1994]]</f>
        <v>0</v>
      </c>
      <c r="H26" s="71"/>
      <c r="I26" s="72">
        <f>Table410016115911211512019293032122[[#This Row],[2002]]-Table410016115911211512019293032122[[#This Row],[1998]]</f>
        <v>0</v>
      </c>
      <c r="J26" s="71"/>
      <c r="K26" s="72">
        <f>Table410016115911211512019293032122[[#This Row],[2006]]-Table410016115911211512019293032122[[#This Row],[2002]]</f>
        <v>0</v>
      </c>
      <c r="L26" s="71"/>
      <c r="M26" s="72">
        <f>Table410016115911211512019293032122[[#This Row],[2010]]-Table410016115911211512019293032122[[#This Row],[2006]]</f>
        <v>0</v>
      </c>
      <c r="N26" s="71"/>
      <c r="O26" s="72">
        <f>Table410016115911211512019293032122[[#This Row],[2014]]-Table410016115911211512019293032122[[#This Row],[2010]]</f>
        <v>1</v>
      </c>
      <c r="P26" s="71">
        <v>1</v>
      </c>
      <c r="Q26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1</v>
      </c>
      <c r="R26" s="157">
        <v>10</v>
      </c>
      <c r="T26" s="178" t="s">
        <v>419</v>
      </c>
      <c r="U26" s="178"/>
      <c r="V26" s="178"/>
      <c r="W26" s="178"/>
      <c r="X26" s="178"/>
    </row>
    <row r="27" spans="1:24" ht="19">
      <c r="A27" s="88" t="s">
        <v>88</v>
      </c>
      <c r="B27" s="71"/>
      <c r="C27" s="72">
        <f>Table410016115911211512019293032122[[#This Row],[1990]]-Table410016115911211512019293032122[[#This Row],[1986]]</f>
        <v>0</v>
      </c>
      <c r="D27" s="71"/>
      <c r="E27" s="72">
        <f>Table410016115911211512019293032122[[#This Row],[1994]]-Table410016115911211512019293032122[[#This Row],[1990]]</f>
        <v>0</v>
      </c>
      <c r="F27" s="71"/>
      <c r="G27" s="72">
        <f>Table410016115911211512019293032122[[#This Row],[1998]]-Table410016115911211512019293032122[[#This Row],[1994]]</f>
        <v>0</v>
      </c>
      <c r="H27" s="71"/>
      <c r="I27" s="72">
        <f>Table410016115911211512019293032122[[#This Row],[2002]]-Table410016115911211512019293032122[[#This Row],[1998]]</f>
        <v>0</v>
      </c>
      <c r="J27" s="71"/>
      <c r="K27" s="72">
        <f>Table410016115911211512019293032122[[#This Row],[2006]]-Table410016115911211512019293032122[[#This Row],[2002]]</f>
        <v>0</v>
      </c>
      <c r="L27" s="71"/>
      <c r="M27" s="72">
        <f>Table410016115911211512019293032122[[#This Row],[2010]]-Table410016115911211512019293032122[[#This Row],[2006]]</f>
        <v>0</v>
      </c>
      <c r="N27" s="71"/>
      <c r="O27" s="72">
        <f>Table410016115911211512019293032122[[#This Row],[2014]]-Table410016115911211512019293032122[[#This Row],[2010]]</f>
        <v>1</v>
      </c>
      <c r="P27" s="71">
        <v>1</v>
      </c>
      <c r="Q27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1</v>
      </c>
      <c r="R27" s="157">
        <v>53</v>
      </c>
      <c r="T27" s="65" t="s">
        <v>410</v>
      </c>
      <c r="U27" s="66" t="s">
        <v>411</v>
      </c>
      <c r="V27" s="67" t="s">
        <v>412</v>
      </c>
      <c r="W27" s="68" t="s">
        <v>413</v>
      </c>
      <c r="X27" s="69" t="s">
        <v>414</v>
      </c>
    </row>
    <row r="28" spans="1:24" ht="19">
      <c r="A28" s="88" t="s">
        <v>72</v>
      </c>
      <c r="B28" s="71"/>
      <c r="C28" s="72">
        <f>Table410016115911211512019293032122[[#This Row],[1990]]-Table410016115911211512019293032122[[#This Row],[1986]]</f>
        <v>0</v>
      </c>
      <c r="D28" s="71"/>
      <c r="E28" s="72">
        <f>Table410016115911211512019293032122[[#This Row],[1994]]-Table410016115911211512019293032122[[#This Row],[1990]]</f>
        <v>0</v>
      </c>
      <c r="F28" s="71"/>
      <c r="G28" s="72">
        <f>Table410016115911211512019293032122[[#This Row],[1998]]-Table410016115911211512019293032122[[#This Row],[1994]]</f>
        <v>0</v>
      </c>
      <c r="H28" s="71"/>
      <c r="I28" s="72">
        <f>Table410016115911211512019293032122[[#This Row],[2002]]-Table410016115911211512019293032122[[#This Row],[1998]]</f>
        <v>0</v>
      </c>
      <c r="J28" s="71"/>
      <c r="K28" s="72">
        <f>Table410016115911211512019293032122[[#This Row],[2006]]-Table410016115911211512019293032122[[#This Row],[2002]]</f>
        <v>0</v>
      </c>
      <c r="L28" s="71"/>
      <c r="M28" s="72">
        <f>Table410016115911211512019293032122[[#This Row],[2010]]-Table410016115911211512019293032122[[#This Row],[2006]]</f>
        <v>0</v>
      </c>
      <c r="N28" s="71"/>
      <c r="O28" s="72">
        <f>Table410016115911211512019293032122[[#This Row],[2014]]-Table410016115911211512019293032122[[#This Row],[2010]]</f>
        <v>2</v>
      </c>
      <c r="P28" s="71">
        <v>2</v>
      </c>
      <c r="Q28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2</v>
      </c>
      <c r="R28" s="157">
        <v>46</v>
      </c>
      <c r="T28" s="9">
        <f>R9</f>
        <v>57</v>
      </c>
      <c r="U28" s="9">
        <f>R19</f>
        <v>151</v>
      </c>
      <c r="V28" s="9">
        <f>R25</f>
        <v>49</v>
      </c>
      <c r="W28" s="9">
        <f>R30</f>
        <v>179</v>
      </c>
      <c r="X28" s="9">
        <f>R34</f>
        <v>77</v>
      </c>
    </row>
    <row r="29" spans="1:24" ht="19">
      <c r="A29" s="88" t="s">
        <v>54</v>
      </c>
      <c r="B29" s="71"/>
      <c r="C29" s="72">
        <f>Table410016115911211512019293032122[[#This Row],[1990]]-Table410016115911211512019293032122[[#This Row],[1986]]</f>
        <v>0</v>
      </c>
      <c r="D29" s="71"/>
      <c r="E29" s="72">
        <f>Table410016115911211512019293032122[[#This Row],[1994]]-Table410016115911211512019293032122[[#This Row],[1990]]</f>
        <v>0</v>
      </c>
      <c r="F29" s="71"/>
      <c r="G29" s="72">
        <f>Table410016115911211512019293032122[[#This Row],[1998]]-Table410016115911211512019293032122[[#This Row],[1994]]</f>
        <v>0</v>
      </c>
      <c r="H29" s="71"/>
      <c r="I29" s="72">
        <f>Table410016115911211512019293032122[[#This Row],[2002]]-Table410016115911211512019293032122[[#This Row],[1998]]</f>
        <v>0</v>
      </c>
      <c r="J29" s="71"/>
      <c r="K29" s="72">
        <f>Table410016115911211512019293032122[[#This Row],[2006]]-Table410016115911211512019293032122[[#This Row],[2002]]</f>
        <v>0</v>
      </c>
      <c r="L29" s="71"/>
      <c r="M29" s="72">
        <f>Table410016115911211512019293032122[[#This Row],[2010]]-Table410016115911211512019293032122[[#This Row],[2006]]</f>
        <v>0</v>
      </c>
      <c r="N29" s="71"/>
      <c r="O29" s="72">
        <f>Table410016115911211512019293032122[[#This Row],[2014]]-Table410016115911211512019293032122[[#This Row],[2010]]</f>
        <v>2</v>
      </c>
      <c r="P29" s="71">
        <v>2</v>
      </c>
      <c r="Q29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2</v>
      </c>
      <c r="R29" s="157">
        <v>70</v>
      </c>
      <c r="T29" s="9">
        <f>(H9/T28)*100</f>
        <v>0</v>
      </c>
      <c r="U29" s="9">
        <f>(H19/U28)*100</f>
        <v>0</v>
      </c>
      <c r="V29" s="9">
        <f>(H25/V28)*100</f>
        <v>0</v>
      </c>
      <c r="W29" s="9">
        <f>(H30/W28)*100</f>
        <v>0</v>
      </c>
      <c r="X29" s="9">
        <f>(H34/X28)*100</f>
        <v>0</v>
      </c>
    </row>
    <row r="30" spans="1:24" ht="19">
      <c r="A30" s="93" t="s">
        <v>413</v>
      </c>
      <c r="B30" s="79">
        <f>SUM(B26:B29)</f>
        <v>0</v>
      </c>
      <c r="C30" s="79">
        <f>Table410016115911211512019293032122[[#This Row],[1990]]-Table410016115911211512019293032122[[#This Row],[1986]]</f>
        <v>0</v>
      </c>
      <c r="D30" s="79">
        <f>SUM(D26:D29)</f>
        <v>0</v>
      </c>
      <c r="E30" s="80">
        <f>Table410016115911211512019293032122[[#This Row],[1994]]-Table410016115911211512019293032122[[#This Row],[1990]]</f>
        <v>0</v>
      </c>
      <c r="F30" s="79">
        <f>SUM(F26:F29)</f>
        <v>0</v>
      </c>
      <c r="G30" s="80">
        <f>Table410016115911211512019293032122[[#This Row],[1998]]-Table410016115911211512019293032122[[#This Row],[1994]]</f>
        <v>0</v>
      </c>
      <c r="H30" s="79">
        <f>SUM(H26:H29)</f>
        <v>0</v>
      </c>
      <c r="I30" s="80">
        <f>Table410016115911211512019293032122[[#This Row],[2002]]-Table410016115911211512019293032122[[#This Row],[1998]]</f>
        <v>0</v>
      </c>
      <c r="J30" s="79">
        <f>SUM(J26:J29)</f>
        <v>0</v>
      </c>
      <c r="K30" s="80">
        <f>Table410016115911211512019293032122[[#This Row],[2006]]-Table410016115911211512019293032122[[#This Row],[2002]]</f>
        <v>0</v>
      </c>
      <c r="L30" s="79">
        <f>SUM(L26:L29)</f>
        <v>0</v>
      </c>
      <c r="M30" s="80">
        <f>Table410016115911211512019293032122[[#This Row],[2010]]-Table410016115911211512019293032122[[#This Row],[2006]]</f>
        <v>0</v>
      </c>
      <c r="N30" s="79">
        <f>SUM(N26:N29)</f>
        <v>0</v>
      </c>
      <c r="O30" s="80">
        <f>Table410016115911211512019293032122[[#This Row],[2014]]-Table410016115911211512019293032122[[#This Row],[2010]]</f>
        <v>6</v>
      </c>
      <c r="P30" s="79">
        <f>SUM(P26:P29)</f>
        <v>6</v>
      </c>
      <c r="Q30" s="94">
        <f>SUM(Q26:Q29)</f>
        <v>6</v>
      </c>
      <c r="R30" s="165">
        <f>SUM(R26:R29)</f>
        <v>179</v>
      </c>
    </row>
    <row r="31" spans="1:24" ht="19">
      <c r="A31" s="88" t="s">
        <v>13</v>
      </c>
      <c r="B31" s="71"/>
      <c r="C31" s="72">
        <f>Table410016115911211512019293032122[[#This Row],[1990]]-Table410016115911211512019293032122[[#This Row],[1986]]</f>
        <v>0</v>
      </c>
      <c r="D31" s="71"/>
      <c r="E31" s="72">
        <f>Table410016115911211512019293032122[[#This Row],[1994]]-Table410016115911211512019293032122[[#This Row],[1990]]</f>
        <v>0</v>
      </c>
      <c r="F31" s="71"/>
      <c r="G31" s="72">
        <f>Table410016115911211512019293032122[[#This Row],[1998]]-Table410016115911211512019293032122[[#This Row],[1994]]</f>
        <v>0</v>
      </c>
      <c r="H31" s="71"/>
      <c r="I31" s="72">
        <f>Table410016115911211512019293032122[[#This Row],[2002]]-Table410016115911211512019293032122[[#This Row],[1998]]</f>
        <v>0</v>
      </c>
      <c r="J31" s="71"/>
      <c r="K31" s="72">
        <f>Table410016115911211512019293032122[[#This Row],[2006]]-Table410016115911211512019293032122[[#This Row],[2002]]</f>
        <v>0</v>
      </c>
      <c r="L31" s="71"/>
      <c r="M31" s="72">
        <f>Table410016115911211512019293032122[[#This Row],[2010]]-Table410016115911211512019293032122[[#This Row],[2006]]</f>
        <v>0</v>
      </c>
      <c r="N31" s="71"/>
      <c r="O31" s="72">
        <f>Table410016115911211512019293032122[[#This Row],[2014]]-Table410016115911211512019293032122[[#This Row],[2010]]</f>
        <v>1</v>
      </c>
      <c r="P31" s="71">
        <v>1</v>
      </c>
      <c r="Q31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1</v>
      </c>
      <c r="R31" s="157">
        <v>30</v>
      </c>
      <c r="T31" s="178" t="s">
        <v>421</v>
      </c>
      <c r="U31" s="178"/>
      <c r="V31" s="178"/>
      <c r="W31" s="178"/>
      <c r="X31" s="178"/>
    </row>
    <row r="32" spans="1:24" ht="19">
      <c r="A32" s="88" t="s">
        <v>62</v>
      </c>
      <c r="B32" s="72"/>
      <c r="C32" s="72">
        <f>Table410016115911211512019293032122[[#This Row],[1990]]-Table410016115911211512019293032122[[#This Row],[1986]]</f>
        <v>0</v>
      </c>
      <c r="D32" s="72"/>
      <c r="E32" s="72">
        <f>Table410016115911211512019293032122[[#This Row],[1994]]-Table410016115911211512019293032122[[#This Row],[1990]]</f>
        <v>0</v>
      </c>
      <c r="F32" s="72"/>
      <c r="G32" s="72">
        <f>Table410016115911211512019293032122[[#This Row],[1998]]-Table410016115911211512019293032122[[#This Row],[1994]]</f>
        <v>0</v>
      </c>
      <c r="H32" s="72"/>
      <c r="I32" s="72">
        <f>Table410016115911211512019293032122[[#This Row],[2002]]-Table410016115911211512019293032122[[#This Row],[1998]]</f>
        <v>0</v>
      </c>
      <c r="J32" s="72"/>
      <c r="K32" s="72">
        <f>Table410016115911211512019293032122[[#This Row],[2006]]-Table410016115911211512019293032122[[#This Row],[2002]]</f>
        <v>0</v>
      </c>
      <c r="L32" s="72"/>
      <c r="M32" s="72">
        <f>Table410016115911211512019293032122[[#This Row],[2010]]-Table410016115911211512019293032122[[#This Row],[2006]]</f>
        <v>0</v>
      </c>
      <c r="N32" s="72"/>
      <c r="O32" s="72">
        <f>Table410016115911211512019293032122[[#This Row],[2014]]-Table410016115911211512019293032122[[#This Row],[2010]]</f>
        <v>0</v>
      </c>
      <c r="P32" s="72"/>
      <c r="Q32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0</v>
      </c>
      <c r="R32" s="157">
        <v>31</v>
      </c>
      <c r="T32" s="65" t="s">
        <v>410</v>
      </c>
      <c r="U32" s="66" t="s">
        <v>411</v>
      </c>
      <c r="V32" s="67" t="s">
        <v>412</v>
      </c>
      <c r="W32" s="68" t="s">
        <v>413</v>
      </c>
      <c r="X32" s="69" t="s">
        <v>414</v>
      </c>
    </row>
    <row r="33" spans="1:24" ht="19">
      <c r="A33" s="88" t="s">
        <v>60</v>
      </c>
      <c r="B33" s="71"/>
      <c r="C33" s="72">
        <f>Table410016115911211512019293032122[[#This Row],[1990]]-Table410016115911211512019293032122[[#This Row],[1986]]</f>
        <v>0</v>
      </c>
      <c r="D33" s="71"/>
      <c r="E33" s="72">
        <f>Table410016115911211512019293032122[[#This Row],[1994]]-Table410016115911211512019293032122[[#This Row],[1990]]</f>
        <v>0</v>
      </c>
      <c r="F33" s="71"/>
      <c r="G33" s="72">
        <f>Table410016115911211512019293032122[[#This Row],[1998]]-Table410016115911211512019293032122[[#This Row],[1994]]</f>
        <v>0</v>
      </c>
      <c r="H33" s="71"/>
      <c r="I33" s="72">
        <f>Table410016115911211512019293032122[[#This Row],[2002]]-Table410016115911211512019293032122[[#This Row],[1998]]</f>
        <v>0</v>
      </c>
      <c r="J33" s="71"/>
      <c r="K33" s="72">
        <f>Table410016115911211512019293032122[[#This Row],[2006]]-Table410016115911211512019293032122[[#This Row],[2002]]</f>
        <v>0</v>
      </c>
      <c r="L33" s="71"/>
      <c r="M33" s="72">
        <f>Table410016115911211512019293032122[[#This Row],[2010]]-Table410016115911211512019293032122[[#This Row],[2006]]</f>
        <v>0</v>
      </c>
      <c r="N33" s="71"/>
      <c r="O33" s="72">
        <f>Table410016115911211512019293032122[[#This Row],[2014]]-Table410016115911211512019293032122[[#This Row],[2010]]</f>
        <v>0</v>
      </c>
      <c r="P33" s="71"/>
      <c r="Q33" s="73">
        <f>SUM(Table410016115911211512019293032122[[#This Row],[1986]],Table410016115911211512019293032122[[#This Row],[1990]],Table410016115911211512019293032122[[#This Row],[1994]],Table410016115911211512019293032122[[#This Row],[1998]],Table410016115911211512019293032122[[#This Row],[2002]],Table410016115911211512019293032122[[#This Row],[2006]],Table410016115911211512019293032122[[#This Row],[2010]],Table410016115911211512019293032122[[#This Row],[2014]])</f>
        <v>0</v>
      </c>
      <c r="R33" s="157">
        <v>16</v>
      </c>
      <c r="T33" s="9">
        <f>R9</f>
        <v>57</v>
      </c>
      <c r="U33" s="9">
        <f>R19</f>
        <v>151</v>
      </c>
      <c r="V33" s="9">
        <f>R25</f>
        <v>49</v>
      </c>
      <c r="W33" s="9">
        <f>R30</f>
        <v>179</v>
      </c>
      <c r="X33" s="9">
        <f>R34</f>
        <v>77</v>
      </c>
    </row>
    <row r="34" spans="1:24" ht="19">
      <c r="A34" s="96" t="s">
        <v>414</v>
      </c>
      <c r="B34" s="97">
        <f>SUM(B31:B33)</f>
        <v>0</v>
      </c>
      <c r="C34" s="97">
        <f>Table410016115911211512019293032122[[#This Row],[1990]]-Table410016115911211512019293032122[[#This Row],[1986]]</f>
        <v>0</v>
      </c>
      <c r="D34" s="97">
        <f>SUM(D31:D33)</f>
        <v>0</v>
      </c>
      <c r="E34" s="80">
        <f>Table410016115911211512019293032122[[#This Row],[1994]]-Table410016115911211512019293032122[[#This Row],[1990]]</f>
        <v>0</v>
      </c>
      <c r="F34" s="97">
        <f>SUM(F31:F33)</f>
        <v>0</v>
      </c>
      <c r="G34" s="80">
        <f>Table410016115911211512019293032122[[#This Row],[1998]]-Table410016115911211512019293032122[[#This Row],[1994]]</f>
        <v>0</v>
      </c>
      <c r="H34" s="97">
        <f>SUM(H31:H33)</f>
        <v>0</v>
      </c>
      <c r="I34" s="80">
        <f>Table410016115911211512019293032122[[#This Row],[2002]]-Table410016115911211512019293032122[[#This Row],[1998]]</f>
        <v>0</v>
      </c>
      <c r="J34" s="97">
        <f>SUM(J31:J33)</f>
        <v>0</v>
      </c>
      <c r="K34" s="80">
        <f>Table410016115911211512019293032122[[#This Row],[2006]]-Table410016115911211512019293032122[[#This Row],[2002]]</f>
        <v>0</v>
      </c>
      <c r="L34" s="97">
        <f>SUM(L31:L33)</f>
        <v>0</v>
      </c>
      <c r="M34" s="80">
        <f>Table410016115911211512019293032122[[#This Row],[2010]]-Table410016115911211512019293032122[[#This Row],[2006]]</f>
        <v>0</v>
      </c>
      <c r="N34" s="97">
        <f>SUM(N31:N33)</f>
        <v>0</v>
      </c>
      <c r="O34" s="80">
        <f>Table410016115911211512019293032122[[#This Row],[2014]]-Table410016115911211512019293032122[[#This Row],[2010]]</f>
        <v>1</v>
      </c>
      <c r="P34" s="97">
        <f>SUM(P31:P33)</f>
        <v>1</v>
      </c>
      <c r="Q34" s="98">
        <f>SUM(Q31:Q33)</f>
        <v>1</v>
      </c>
      <c r="R34" s="167">
        <f>SUM(R31:R33)</f>
        <v>77</v>
      </c>
      <c r="T34" s="9">
        <f>(F9/T33)*100</f>
        <v>0</v>
      </c>
      <c r="U34" s="9">
        <f>(F19/U33)*100</f>
        <v>0</v>
      </c>
      <c r="V34" s="9">
        <f>(F25/V33)*100</f>
        <v>0</v>
      </c>
      <c r="W34" s="9">
        <f>(F30/W33)*100</f>
        <v>0</v>
      </c>
      <c r="X34" s="9">
        <f>(F34/X33)*100</f>
        <v>0</v>
      </c>
    </row>
    <row r="35" spans="1:24" ht="19">
      <c r="A35" s="100" t="s">
        <v>420</v>
      </c>
      <c r="B35" s="101">
        <f>SUM(B9,B19,B25,B30,B34)</f>
        <v>0</v>
      </c>
      <c r="C35" s="101">
        <f>Table410016115911211512019293032122[[#This Row],[1990]]-Table410016115911211512019293032122[[#This Row],[1986]]</f>
        <v>0</v>
      </c>
      <c r="D35" s="101">
        <f>SUM(D9,D19,D25,D30,D34)</f>
        <v>0</v>
      </c>
      <c r="E35" s="80">
        <f>Table410016115911211512019293032122[[#This Row],[1994]]-Table410016115911211512019293032122[[#This Row],[1990]]</f>
        <v>0</v>
      </c>
      <c r="F35" s="101">
        <f>SUM(F9,F19,F25,F30,F34)</f>
        <v>0</v>
      </c>
      <c r="G35" s="80">
        <f>Table410016115911211512019293032122[[#This Row],[1998]]-Table410016115911211512019293032122[[#This Row],[1994]]</f>
        <v>0</v>
      </c>
      <c r="H35" s="101">
        <f>SUM(H9,H19,H25,H30,H34)</f>
        <v>0</v>
      </c>
      <c r="I35" s="80">
        <f>Table410016115911211512019293032122[[#This Row],[2002]]-Table410016115911211512019293032122[[#This Row],[1998]]</f>
        <v>0</v>
      </c>
      <c r="J35" s="101">
        <f>SUM(J9,J19,J25,J30,J34)</f>
        <v>0</v>
      </c>
      <c r="K35" s="80">
        <f>Table410016115911211512019293032122[[#This Row],[2006]]-Table410016115911211512019293032122[[#This Row],[2002]]</f>
        <v>0</v>
      </c>
      <c r="L35" s="101">
        <f>SUM(L9,L19,L25,L30,L34)</f>
        <v>0</v>
      </c>
      <c r="M35" s="80">
        <f>Table410016115911211512019293032122[[#This Row],[2010]]-Table410016115911211512019293032122[[#This Row],[2006]]</f>
        <v>0</v>
      </c>
      <c r="N35" s="101">
        <f>SUM(N9,N19,N25,N30,N34)</f>
        <v>0</v>
      </c>
      <c r="O35" s="80">
        <f>Table410016115911211512019293032122[[#This Row],[2014]]-Table410016115911211512019293032122[[#This Row],[2010]]</f>
        <v>15</v>
      </c>
      <c r="P35" s="101">
        <f>SUM(P9,P19,P25,P30,P34)</f>
        <v>15</v>
      </c>
      <c r="Q35" s="102">
        <f>SUM(Q9,Q19,Q25,Q30,Q34)</f>
        <v>15</v>
      </c>
      <c r="R35" s="157">
        <f>SUM(R9,R19,R25,R30,R34)</f>
        <v>513</v>
      </c>
    </row>
    <row r="36" spans="1:24">
      <c r="T36" s="178" t="s">
        <v>422</v>
      </c>
      <c r="U36" s="178"/>
      <c r="V36" s="178"/>
      <c r="W36" s="178"/>
      <c r="X36" s="178"/>
    </row>
    <row r="37" spans="1:24">
      <c r="T37" s="65" t="s">
        <v>410</v>
      </c>
      <c r="U37" s="66" t="s">
        <v>411</v>
      </c>
      <c r="V37" s="67" t="s">
        <v>412</v>
      </c>
      <c r="W37" s="68" t="s">
        <v>413</v>
      </c>
      <c r="X37" s="69" t="s">
        <v>414</v>
      </c>
    </row>
    <row r="38" spans="1:24">
      <c r="T38" s="9">
        <f>R9</f>
        <v>57</v>
      </c>
      <c r="U38" s="9">
        <f>R19</f>
        <v>151</v>
      </c>
      <c r="V38" s="9">
        <f>R25</f>
        <v>49</v>
      </c>
      <c r="W38" s="9">
        <f>R30</f>
        <v>179</v>
      </c>
      <c r="X38" s="9">
        <f>R34</f>
        <v>77</v>
      </c>
    </row>
    <row r="39" spans="1:24">
      <c r="T39" s="9">
        <f>(D9/T38)*100</f>
        <v>0</v>
      </c>
      <c r="U39" s="9">
        <f>(D19/U38)*100</f>
        <v>0</v>
      </c>
      <c r="V39" s="9">
        <f>(D25/V38)*100</f>
        <v>0</v>
      </c>
      <c r="W39" s="9">
        <f>(D30/W38)*100</f>
        <v>0</v>
      </c>
      <c r="X39" s="9">
        <f>(D34/X38)*100</f>
        <v>0</v>
      </c>
    </row>
    <row r="41" spans="1:24">
      <c r="T41" s="178" t="s">
        <v>422</v>
      </c>
      <c r="U41" s="178"/>
      <c r="V41" s="178"/>
      <c r="W41" s="178"/>
      <c r="X41" s="178"/>
    </row>
    <row r="42" spans="1:24">
      <c r="T42" s="65" t="s">
        <v>410</v>
      </c>
      <c r="U42" s="66" t="s">
        <v>411</v>
      </c>
      <c r="V42" s="67" t="s">
        <v>412</v>
      </c>
      <c r="W42" s="68" t="s">
        <v>413</v>
      </c>
      <c r="X42" s="69" t="s">
        <v>414</v>
      </c>
    </row>
    <row r="43" spans="1:24">
      <c r="T43" s="9">
        <f>R9</f>
        <v>57</v>
      </c>
      <c r="U43" s="9">
        <f>R19</f>
        <v>151</v>
      </c>
      <c r="V43" s="9">
        <f>R25</f>
        <v>49</v>
      </c>
      <c r="W43" s="9">
        <f>R30</f>
        <v>179</v>
      </c>
      <c r="X43" s="9">
        <f>R34</f>
        <v>77</v>
      </c>
    </row>
    <row r="44" spans="1:24">
      <c r="T44" s="9">
        <f>(B9/T43)*100</f>
        <v>0</v>
      </c>
      <c r="U44" s="9">
        <f>(B19/U43)*100</f>
        <v>0</v>
      </c>
      <c r="V44" s="9">
        <f>(B25/V43)*100</f>
        <v>0</v>
      </c>
      <c r="W44" s="9">
        <f>(B30/W43)*100</f>
        <v>0</v>
      </c>
      <c r="X44" s="9">
        <f>(B34/X43)*100</f>
        <v>0</v>
      </c>
    </row>
  </sheetData>
  <mergeCells count="10">
    <mergeCell ref="T26:X26"/>
    <mergeCell ref="T31:X31"/>
    <mergeCell ref="T36:X36"/>
    <mergeCell ref="T41:X41"/>
    <mergeCell ref="A1:Q1"/>
    <mergeCell ref="T1:X1"/>
    <mergeCell ref="T6:X6"/>
    <mergeCell ref="T11:X11"/>
    <mergeCell ref="T16:X16"/>
    <mergeCell ref="T21:X21"/>
  </mergeCells>
  <conditionalFormatting sqref="C3">
    <cfRule type="cellIs" dxfId="23" priority="7" operator="greaterThan">
      <formula>0</formula>
    </cfRule>
  </conditionalFormatting>
  <conditionalFormatting sqref="O3:O35">
    <cfRule type="cellIs" dxfId="22" priority="1" operator="lessThan">
      <formula>0</formula>
    </cfRule>
    <cfRule type="cellIs" dxfId="21" priority="2" operator="greaterThan">
      <formula>0</formula>
    </cfRule>
  </conditionalFormatting>
  <conditionalFormatting sqref="C4:C35">
    <cfRule type="cellIs" dxfId="20" priority="11" operator="greaterThan">
      <formula>0</formula>
    </cfRule>
  </conditionalFormatting>
  <conditionalFormatting sqref="C4:C35 E4:E35 G3:G35 I3:I35 K3:K35 M3:M35">
    <cfRule type="cellIs" dxfId="19" priority="10" operator="greaterThan">
      <formula>0</formula>
    </cfRule>
  </conditionalFormatting>
  <conditionalFormatting sqref="C4:C35 E4:E35 G3:G35 I3:I35 K3:K35 M3:M35">
    <cfRule type="cellIs" dxfId="18" priority="9" operator="lessThan">
      <formula>0</formula>
    </cfRule>
  </conditionalFormatting>
  <conditionalFormatting sqref="C3">
    <cfRule type="cellIs" dxfId="17" priority="8" operator="greaterThan">
      <formula>0</formula>
    </cfRule>
  </conditionalFormatting>
  <conditionalFormatting sqref="C3">
    <cfRule type="cellIs" dxfId="16" priority="6" operator="lessThan">
      <formula>0</formula>
    </cfRule>
  </conditionalFormatting>
  <conditionalFormatting sqref="E3">
    <cfRule type="cellIs" dxfId="15" priority="5" operator="greaterThan">
      <formula>0</formula>
    </cfRule>
  </conditionalFormatting>
  <conditionalFormatting sqref="E3">
    <cfRule type="cellIs" dxfId="14" priority="4" operator="greaterThan">
      <formula>0</formula>
    </cfRule>
  </conditionalFormatting>
  <conditionalFormatting sqref="E3">
    <cfRule type="cellIs" dxfId="13" priority="3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86"/>
  <sheetViews>
    <sheetView workbookViewId="0">
      <selection activeCell="K13" sqref="K13"/>
    </sheetView>
  </sheetViews>
  <sheetFormatPr baseColWidth="10" defaultRowHeight="16"/>
  <cols>
    <col min="1" max="1" width="29.1640625" customWidth="1"/>
    <col min="22" max="22" width="10.83203125" customWidth="1"/>
  </cols>
  <sheetData>
    <row r="1" spans="1:43">
      <c r="A1" s="170" t="s">
        <v>45</v>
      </c>
      <c r="B1" s="170"/>
      <c r="C1" s="170"/>
      <c r="D1" s="170"/>
      <c r="E1" s="170"/>
      <c r="F1" s="170"/>
      <c r="G1" s="170"/>
      <c r="H1" s="170"/>
      <c r="I1" s="170"/>
      <c r="J1" s="170"/>
      <c r="K1" s="16"/>
      <c r="L1" s="171" t="s">
        <v>46</v>
      </c>
      <c r="M1" s="171"/>
      <c r="N1" s="171"/>
      <c r="O1" s="171"/>
      <c r="P1" s="16"/>
      <c r="Q1" s="16"/>
      <c r="R1" s="172" t="s">
        <v>47</v>
      </c>
      <c r="S1" s="172"/>
      <c r="T1" s="172"/>
      <c r="U1" s="172"/>
      <c r="V1" s="172"/>
      <c r="W1" s="172"/>
      <c r="X1" s="18"/>
      <c r="Y1" s="19" t="s">
        <v>48</v>
      </c>
      <c r="Z1" s="5">
        <v>1990</v>
      </c>
      <c r="AA1" s="5"/>
      <c r="AB1" s="5">
        <v>1994</v>
      </c>
      <c r="AC1" s="5"/>
      <c r="AD1" s="5">
        <v>1998</v>
      </c>
      <c r="AE1" s="5"/>
      <c r="AF1" s="5">
        <v>2002</v>
      </c>
      <c r="AG1" s="5"/>
      <c r="AH1" s="5">
        <v>2006</v>
      </c>
      <c r="AI1" s="5"/>
      <c r="AJ1" s="5">
        <v>2010</v>
      </c>
      <c r="AK1" s="5"/>
      <c r="AL1" s="5">
        <v>2014</v>
      </c>
      <c r="AM1" s="5"/>
      <c r="AN1" s="5">
        <v>2018</v>
      </c>
      <c r="AO1" s="20" t="s">
        <v>1</v>
      </c>
      <c r="AQ1" s="16"/>
    </row>
    <row r="2" spans="1:43">
      <c r="A2" s="21" t="s">
        <v>49</v>
      </c>
      <c r="B2" s="22">
        <v>1990</v>
      </c>
      <c r="C2" s="22">
        <v>1994</v>
      </c>
      <c r="D2" s="22">
        <v>1998</v>
      </c>
      <c r="E2" s="22">
        <v>2002</v>
      </c>
      <c r="F2" s="22">
        <v>2006</v>
      </c>
      <c r="G2" s="22">
        <v>2010</v>
      </c>
      <c r="H2" s="22">
        <v>2014</v>
      </c>
      <c r="I2" s="22">
        <v>2018</v>
      </c>
      <c r="J2" s="23" t="s">
        <v>1</v>
      </c>
      <c r="K2" s="16"/>
      <c r="L2" s="24">
        <v>1</v>
      </c>
      <c r="M2" s="24">
        <v>2</v>
      </c>
      <c r="N2" s="24">
        <v>3</v>
      </c>
      <c r="O2" s="24">
        <v>4</v>
      </c>
      <c r="P2" s="16"/>
      <c r="Q2" s="16"/>
      <c r="R2" s="25"/>
      <c r="S2" s="26">
        <v>1</v>
      </c>
      <c r="T2" s="26">
        <v>2</v>
      </c>
      <c r="U2" s="26">
        <v>3</v>
      </c>
      <c r="V2" s="26">
        <v>4</v>
      </c>
      <c r="W2" s="27" t="s">
        <v>1</v>
      </c>
      <c r="X2" s="18"/>
      <c r="Y2" s="6" t="s">
        <v>3</v>
      </c>
      <c r="Z2" s="12">
        <v>44</v>
      </c>
      <c r="AA2" s="12">
        <f t="shared" ref="AA2:AA24" si="0">AB2-Z2</f>
        <v>-23</v>
      </c>
      <c r="AB2" s="12">
        <v>21</v>
      </c>
      <c r="AC2" s="12">
        <f t="shared" ref="AC2:AC24" si="1">AD2-AB2</f>
        <v>5</v>
      </c>
      <c r="AD2" s="12">
        <v>26</v>
      </c>
      <c r="AE2" s="12">
        <f t="shared" ref="AE2:AE24" si="2">AF2-AD2</f>
        <v>-4</v>
      </c>
      <c r="AF2" s="12">
        <v>22</v>
      </c>
      <c r="AG2" s="12">
        <f t="shared" ref="AG2:AG24" si="3">AH2-AF2</f>
        <v>-8</v>
      </c>
      <c r="AH2" s="12">
        <v>14</v>
      </c>
      <c r="AI2" s="12">
        <f t="shared" ref="AI2:AI24" si="4">AJ2-AH2</f>
        <v>7</v>
      </c>
      <c r="AJ2" s="12">
        <v>21</v>
      </c>
      <c r="AK2" s="12">
        <f t="shared" ref="AK2:AK24" si="5">AL2-AJ2</f>
        <v>2</v>
      </c>
      <c r="AL2" s="12">
        <v>23</v>
      </c>
      <c r="AM2" s="12">
        <f t="shared" ref="AM2:AM24" si="6">AN2-AL2</f>
        <v>-23</v>
      </c>
      <c r="AN2" s="12"/>
      <c r="AO2" s="11">
        <f t="shared" ref="AO2:AO24" si="7">SUM(Z2,AB2,AD2,AF2,AH2,AJ2,AL2)</f>
        <v>171</v>
      </c>
      <c r="AQ2" s="16"/>
    </row>
    <row r="3" spans="1:43">
      <c r="A3" s="28" t="s">
        <v>50</v>
      </c>
      <c r="B3" s="29" t="s">
        <v>51</v>
      </c>
      <c r="C3" s="30" t="s">
        <v>51</v>
      </c>
      <c r="D3" s="29"/>
      <c r="E3" s="30"/>
      <c r="F3" s="29"/>
      <c r="G3" s="30"/>
      <c r="H3" s="29"/>
      <c r="I3" s="30"/>
      <c r="J3" s="31">
        <v>1</v>
      </c>
      <c r="K3" s="16"/>
      <c r="L3" s="9">
        <v>4</v>
      </c>
      <c r="M3" s="9">
        <v>4</v>
      </c>
      <c r="N3" s="32">
        <v>0</v>
      </c>
      <c r="O3" s="32">
        <v>0</v>
      </c>
      <c r="P3" s="16"/>
      <c r="Q3" s="16"/>
      <c r="R3" s="33" t="s">
        <v>52</v>
      </c>
      <c r="S3" s="34">
        <v>4</v>
      </c>
      <c r="T3" s="34">
        <v>4</v>
      </c>
      <c r="U3" s="34"/>
      <c r="V3" s="35"/>
      <c r="W3" s="36">
        <f>SUM(S3:V3)</f>
        <v>8</v>
      </c>
      <c r="X3" s="18"/>
      <c r="Y3" s="6" t="s">
        <v>5</v>
      </c>
      <c r="Z3" s="12">
        <v>1</v>
      </c>
      <c r="AA3" s="12">
        <f t="shared" si="0"/>
        <v>4</v>
      </c>
      <c r="AB3" s="12">
        <v>5</v>
      </c>
      <c r="AC3" s="12">
        <f t="shared" si="1"/>
        <v>2</v>
      </c>
      <c r="AD3" s="12">
        <v>7</v>
      </c>
      <c r="AE3" s="12">
        <f t="shared" si="2"/>
        <v>6</v>
      </c>
      <c r="AF3" s="12">
        <v>13</v>
      </c>
      <c r="AG3" s="12">
        <f t="shared" si="3"/>
        <v>-1</v>
      </c>
      <c r="AH3" s="12">
        <v>12</v>
      </c>
      <c r="AI3" s="12">
        <f t="shared" si="4"/>
        <v>1</v>
      </c>
      <c r="AJ3" s="12">
        <v>13</v>
      </c>
      <c r="AK3" s="12">
        <f t="shared" si="5"/>
        <v>-1</v>
      </c>
      <c r="AL3" s="12">
        <v>12</v>
      </c>
      <c r="AM3" s="12">
        <f t="shared" si="6"/>
        <v>-12</v>
      </c>
      <c r="AN3" s="12"/>
      <c r="AO3" s="11">
        <f t="shared" si="7"/>
        <v>63</v>
      </c>
      <c r="AQ3" s="16"/>
    </row>
    <row r="4" spans="1:43">
      <c r="A4" s="28" t="s">
        <v>53</v>
      </c>
      <c r="B4" s="29" t="s">
        <v>51</v>
      </c>
      <c r="C4" s="30" t="s">
        <v>51</v>
      </c>
      <c r="D4" s="29" t="s">
        <v>51</v>
      </c>
      <c r="E4" s="30"/>
      <c r="F4" s="29"/>
      <c r="G4" s="30"/>
      <c r="H4" s="29"/>
      <c r="I4" s="30"/>
      <c r="J4" s="31">
        <v>2</v>
      </c>
      <c r="K4" s="16"/>
      <c r="L4" s="9">
        <f>(L3/8)*100</f>
        <v>50</v>
      </c>
      <c r="M4" s="9">
        <f>(M3/8)*100</f>
        <v>50</v>
      </c>
      <c r="N4" s="9">
        <f>(N3/8)*100</f>
        <v>0</v>
      </c>
      <c r="O4" s="9">
        <f>(O3/8)*100</f>
        <v>0</v>
      </c>
      <c r="P4" s="16"/>
      <c r="Q4" s="16"/>
      <c r="R4" s="33" t="s">
        <v>54</v>
      </c>
      <c r="S4" s="34">
        <v>5</v>
      </c>
      <c r="T4" s="34">
        <v>2</v>
      </c>
      <c r="U4" s="34">
        <v>1</v>
      </c>
      <c r="V4" s="35"/>
      <c r="W4" s="36">
        <f t="shared" ref="W4:W29" si="8">SUM(S4:V4)</f>
        <v>8</v>
      </c>
      <c r="X4" s="18"/>
      <c r="Y4" s="6" t="s">
        <v>6</v>
      </c>
      <c r="Z4" s="12">
        <v>1</v>
      </c>
      <c r="AA4" s="12">
        <f t="shared" si="0"/>
        <v>9</v>
      </c>
      <c r="AB4" s="12">
        <v>10</v>
      </c>
      <c r="AC4" s="12">
        <f t="shared" si="1"/>
        <v>3</v>
      </c>
      <c r="AD4" s="12">
        <v>13</v>
      </c>
      <c r="AE4" s="12">
        <f t="shared" si="2"/>
        <v>-1</v>
      </c>
      <c r="AF4" s="12">
        <v>12</v>
      </c>
      <c r="AG4" s="12">
        <f t="shared" si="3"/>
        <v>1</v>
      </c>
      <c r="AH4" s="12">
        <v>13</v>
      </c>
      <c r="AI4" s="12">
        <f t="shared" si="4"/>
        <v>-4</v>
      </c>
      <c r="AJ4" s="12">
        <v>9</v>
      </c>
      <c r="AK4" s="12">
        <f t="shared" si="5"/>
        <v>-1</v>
      </c>
      <c r="AL4" s="12">
        <v>8</v>
      </c>
      <c r="AM4" s="12">
        <f t="shared" si="6"/>
        <v>-8</v>
      </c>
      <c r="AN4" s="12"/>
      <c r="AO4" s="11">
        <f t="shared" si="7"/>
        <v>66</v>
      </c>
      <c r="AQ4" s="16"/>
    </row>
    <row r="5" spans="1:43">
      <c r="A5" s="28" t="s">
        <v>55</v>
      </c>
      <c r="B5" s="29" t="s">
        <v>22</v>
      </c>
      <c r="C5" s="30"/>
      <c r="D5" s="29"/>
      <c r="E5" s="30"/>
      <c r="F5" s="29"/>
      <c r="G5" s="30"/>
      <c r="H5" s="29"/>
      <c r="I5" s="30"/>
      <c r="J5" s="31">
        <v>1</v>
      </c>
      <c r="K5" s="16"/>
      <c r="L5" s="37"/>
      <c r="M5" s="16"/>
      <c r="N5" s="16"/>
      <c r="O5" s="16"/>
      <c r="P5" s="16"/>
      <c r="Q5" s="16"/>
      <c r="R5" s="33" t="s">
        <v>56</v>
      </c>
      <c r="S5" s="34">
        <v>5</v>
      </c>
      <c r="T5" s="34">
        <v>1</v>
      </c>
      <c r="U5" s="34">
        <v>2</v>
      </c>
      <c r="V5" s="35"/>
      <c r="W5" s="36">
        <f t="shared" si="8"/>
        <v>8</v>
      </c>
      <c r="X5" s="18"/>
      <c r="Y5" s="6" t="s">
        <v>10</v>
      </c>
      <c r="Z5" s="12"/>
      <c r="AA5" s="12">
        <f t="shared" si="0"/>
        <v>1</v>
      </c>
      <c r="AB5" s="38">
        <v>1</v>
      </c>
      <c r="AC5" s="12">
        <f t="shared" si="1"/>
        <v>1</v>
      </c>
      <c r="AD5" s="12">
        <v>2</v>
      </c>
      <c r="AE5" s="12">
        <f t="shared" si="2"/>
        <v>2</v>
      </c>
      <c r="AF5" s="12">
        <v>4</v>
      </c>
      <c r="AG5" s="12">
        <f t="shared" si="3"/>
        <v>0</v>
      </c>
      <c r="AH5" s="12">
        <v>4</v>
      </c>
      <c r="AI5" s="12">
        <f t="shared" si="4"/>
        <v>1</v>
      </c>
      <c r="AJ5" s="12">
        <v>5</v>
      </c>
      <c r="AK5" s="12">
        <f t="shared" si="5"/>
        <v>2</v>
      </c>
      <c r="AL5" s="12">
        <v>7</v>
      </c>
      <c r="AM5" s="12">
        <f t="shared" si="6"/>
        <v>-7</v>
      </c>
      <c r="AN5" s="12"/>
      <c r="AO5" s="11">
        <f t="shared" si="7"/>
        <v>23</v>
      </c>
      <c r="AQ5" s="16"/>
    </row>
    <row r="6" spans="1:43">
      <c r="A6" s="28" t="s">
        <v>57</v>
      </c>
      <c r="B6" s="29"/>
      <c r="C6" s="30" t="s">
        <v>58</v>
      </c>
      <c r="D6" s="29" t="s">
        <v>58</v>
      </c>
      <c r="E6" s="30" t="s">
        <v>51</v>
      </c>
      <c r="F6" s="29" t="s">
        <v>51</v>
      </c>
      <c r="G6" s="30"/>
      <c r="H6" s="29"/>
      <c r="I6" s="30"/>
      <c r="J6" s="31">
        <v>2</v>
      </c>
      <c r="K6" s="16"/>
      <c r="L6" s="171" t="s">
        <v>59</v>
      </c>
      <c r="M6" s="171"/>
      <c r="N6" s="171"/>
      <c r="O6" s="171"/>
      <c r="P6" s="16"/>
      <c r="Q6" s="16"/>
      <c r="R6" s="33" t="s">
        <v>60</v>
      </c>
      <c r="S6" s="34">
        <v>12</v>
      </c>
      <c r="T6" s="34"/>
      <c r="U6" s="34"/>
      <c r="V6" s="35"/>
      <c r="W6" s="36">
        <f t="shared" si="8"/>
        <v>12</v>
      </c>
      <c r="X6" s="18"/>
      <c r="Y6" s="6" t="s">
        <v>4</v>
      </c>
      <c r="Z6" s="12">
        <v>18</v>
      </c>
      <c r="AA6" s="12">
        <f t="shared" si="0"/>
        <v>1</v>
      </c>
      <c r="AB6" s="12">
        <v>19</v>
      </c>
      <c r="AC6" s="12">
        <f t="shared" si="1"/>
        <v>-3</v>
      </c>
      <c r="AD6" s="12">
        <v>16</v>
      </c>
      <c r="AE6" s="12">
        <f t="shared" si="2"/>
        <v>2</v>
      </c>
      <c r="AF6" s="12">
        <v>18</v>
      </c>
      <c r="AG6" s="12">
        <f t="shared" si="3"/>
        <v>1</v>
      </c>
      <c r="AH6" s="12">
        <v>19</v>
      </c>
      <c r="AI6" s="12">
        <f t="shared" si="4"/>
        <v>-11</v>
      </c>
      <c r="AJ6" s="12">
        <v>8</v>
      </c>
      <c r="AK6" s="12">
        <f t="shared" si="5"/>
        <v>-3</v>
      </c>
      <c r="AL6" s="12">
        <v>5</v>
      </c>
      <c r="AM6" s="12">
        <f t="shared" si="6"/>
        <v>-5</v>
      </c>
      <c r="AN6" s="12"/>
      <c r="AO6" s="11">
        <f t="shared" si="7"/>
        <v>103</v>
      </c>
      <c r="AQ6" s="16"/>
    </row>
    <row r="7" spans="1:43">
      <c r="A7" s="28" t="s">
        <v>61</v>
      </c>
      <c r="B7" s="29"/>
      <c r="C7" s="30"/>
      <c r="D7" s="29" t="s">
        <v>51</v>
      </c>
      <c r="E7" s="30" t="s">
        <v>51</v>
      </c>
      <c r="F7" s="29"/>
      <c r="G7" s="30"/>
      <c r="H7" s="29"/>
      <c r="I7" s="30"/>
      <c r="J7" s="31">
        <v>1</v>
      </c>
      <c r="K7" s="16"/>
      <c r="L7" s="24">
        <v>1</v>
      </c>
      <c r="M7" s="24">
        <v>2</v>
      </c>
      <c r="N7" s="24">
        <v>3</v>
      </c>
      <c r="O7" s="24">
        <v>4</v>
      </c>
      <c r="P7" s="16"/>
      <c r="Q7" s="16"/>
      <c r="R7" s="33" t="s">
        <v>62</v>
      </c>
      <c r="S7" s="34">
        <v>5</v>
      </c>
      <c r="T7" s="34">
        <v>2</v>
      </c>
      <c r="U7" s="34">
        <v>1</v>
      </c>
      <c r="V7" s="35"/>
      <c r="W7" s="36">
        <f t="shared" si="8"/>
        <v>8</v>
      </c>
      <c r="X7" s="18"/>
      <c r="Y7" s="6" t="s">
        <v>8</v>
      </c>
      <c r="Z7" s="12">
        <v>2</v>
      </c>
      <c r="AA7" s="12">
        <f t="shared" si="0"/>
        <v>3</v>
      </c>
      <c r="AB7" s="12">
        <v>5</v>
      </c>
      <c r="AC7" s="12">
        <f t="shared" si="1"/>
        <v>-1</v>
      </c>
      <c r="AD7" s="12">
        <v>4</v>
      </c>
      <c r="AE7" s="12">
        <f t="shared" si="2"/>
        <v>0</v>
      </c>
      <c r="AF7" s="12">
        <v>4</v>
      </c>
      <c r="AG7" s="12">
        <f t="shared" si="3"/>
        <v>1</v>
      </c>
      <c r="AH7" s="12">
        <v>5</v>
      </c>
      <c r="AI7" s="12">
        <f t="shared" si="4"/>
        <v>-2</v>
      </c>
      <c r="AJ7" s="12">
        <v>3</v>
      </c>
      <c r="AK7" s="12">
        <f t="shared" si="5"/>
        <v>2</v>
      </c>
      <c r="AL7" s="12">
        <v>5</v>
      </c>
      <c r="AM7" s="12">
        <f t="shared" si="6"/>
        <v>-5</v>
      </c>
      <c r="AN7" s="12"/>
      <c r="AO7" s="11">
        <f t="shared" si="7"/>
        <v>28</v>
      </c>
      <c r="AQ7" s="16"/>
    </row>
    <row r="8" spans="1:43">
      <c r="A8" s="28" t="s">
        <v>63</v>
      </c>
      <c r="B8" s="29"/>
      <c r="C8" s="30"/>
      <c r="D8" s="29"/>
      <c r="E8" s="30" t="s">
        <v>64</v>
      </c>
      <c r="F8" s="29" t="s">
        <v>64</v>
      </c>
      <c r="G8" s="30" t="s">
        <v>64</v>
      </c>
      <c r="H8" s="29" t="s">
        <v>64</v>
      </c>
      <c r="I8" s="30"/>
      <c r="J8" s="31">
        <v>2</v>
      </c>
      <c r="K8" s="16"/>
      <c r="L8" s="9">
        <v>5</v>
      </c>
      <c r="M8" s="9">
        <v>2</v>
      </c>
      <c r="N8" s="32">
        <v>1</v>
      </c>
      <c r="O8" s="32">
        <v>0</v>
      </c>
      <c r="P8" s="16"/>
      <c r="Q8" s="16"/>
      <c r="R8" s="33" t="s">
        <v>65</v>
      </c>
      <c r="S8" s="34">
        <v>5</v>
      </c>
      <c r="T8" s="34">
        <v>2</v>
      </c>
      <c r="U8" s="34">
        <v>1</v>
      </c>
      <c r="V8" s="35"/>
      <c r="W8" s="36">
        <f t="shared" si="8"/>
        <v>8</v>
      </c>
      <c r="X8" s="18"/>
      <c r="Y8" s="6" t="s">
        <v>12</v>
      </c>
      <c r="Z8" s="12"/>
      <c r="AA8" s="12">
        <f t="shared" si="0"/>
        <v>4</v>
      </c>
      <c r="AB8" s="12">
        <v>4</v>
      </c>
      <c r="AC8" s="12">
        <f t="shared" si="1"/>
        <v>0</v>
      </c>
      <c r="AD8" s="12">
        <v>4</v>
      </c>
      <c r="AE8" s="12">
        <f t="shared" si="2"/>
        <v>-4</v>
      </c>
      <c r="AF8" s="12"/>
      <c r="AG8" s="12">
        <f t="shared" si="3"/>
        <v>1</v>
      </c>
      <c r="AH8" s="12">
        <v>1</v>
      </c>
      <c r="AI8" s="12">
        <f t="shared" si="4"/>
        <v>4</v>
      </c>
      <c r="AJ8" s="12">
        <v>5</v>
      </c>
      <c r="AK8" s="12">
        <f t="shared" si="5"/>
        <v>0</v>
      </c>
      <c r="AL8" s="12">
        <v>5</v>
      </c>
      <c r="AM8" s="12">
        <f t="shared" si="6"/>
        <v>-5</v>
      </c>
      <c r="AN8" s="12"/>
      <c r="AO8" s="11">
        <f t="shared" si="7"/>
        <v>19</v>
      </c>
      <c r="AQ8" s="16"/>
    </row>
    <row r="9" spans="1:43">
      <c r="A9" s="28" t="s">
        <v>66</v>
      </c>
      <c r="B9" s="29"/>
      <c r="C9" s="30"/>
      <c r="D9" s="29"/>
      <c r="E9" s="30"/>
      <c r="F9" s="29" t="s">
        <v>51</v>
      </c>
      <c r="G9" s="30" t="s">
        <v>51</v>
      </c>
      <c r="H9" s="29" t="s">
        <v>3</v>
      </c>
      <c r="I9" s="30" t="s">
        <v>3</v>
      </c>
      <c r="J9" s="31">
        <v>2</v>
      </c>
      <c r="K9" s="16"/>
      <c r="L9" s="9">
        <f>(L8/8)*100</f>
        <v>62.5</v>
      </c>
      <c r="M9" s="9">
        <f>(M8/8)*100</f>
        <v>25</v>
      </c>
      <c r="N9" s="9">
        <f>(N8/8)*100</f>
        <v>12.5</v>
      </c>
      <c r="O9" s="9">
        <v>0</v>
      </c>
      <c r="P9" s="16"/>
      <c r="Q9" s="16"/>
      <c r="R9" s="33" t="s">
        <v>67</v>
      </c>
      <c r="S9" s="34">
        <v>10</v>
      </c>
      <c r="T9" s="34">
        <v>1</v>
      </c>
      <c r="U9" s="34"/>
      <c r="V9" s="35"/>
      <c r="W9" s="36">
        <f t="shared" si="8"/>
        <v>11</v>
      </c>
      <c r="X9" s="18"/>
      <c r="Y9" s="6" t="s">
        <v>13</v>
      </c>
      <c r="Z9" s="12"/>
      <c r="AA9" s="12">
        <f t="shared" si="0"/>
        <v>0</v>
      </c>
      <c r="AB9" s="12"/>
      <c r="AC9" s="12">
        <f t="shared" si="1"/>
        <v>0</v>
      </c>
      <c r="AD9" s="12"/>
      <c r="AE9" s="12">
        <f t="shared" si="2"/>
        <v>0</v>
      </c>
      <c r="AF9" s="12"/>
      <c r="AG9" s="12">
        <f t="shared" si="3"/>
        <v>0</v>
      </c>
      <c r="AH9" s="12"/>
      <c r="AI9" s="12">
        <f t="shared" si="4"/>
        <v>5</v>
      </c>
      <c r="AJ9" s="12">
        <v>5</v>
      </c>
      <c r="AK9" s="12">
        <f t="shared" si="5"/>
        <v>0</v>
      </c>
      <c r="AL9" s="12">
        <v>5</v>
      </c>
      <c r="AM9" s="12">
        <f t="shared" si="6"/>
        <v>-5</v>
      </c>
      <c r="AN9" s="12"/>
      <c r="AO9" s="11">
        <f t="shared" si="7"/>
        <v>10</v>
      </c>
      <c r="AQ9" s="16"/>
    </row>
    <row r="10" spans="1:43">
      <c r="A10" s="28" t="s">
        <v>68</v>
      </c>
      <c r="B10" s="29"/>
      <c r="C10" s="30"/>
      <c r="D10" s="29"/>
      <c r="E10" s="30"/>
      <c r="F10" s="29"/>
      <c r="G10" s="30" t="s">
        <v>3</v>
      </c>
      <c r="H10" s="29" t="s">
        <v>3</v>
      </c>
      <c r="I10" s="30"/>
      <c r="J10" s="31">
        <v>1</v>
      </c>
      <c r="K10" s="16"/>
      <c r="L10" s="16"/>
      <c r="M10" s="16"/>
      <c r="N10" s="16"/>
      <c r="O10" s="16"/>
      <c r="P10" s="16"/>
      <c r="Q10" s="16"/>
      <c r="R10" s="33" t="s">
        <v>69</v>
      </c>
      <c r="S10" s="34">
        <v>5</v>
      </c>
      <c r="T10" s="34">
        <v>0</v>
      </c>
      <c r="U10" s="34">
        <v>1</v>
      </c>
      <c r="V10" s="35">
        <v>1</v>
      </c>
      <c r="W10" s="36">
        <f t="shared" si="8"/>
        <v>7</v>
      </c>
      <c r="X10" s="18"/>
      <c r="Y10" s="6" t="s">
        <v>9</v>
      </c>
      <c r="Z10" s="12">
        <v>5</v>
      </c>
      <c r="AA10" s="12">
        <f t="shared" si="0"/>
        <v>0</v>
      </c>
      <c r="AB10" s="12">
        <v>5</v>
      </c>
      <c r="AC10" s="12">
        <f t="shared" si="1"/>
        <v>-2</v>
      </c>
      <c r="AD10" s="12">
        <v>3</v>
      </c>
      <c r="AE10" s="12">
        <f t="shared" si="2"/>
        <v>-2</v>
      </c>
      <c r="AF10" s="12">
        <v>1</v>
      </c>
      <c r="AG10" s="12">
        <f t="shared" si="3"/>
        <v>4</v>
      </c>
      <c r="AH10" s="12">
        <v>5</v>
      </c>
      <c r="AI10" s="12">
        <f t="shared" si="4"/>
        <v>0</v>
      </c>
      <c r="AJ10" s="12">
        <v>5</v>
      </c>
      <c r="AK10" s="12">
        <f t="shared" si="5"/>
        <v>-2</v>
      </c>
      <c r="AL10" s="12">
        <v>3</v>
      </c>
      <c r="AM10" s="12">
        <f t="shared" si="6"/>
        <v>-3</v>
      </c>
      <c r="AN10" s="12"/>
      <c r="AO10" s="11">
        <f t="shared" si="7"/>
        <v>27</v>
      </c>
      <c r="AQ10" s="16"/>
    </row>
    <row r="11" spans="1:43">
      <c r="A11" s="173" t="s">
        <v>70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6"/>
      <c r="L11" s="171" t="s">
        <v>71</v>
      </c>
      <c r="M11" s="171"/>
      <c r="N11" s="171"/>
      <c r="O11" s="171"/>
      <c r="P11" s="16"/>
      <c r="Q11" s="16"/>
      <c r="R11" s="33" t="s">
        <v>72</v>
      </c>
      <c r="S11" s="34">
        <v>10</v>
      </c>
      <c r="T11" s="34">
        <v>1</v>
      </c>
      <c r="U11" s="34"/>
      <c r="V11" s="35"/>
      <c r="W11" s="36">
        <f t="shared" si="8"/>
        <v>11</v>
      </c>
      <c r="X11" s="18"/>
      <c r="Y11" s="6" t="s">
        <v>16</v>
      </c>
      <c r="Z11" s="12"/>
      <c r="AA11" s="12">
        <f t="shared" si="0"/>
        <v>1</v>
      </c>
      <c r="AB11" s="12">
        <v>1</v>
      </c>
      <c r="AC11" s="12">
        <f t="shared" si="1"/>
        <v>0</v>
      </c>
      <c r="AD11" s="12">
        <v>1</v>
      </c>
      <c r="AE11" s="12">
        <f t="shared" si="2"/>
        <v>0</v>
      </c>
      <c r="AF11" s="12">
        <v>1</v>
      </c>
      <c r="AG11" s="12">
        <f t="shared" si="3"/>
        <v>1</v>
      </c>
      <c r="AH11" s="12">
        <v>2</v>
      </c>
      <c r="AI11" s="12">
        <f t="shared" si="4"/>
        <v>0</v>
      </c>
      <c r="AJ11" s="12">
        <v>2</v>
      </c>
      <c r="AK11" s="12">
        <f t="shared" si="5"/>
        <v>0</v>
      </c>
      <c r="AL11" s="12">
        <v>2</v>
      </c>
      <c r="AM11" s="12">
        <f t="shared" si="6"/>
        <v>-2</v>
      </c>
      <c r="AN11" s="12"/>
      <c r="AO11" s="11">
        <f t="shared" si="7"/>
        <v>9</v>
      </c>
      <c r="AQ11" s="16"/>
    </row>
    <row r="12" spans="1:43">
      <c r="A12" s="21" t="s">
        <v>49</v>
      </c>
      <c r="B12" s="22">
        <v>1990</v>
      </c>
      <c r="C12" s="22">
        <v>1994</v>
      </c>
      <c r="D12" s="22">
        <v>1998</v>
      </c>
      <c r="E12" s="22">
        <v>2002</v>
      </c>
      <c r="F12" s="22">
        <v>2006</v>
      </c>
      <c r="G12" s="22">
        <v>2010</v>
      </c>
      <c r="H12" s="22">
        <v>2014</v>
      </c>
      <c r="I12" s="22">
        <v>2018</v>
      </c>
      <c r="J12" s="23" t="s">
        <v>1</v>
      </c>
      <c r="K12" s="16"/>
      <c r="L12" s="24">
        <v>1</v>
      </c>
      <c r="M12" s="24">
        <v>2</v>
      </c>
      <c r="N12" s="24">
        <v>3</v>
      </c>
      <c r="O12" s="24">
        <v>4</v>
      </c>
      <c r="P12" s="16"/>
      <c r="Q12" s="16"/>
      <c r="R12" s="33" t="s">
        <v>73</v>
      </c>
      <c r="S12" s="34">
        <v>5</v>
      </c>
      <c r="T12" s="34">
        <v>2</v>
      </c>
      <c r="U12" s="34">
        <v>1</v>
      </c>
      <c r="V12" s="35"/>
      <c r="W12" s="36">
        <f t="shared" si="8"/>
        <v>8</v>
      </c>
      <c r="X12" s="18"/>
      <c r="Y12" s="6" t="s">
        <v>17</v>
      </c>
      <c r="Z12" s="12"/>
      <c r="AA12" s="12">
        <f t="shared" si="0"/>
        <v>0</v>
      </c>
      <c r="AB12" s="12"/>
      <c r="AC12" s="12">
        <f t="shared" si="1"/>
        <v>0</v>
      </c>
      <c r="AD12" s="12"/>
      <c r="AE12" s="12">
        <f t="shared" si="2"/>
        <v>1</v>
      </c>
      <c r="AF12" s="12">
        <v>1</v>
      </c>
      <c r="AG12" s="12">
        <f t="shared" si="3"/>
        <v>0</v>
      </c>
      <c r="AH12" s="12">
        <v>1</v>
      </c>
      <c r="AI12" s="12">
        <f t="shared" si="4"/>
        <v>-1</v>
      </c>
      <c r="AJ12" s="12"/>
      <c r="AK12" s="12">
        <f t="shared" si="5"/>
        <v>2</v>
      </c>
      <c r="AL12" s="12">
        <v>2</v>
      </c>
      <c r="AM12" s="12">
        <f t="shared" si="6"/>
        <v>-2</v>
      </c>
      <c r="AN12" s="12"/>
      <c r="AO12" s="11">
        <f t="shared" si="7"/>
        <v>4</v>
      </c>
      <c r="AQ12" s="16"/>
    </row>
    <row r="13" spans="1:43">
      <c r="A13" s="28" t="s">
        <v>74</v>
      </c>
      <c r="B13" s="29" t="s">
        <v>3</v>
      </c>
      <c r="C13" s="30"/>
      <c r="D13" s="29"/>
      <c r="E13" s="30"/>
      <c r="F13" s="29"/>
      <c r="G13" s="30"/>
      <c r="H13" s="29"/>
      <c r="I13" s="30"/>
      <c r="J13" s="31">
        <v>1</v>
      </c>
      <c r="K13" s="16"/>
      <c r="L13" s="9">
        <v>5</v>
      </c>
      <c r="M13" s="9">
        <v>1</v>
      </c>
      <c r="N13" s="32">
        <v>2</v>
      </c>
      <c r="O13" s="32">
        <v>0</v>
      </c>
      <c r="P13" s="16"/>
      <c r="Q13" s="16"/>
      <c r="R13" s="33" t="s">
        <v>75</v>
      </c>
      <c r="S13" s="34">
        <v>10</v>
      </c>
      <c r="T13" s="34">
        <v>1</v>
      </c>
      <c r="U13" s="34"/>
      <c r="V13" s="35"/>
      <c r="W13" s="36">
        <f t="shared" si="8"/>
        <v>11</v>
      </c>
      <c r="X13" s="18"/>
      <c r="Y13" s="6" t="s">
        <v>14</v>
      </c>
      <c r="Z13" s="12"/>
      <c r="AA13" s="12">
        <f t="shared" si="0"/>
        <v>0</v>
      </c>
      <c r="AB13" s="12"/>
      <c r="AC13" s="12">
        <f t="shared" si="1"/>
        <v>0</v>
      </c>
      <c r="AD13" s="12"/>
      <c r="AE13" s="12">
        <f t="shared" si="2"/>
        <v>0</v>
      </c>
      <c r="AF13" s="12"/>
      <c r="AG13" s="12">
        <f t="shared" si="3"/>
        <v>1</v>
      </c>
      <c r="AH13" s="12">
        <v>1</v>
      </c>
      <c r="AI13" s="12">
        <f t="shared" si="4"/>
        <v>1</v>
      </c>
      <c r="AJ13" s="12">
        <v>2</v>
      </c>
      <c r="AK13" s="12">
        <f t="shared" si="5"/>
        <v>-1</v>
      </c>
      <c r="AL13" s="12">
        <v>1</v>
      </c>
      <c r="AM13" s="12">
        <f t="shared" si="6"/>
        <v>-1</v>
      </c>
      <c r="AN13" s="12"/>
      <c r="AO13" s="11">
        <f t="shared" si="7"/>
        <v>4</v>
      </c>
      <c r="AQ13" s="16"/>
    </row>
    <row r="14" spans="1:43">
      <c r="A14" s="28" t="s">
        <v>76</v>
      </c>
      <c r="B14" s="29" t="s">
        <v>3</v>
      </c>
      <c r="C14" s="30"/>
      <c r="D14" s="29"/>
      <c r="E14" s="30"/>
      <c r="F14" s="29"/>
      <c r="G14" s="30"/>
      <c r="H14" s="29"/>
      <c r="I14" s="30"/>
      <c r="J14" s="31">
        <v>1</v>
      </c>
      <c r="K14" s="16"/>
      <c r="L14" s="9">
        <f>(L13/8)*100</f>
        <v>62.5</v>
      </c>
      <c r="M14" s="9">
        <f>(M13/8)*100</f>
        <v>12.5</v>
      </c>
      <c r="N14" s="9">
        <f>(N13/8)*100</f>
        <v>25</v>
      </c>
      <c r="O14" s="9">
        <f>(O13/8)*100</f>
        <v>0</v>
      </c>
      <c r="P14" s="16"/>
      <c r="Q14" s="16"/>
      <c r="R14" s="33" t="s">
        <v>77</v>
      </c>
      <c r="S14" s="34">
        <v>10</v>
      </c>
      <c r="T14" s="34">
        <v>1</v>
      </c>
      <c r="U14" s="34"/>
      <c r="V14" s="35"/>
      <c r="W14" s="36">
        <f t="shared" si="8"/>
        <v>11</v>
      </c>
      <c r="X14" s="18"/>
      <c r="Y14" s="6" t="s">
        <v>24</v>
      </c>
      <c r="Z14" s="12"/>
      <c r="AA14" s="12">
        <f t="shared" si="0"/>
        <v>0</v>
      </c>
      <c r="AB14" s="12"/>
      <c r="AC14" s="12">
        <f t="shared" si="1"/>
        <v>0</v>
      </c>
      <c r="AD14" s="12"/>
      <c r="AE14" s="12">
        <f t="shared" si="2"/>
        <v>0</v>
      </c>
      <c r="AF14" s="12"/>
      <c r="AG14" s="12">
        <f t="shared" si="3"/>
        <v>0</v>
      </c>
      <c r="AH14" s="12"/>
      <c r="AI14" s="12">
        <f t="shared" si="4"/>
        <v>1</v>
      </c>
      <c r="AJ14" s="12">
        <v>1</v>
      </c>
      <c r="AK14" s="12">
        <f t="shared" si="5"/>
        <v>0</v>
      </c>
      <c r="AL14" s="12">
        <v>1</v>
      </c>
      <c r="AM14" s="12">
        <f t="shared" si="6"/>
        <v>-1</v>
      </c>
      <c r="AN14" s="12"/>
      <c r="AO14" s="11">
        <f t="shared" si="7"/>
        <v>2</v>
      </c>
      <c r="AQ14" s="16"/>
    </row>
    <row r="15" spans="1:43">
      <c r="A15" s="28" t="s">
        <v>78</v>
      </c>
      <c r="B15" s="29" t="s">
        <v>5</v>
      </c>
      <c r="C15" s="30" t="s">
        <v>5</v>
      </c>
      <c r="D15" s="29" t="s">
        <v>5</v>
      </c>
      <c r="E15" s="30" t="s">
        <v>5</v>
      </c>
      <c r="F15" s="29" t="s">
        <v>5</v>
      </c>
      <c r="G15" s="30" t="s">
        <v>5</v>
      </c>
      <c r="H15" s="29"/>
      <c r="I15" s="30"/>
      <c r="J15" s="31">
        <v>3</v>
      </c>
      <c r="K15" s="16"/>
      <c r="L15" s="16"/>
      <c r="M15" s="16"/>
      <c r="N15" s="16"/>
      <c r="O15" s="16"/>
      <c r="P15" s="16"/>
      <c r="Q15" s="16"/>
      <c r="R15" s="33" t="s">
        <v>79</v>
      </c>
      <c r="S15" s="34">
        <v>8</v>
      </c>
      <c r="T15" s="34">
        <v>2</v>
      </c>
      <c r="U15" s="34"/>
      <c r="V15" s="35"/>
      <c r="W15" s="36">
        <f t="shared" si="8"/>
        <v>10</v>
      </c>
      <c r="X15" s="18"/>
      <c r="Y15" s="6" t="s">
        <v>18</v>
      </c>
      <c r="Z15" s="12"/>
      <c r="AA15" s="12">
        <f t="shared" si="0"/>
        <v>0</v>
      </c>
      <c r="AB15" s="12"/>
      <c r="AC15" s="12">
        <f t="shared" si="1"/>
        <v>0</v>
      </c>
      <c r="AD15" s="12"/>
      <c r="AE15" s="12">
        <f t="shared" si="2"/>
        <v>0</v>
      </c>
      <c r="AF15" s="12"/>
      <c r="AG15" s="12">
        <f t="shared" si="3"/>
        <v>0</v>
      </c>
      <c r="AH15" s="12"/>
      <c r="AI15" s="12">
        <f t="shared" si="4"/>
        <v>1</v>
      </c>
      <c r="AJ15" s="12">
        <v>1</v>
      </c>
      <c r="AK15" s="12">
        <f t="shared" si="5"/>
        <v>0</v>
      </c>
      <c r="AL15" s="12">
        <v>1</v>
      </c>
      <c r="AM15" s="12">
        <f t="shared" si="6"/>
        <v>-1</v>
      </c>
      <c r="AN15" s="12"/>
      <c r="AO15" s="11">
        <f t="shared" si="7"/>
        <v>2</v>
      </c>
      <c r="AQ15" s="16"/>
    </row>
    <row r="16" spans="1:43">
      <c r="A16" s="28" t="s">
        <v>80</v>
      </c>
      <c r="B16" s="29"/>
      <c r="C16" s="30" t="s">
        <v>6</v>
      </c>
      <c r="D16" s="29" t="s">
        <v>6</v>
      </c>
      <c r="E16" s="30"/>
      <c r="F16" s="29"/>
      <c r="G16" s="30"/>
      <c r="H16" s="29" t="s">
        <v>6</v>
      </c>
      <c r="I16" s="30" t="s">
        <v>6</v>
      </c>
      <c r="J16" s="31">
        <v>2</v>
      </c>
      <c r="K16" s="16"/>
      <c r="L16" s="171" t="s">
        <v>81</v>
      </c>
      <c r="M16" s="171"/>
      <c r="N16" s="171"/>
      <c r="O16" s="171"/>
      <c r="P16" s="16"/>
      <c r="Q16" s="16"/>
      <c r="R16" s="33" t="s">
        <v>73</v>
      </c>
      <c r="S16" s="34">
        <v>10</v>
      </c>
      <c r="T16" s="34">
        <v>1</v>
      </c>
      <c r="U16" s="34"/>
      <c r="V16" s="35"/>
      <c r="W16" s="36">
        <f t="shared" si="8"/>
        <v>11</v>
      </c>
      <c r="X16" s="18"/>
      <c r="Y16" s="6" t="s">
        <v>26</v>
      </c>
      <c r="Z16" s="12"/>
      <c r="AA16" s="12">
        <f t="shared" si="0"/>
        <v>0</v>
      </c>
      <c r="AB16" s="12"/>
      <c r="AC16" s="12">
        <f t="shared" si="1"/>
        <v>0</v>
      </c>
      <c r="AD16" s="12"/>
      <c r="AE16" s="12">
        <f t="shared" si="2"/>
        <v>0</v>
      </c>
      <c r="AF16" s="12"/>
      <c r="AG16" s="12">
        <f t="shared" si="3"/>
        <v>0</v>
      </c>
      <c r="AH16" s="12"/>
      <c r="AI16" s="12">
        <f t="shared" si="4"/>
        <v>1</v>
      </c>
      <c r="AJ16" s="12">
        <v>1</v>
      </c>
      <c r="AK16" s="12">
        <f t="shared" si="5"/>
        <v>0</v>
      </c>
      <c r="AL16" s="12">
        <v>1</v>
      </c>
      <c r="AM16" s="12">
        <f t="shared" si="6"/>
        <v>-1</v>
      </c>
      <c r="AN16" s="12"/>
      <c r="AO16" s="11">
        <f t="shared" si="7"/>
        <v>2</v>
      </c>
      <c r="AQ16" s="16"/>
    </row>
    <row r="17" spans="1:43">
      <c r="A17" s="28" t="s">
        <v>82</v>
      </c>
      <c r="B17" s="29"/>
      <c r="C17" s="30" t="s">
        <v>64</v>
      </c>
      <c r="D17" s="29" t="s">
        <v>64</v>
      </c>
      <c r="E17" s="30" t="s">
        <v>51</v>
      </c>
      <c r="F17" s="29" t="s">
        <v>51</v>
      </c>
      <c r="G17" s="30"/>
      <c r="H17" s="29"/>
      <c r="I17" s="30"/>
      <c r="J17" s="31">
        <v>2</v>
      </c>
      <c r="K17" s="16"/>
      <c r="L17" s="24">
        <v>1</v>
      </c>
      <c r="M17" s="24">
        <v>2</v>
      </c>
      <c r="N17" s="24">
        <v>3</v>
      </c>
      <c r="O17" s="24">
        <v>4</v>
      </c>
      <c r="P17" s="16"/>
      <c r="Q17" s="16"/>
      <c r="R17" s="33" t="s">
        <v>83</v>
      </c>
      <c r="S17" s="34">
        <v>10</v>
      </c>
      <c r="T17" s="34">
        <v>1</v>
      </c>
      <c r="U17" s="34"/>
      <c r="V17" s="35"/>
      <c r="W17" s="36">
        <f t="shared" si="8"/>
        <v>11</v>
      </c>
      <c r="X17" s="18"/>
      <c r="Y17" s="6" t="s">
        <v>64</v>
      </c>
      <c r="Z17" s="12"/>
      <c r="AA17" s="12">
        <f t="shared" si="0"/>
        <v>1</v>
      </c>
      <c r="AB17" s="12">
        <v>1</v>
      </c>
      <c r="AC17" s="12">
        <f t="shared" si="1"/>
        <v>0</v>
      </c>
      <c r="AD17" s="12">
        <v>1</v>
      </c>
      <c r="AE17" s="12">
        <f t="shared" si="2"/>
        <v>2</v>
      </c>
      <c r="AF17" s="12">
        <v>3</v>
      </c>
      <c r="AG17" s="12">
        <f t="shared" si="3"/>
        <v>1</v>
      </c>
      <c r="AH17" s="12">
        <v>4</v>
      </c>
      <c r="AI17" s="12">
        <f t="shared" si="4"/>
        <v>-4</v>
      </c>
      <c r="AJ17" s="12"/>
      <c r="AK17" s="12">
        <f t="shared" si="5"/>
        <v>0</v>
      </c>
      <c r="AL17" s="12"/>
      <c r="AM17" s="12">
        <f t="shared" si="6"/>
        <v>0</v>
      </c>
      <c r="AN17" s="12"/>
      <c r="AO17" s="11">
        <f t="shared" si="7"/>
        <v>9</v>
      </c>
      <c r="AQ17" s="16"/>
    </row>
    <row r="18" spans="1:43">
      <c r="A18" s="28" t="s">
        <v>84</v>
      </c>
      <c r="B18" s="29"/>
      <c r="C18" s="30"/>
      <c r="D18" s="29"/>
      <c r="E18" s="30" t="s">
        <v>5</v>
      </c>
      <c r="F18" s="29" t="s">
        <v>5</v>
      </c>
      <c r="G18" s="30"/>
      <c r="H18" s="29"/>
      <c r="I18" s="30"/>
      <c r="J18" s="31">
        <v>1</v>
      </c>
      <c r="K18" s="16"/>
      <c r="L18" s="9">
        <v>12</v>
      </c>
      <c r="M18" s="9">
        <v>0</v>
      </c>
      <c r="N18" s="32">
        <v>0</v>
      </c>
      <c r="O18" s="32">
        <v>0</v>
      </c>
      <c r="P18" s="16"/>
      <c r="Q18" s="16"/>
      <c r="R18" s="33" t="s">
        <v>85</v>
      </c>
      <c r="S18" s="34">
        <v>8</v>
      </c>
      <c r="T18" s="34">
        <v>2</v>
      </c>
      <c r="U18" s="34"/>
      <c r="V18" s="35"/>
      <c r="W18" s="36">
        <f t="shared" si="8"/>
        <v>10</v>
      </c>
      <c r="X18" s="18"/>
      <c r="Y18" s="6" t="s">
        <v>86</v>
      </c>
      <c r="Z18" s="12"/>
      <c r="AA18" s="12">
        <f t="shared" si="0"/>
        <v>0</v>
      </c>
      <c r="AB18" s="12"/>
      <c r="AC18" s="12">
        <f t="shared" si="1"/>
        <v>4</v>
      </c>
      <c r="AD18" s="12">
        <v>4</v>
      </c>
      <c r="AE18" s="12">
        <f t="shared" si="2"/>
        <v>-2</v>
      </c>
      <c r="AF18" s="12">
        <v>2</v>
      </c>
      <c r="AG18" s="12">
        <f t="shared" si="3"/>
        <v>-2</v>
      </c>
      <c r="AH18" s="12"/>
      <c r="AI18" s="12">
        <f t="shared" si="4"/>
        <v>0</v>
      </c>
      <c r="AJ18" s="12"/>
      <c r="AK18" s="12">
        <f t="shared" si="5"/>
        <v>0</v>
      </c>
      <c r="AL18" s="12"/>
      <c r="AM18" s="12">
        <f t="shared" si="6"/>
        <v>0</v>
      </c>
      <c r="AN18" s="12"/>
      <c r="AO18" s="11">
        <f t="shared" si="7"/>
        <v>6</v>
      </c>
      <c r="AQ18" s="16"/>
    </row>
    <row r="19" spans="1:43">
      <c r="A19" s="28" t="s">
        <v>87</v>
      </c>
      <c r="B19" s="29"/>
      <c r="C19" s="30"/>
      <c r="D19" s="29"/>
      <c r="E19" s="30"/>
      <c r="F19" s="29"/>
      <c r="G19" s="30" t="s">
        <v>5</v>
      </c>
      <c r="H19" s="29" t="s">
        <v>3</v>
      </c>
      <c r="I19" s="30"/>
      <c r="J19" s="31">
        <v>1</v>
      </c>
      <c r="K19" s="16"/>
      <c r="L19" s="9">
        <f>(L18/12)*100</f>
        <v>100</v>
      </c>
      <c r="M19" s="9">
        <f>(M18/12)*100</f>
        <v>0</v>
      </c>
      <c r="N19" s="9">
        <f>(N18/12)*100</f>
        <v>0</v>
      </c>
      <c r="O19" s="9">
        <f>(O18/12)*100</f>
        <v>0</v>
      </c>
      <c r="P19" s="16"/>
      <c r="Q19" s="16"/>
      <c r="R19" s="33" t="s">
        <v>88</v>
      </c>
      <c r="S19" s="34">
        <v>12</v>
      </c>
      <c r="T19" s="34"/>
      <c r="U19" s="34"/>
      <c r="V19" s="35"/>
      <c r="W19" s="36">
        <f t="shared" si="8"/>
        <v>12</v>
      </c>
      <c r="X19" s="18"/>
      <c r="Y19" s="6" t="s">
        <v>22</v>
      </c>
      <c r="Z19" s="12">
        <v>3</v>
      </c>
      <c r="AA19" s="12">
        <f t="shared" si="0"/>
        <v>-1</v>
      </c>
      <c r="AB19" s="12">
        <v>2</v>
      </c>
      <c r="AC19" s="12">
        <f t="shared" si="1"/>
        <v>-2</v>
      </c>
      <c r="AD19" s="12"/>
      <c r="AE19" s="12">
        <f t="shared" si="2"/>
        <v>0</v>
      </c>
      <c r="AF19" s="12"/>
      <c r="AG19" s="12">
        <f t="shared" si="3"/>
        <v>0</v>
      </c>
      <c r="AH19" s="12"/>
      <c r="AI19" s="12">
        <f t="shared" si="4"/>
        <v>0</v>
      </c>
      <c r="AJ19" s="12"/>
      <c r="AK19" s="12">
        <f t="shared" si="5"/>
        <v>0</v>
      </c>
      <c r="AL19" s="12"/>
      <c r="AM19" s="12">
        <f t="shared" si="6"/>
        <v>0</v>
      </c>
      <c r="AN19" s="12"/>
      <c r="AO19" s="11">
        <f t="shared" si="7"/>
        <v>5</v>
      </c>
      <c r="AQ19" s="16"/>
    </row>
    <row r="20" spans="1:43">
      <c r="A20" s="28" t="s">
        <v>89</v>
      </c>
      <c r="B20" s="29"/>
      <c r="C20" s="30"/>
      <c r="D20" s="29"/>
      <c r="E20" s="30"/>
      <c r="F20" s="29"/>
      <c r="G20" s="30" t="s">
        <v>6</v>
      </c>
      <c r="H20" s="29" t="s">
        <v>6</v>
      </c>
      <c r="I20" s="30"/>
      <c r="J20" s="31">
        <v>1</v>
      </c>
      <c r="K20" s="16"/>
      <c r="L20" s="16"/>
      <c r="M20" s="16"/>
      <c r="N20" s="16"/>
      <c r="O20" s="16"/>
      <c r="P20" s="16"/>
      <c r="Q20" s="16"/>
      <c r="R20" s="33" t="s">
        <v>90</v>
      </c>
      <c r="S20" s="34">
        <v>0</v>
      </c>
      <c r="T20" s="34">
        <v>5</v>
      </c>
      <c r="U20" s="34">
        <v>0</v>
      </c>
      <c r="V20" s="35">
        <v>1</v>
      </c>
      <c r="W20" s="36">
        <f t="shared" si="8"/>
        <v>6</v>
      </c>
      <c r="X20" s="18"/>
      <c r="Y20" s="6" t="s">
        <v>91</v>
      </c>
      <c r="Z20" s="12">
        <v>3</v>
      </c>
      <c r="AA20" s="12">
        <f t="shared" si="0"/>
        <v>-1</v>
      </c>
      <c r="AB20" s="12">
        <v>2</v>
      </c>
      <c r="AC20" s="12">
        <f t="shared" si="1"/>
        <v>-2</v>
      </c>
      <c r="AD20" s="12"/>
      <c r="AE20" s="12">
        <f t="shared" si="2"/>
        <v>0</v>
      </c>
      <c r="AF20" s="12"/>
      <c r="AG20" s="12">
        <f t="shared" si="3"/>
        <v>0</v>
      </c>
      <c r="AH20" s="12"/>
      <c r="AI20" s="12">
        <f t="shared" si="4"/>
        <v>0</v>
      </c>
      <c r="AJ20" s="12"/>
      <c r="AK20" s="12">
        <f t="shared" si="5"/>
        <v>0</v>
      </c>
      <c r="AL20" s="12"/>
      <c r="AM20" s="12">
        <f t="shared" si="6"/>
        <v>0</v>
      </c>
      <c r="AN20" s="12"/>
      <c r="AO20" s="11">
        <f t="shared" si="7"/>
        <v>5</v>
      </c>
      <c r="AQ20" s="16"/>
    </row>
    <row r="21" spans="1:43">
      <c r="A21" s="173" t="s">
        <v>92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6"/>
      <c r="L21" s="171" t="s">
        <v>93</v>
      </c>
      <c r="M21" s="171"/>
      <c r="N21" s="171"/>
      <c r="O21" s="171"/>
      <c r="P21" s="16"/>
      <c r="Q21" s="16"/>
      <c r="R21" s="33" t="s">
        <v>94</v>
      </c>
      <c r="S21" s="34">
        <v>8</v>
      </c>
      <c r="T21" s="34">
        <v>2</v>
      </c>
      <c r="U21" s="34"/>
      <c r="V21" s="35"/>
      <c r="W21" s="36">
        <f t="shared" si="8"/>
        <v>10</v>
      </c>
      <c r="X21" s="18"/>
      <c r="Y21" s="6" t="s">
        <v>21</v>
      </c>
      <c r="Z21" s="12">
        <v>2</v>
      </c>
      <c r="AA21" s="12">
        <f t="shared" si="0"/>
        <v>0</v>
      </c>
      <c r="AB21" s="12">
        <v>2</v>
      </c>
      <c r="AC21" s="12">
        <f t="shared" si="1"/>
        <v>-2</v>
      </c>
      <c r="AD21" s="12"/>
      <c r="AE21" s="12">
        <f t="shared" si="2"/>
        <v>0</v>
      </c>
      <c r="AF21" s="12"/>
      <c r="AG21" s="12">
        <f t="shared" si="3"/>
        <v>0</v>
      </c>
      <c r="AH21" s="12"/>
      <c r="AI21" s="12">
        <f t="shared" si="4"/>
        <v>0</v>
      </c>
      <c r="AJ21" s="12"/>
      <c r="AK21" s="12">
        <f t="shared" si="5"/>
        <v>0</v>
      </c>
      <c r="AL21" s="12"/>
      <c r="AM21" s="12">
        <f t="shared" si="6"/>
        <v>0</v>
      </c>
      <c r="AN21" s="12"/>
      <c r="AO21" s="11">
        <f t="shared" si="7"/>
        <v>4</v>
      </c>
      <c r="AQ21" s="16"/>
    </row>
    <row r="22" spans="1:43">
      <c r="A22" s="21" t="s">
        <v>49</v>
      </c>
      <c r="B22" s="22">
        <v>1990</v>
      </c>
      <c r="C22" s="22">
        <v>1994</v>
      </c>
      <c r="D22" s="22">
        <v>1998</v>
      </c>
      <c r="E22" s="22">
        <v>2002</v>
      </c>
      <c r="F22" s="22">
        <v>2006</v>
      </c>
      <c r="G22" s="22">
        <v>2010</v>
      </c>
      <c r="H22" s="22">
        <v>2014</v>
      </c>
      <c r="I22" s="22">
        <v>2018</v>
      </c>
      <c r="J22" s="23" t="s">
        <v>1</v>
      </c>
      <c r="K22" s="16"/>
      <c r="L22" s="24">
        <v>1</v>
      </c>
      <c r="M22" s="24">
        <v>2</v>
      </c>
      <c r="N22" s="24">
        <v>3</v>
      </c>
      <c r="O22" s="24">
        <v>4</v>
      </c>
      <c r="P22" s="16"/>
      <c r="Q22" s="16"/>
      <c r="R22" s="33" t="s">
        <v>95</v>
      </c>
      <c r="S22" s="34">
        <v>7</v>
      </c>
      <c r="T22" s="34">
        <v>1</v>
      </c>
      <c r="U22" s="34">
        <v>1</v>
      </c>
      <c r="V22" s="35"/>
      <c r="W22" s="36">
        <f t="shared" si="8"/>
        <v>9</v>
      </c>
      <c r="X22" s="18"/>
      <c r="Y22" s="6" t="s">
        <v>58</v>
      </c>
      <c r="Z22" s="12"/>
      <c r="AA22" s="12">
        <f t="shared" si="0"/>
        <v>2</v>
      </c>
      <c r="AB22" s="12">
        <v>2</v>
      </c>
      <c r="AC22" s="12">
        <f t="shared" si="1"/>
        <v>-2</v>
      </c>
      <c r="AD22" s="12"/>
      <c r="AE22" s="12">
        <f t="shared" si="2"/>
        <v>0</v>
      </c>
      <c r="AF22" s="12"/>
      <c r="AG22" s="12">
        <f t="shared" si="3"/>
        <v>0</v>
      </c>
      <c r="AH22" s="12"/>
      <c r="AI22" s="12">
        <f t="shared" si="4"/>
        <v>0</v>
      </c>
      <c r="AJ22" s="12"/>
      <c r="AK22" s="12">
        <f t="shared" si="5"/>
        <v>0</v>
      </c>
      <c r="AL22" s="12"/>
      <c r="AM22" s="12">
        <f t="shared" si="6"/>
        <v>0</v>
      </c>
      <c r="AN22" s="12"/>
      <c r="AO22" s="11">
        <f t="shared" si="7"/>
        <v>2</v>
      </c>
      <c r="AQ22" s="16"/>
    </row>
    <row r="23" spans="1:43">
      <c r="A23" s="28" t="s">
        <v>96</v>
      </c>
      <c r="B23" s="29" t="s">
        <v>21</v>
      </c>
      <c r="C23" s="30" t="s">
        <v>21</v>
      </c>
      <c r="D23" s="29"/>
      <c r="E23" s="30"/>
      <c r="F23" s="29"/>
      <c r="G23" s="30"/>
      <c r="H23" s="29"/>
      <c r="I23" s="30"/>
      <c r="J23" s="31">
        <v>1</v>
      </c>
      <c r="K23" s="16"/>
      <c r="L23" s="9">
        <v>5</v>
      </c>
      <c r="M23" s="9">
        <v>2</v>
      </c>
      <c r="N23" s="32">
        <v>1</v>
      </c>
      <c r="O23" s="32">
        <v>0</v>
      </c>
      <c r="P23" s="16"/>
      <c r="Q23" s="16"/>
      <c r="R23" s="33" t="s">
        <v>97</v>
      </c>
      <c r="S23" s="34">
        <v>10</v>
      </c>
      <c r="T23" s="34">
        <v>1</v>
      </c>
      <c r="U23" s="34"/>
      <c r="V23" s="35"/>
      <c r="W23" s="36">
        <f t="shared" si="8"/>
        <v>11</v>
      </c>
      <c r="X23" s="18"/>
      <c r="Y23" s="6" t="s">
        <v>27</v>
      </c>
      <c r="Z23" s="12">
        <v>1</v>
      </c>
      <c r="AA23" s="12">
        <f t="shared" si="0"/>
        <v>0</v>
      </c>
      <c r="AB23" s="12">
        <v>1</v>
      </c>
      <c r="AC23" s="12">
        <f t="shared" si="1"/>
        <v>-1</v>
      </c>
      <c r="AD23" s="12"/>
      <c r="AE23" s="12">
        <f t="shared" si="2"/>
        <v>0</v>
      </c>
      <c r="AF23" s="12"/>
      <c r="AG23" s="12">
        <f t="shared" si="3"/>
        <v>0</v>
      </c>
      <c r="AH23" s="12"/>
      <c r="AI23" s="12">
        <f t="shared" si="4"/>
        <v>0</v>
      </c>
      <c r="AJ23" s="12"/>
      <c r="AK23" s="12">
        <f t="shared" si="5"/>
        <v>0</v>
      </c>
      <c r="AL23" s="12"/>
      <c r="AM23" s="12">
        <f t="shared" si="6"/>
        <v>0</v>
      </c>
      <c r="AN23" s="12"/>
      <c r="AO23" s="11">
        <f t="shared" si="7"/>
        <v>2</v>
      </c>
      <c r="AQ23" s="16"/>
    </row>
    <row r="24" spans="1:43">
      <c r="A24" s="28" t="s">
        <v>98</v>
      </c>
      <c r="B24" s="29" t="s">
        <v>51</v>
      </c>
      <c r="C24" s="30"/>
      <c r="D24" s="29"/>
      <c r="E24" s="30"/>
      <c r="F24" s="29"/>
      <c r="G24" s="30"/>
      <c r="H24" s="29"/>
      <c r="I24" s="30"/>
      <c r="J24" s="31">
        <v>1</v>
      </c>
      <c r="K24" s="16"/>
      <c r="L24" s="9">
        <f>(L23/8)*100</f>
        <v>62.5</v>
      </c>
      <c r="M24" s="9">
        <f>(M23/8)*100</f>
        <v>25</v>
      </c>
      <c r="N24" s="9">
        <f>(N23/8)*100</f>
        <v>12.5</v>
      </c>
      <c r="O24" s="9">
        <f>(O23/8)*100</f>
        <v>0</v>
      </c>
      <c r="P24" s="16"/>
      <c r="Q24" s="16"/>
      <c r="R24" s="33" t="s">
        <v>99</v>
      </c>
      <c r="S24" s="34">
        <v>10</v>
      </c>
      <c r="T24" s="34">
        <v>1</v>
      </c>
      <c r="U24" s="34"/>
      <c r="V24" s="35"/>
      <c r="W24" s="36">
        <f t="shared" si="8"/>
        <v>11</v>
      </c>
      <c r="X24" s="18"/>
      <c r="Y24" s="6" t="s">
        <v>37</v>
      </c>
      <c r="Z24" s="12">
        <v>1</v>
      </c>
      <c r="AA24" s="12">
        <f t="shared" si="0"/>
        <v>-1</v>
      </c>
      <c r="AB24" s="12"/>
      <c r="AC24" s="12">
        <f t="shared" si="1"/>
        <v>0</v>
      </c>
      <c r="AD24" s="12"/>
      <c r="AE24" s="12">
        <f t="shared" si="2"/>
        <v>0</v>
      </c>
      <c r="AF24" s="12"/>
      <c r="AG24" s="12">
        <f t="shared" si="3"/>
        <v>0</v>
      </c>
      <c r="AH24" s="12"/>
      <c r="AI24" s="12">
        <f t="shared" si="4"/>
        <v>0</v>
      </c>
      <c r="AJ24" s="12"/>
      <c r="AK24" s="12">
        <f t="shared" si="5"/>
        <v>0</v>
      </c>
      <c r="AL24" s="12"/>
      <c r="AM24" s="12">
        <f t="shared" si="6"/>
        <v>0</v>
      </c>
      <c r="AN24" s="12"/>
      <c r="AO24" s="11">
        <f t="shared" si="7"/>
        <v>1</v>
      </c>
      <c r="AQ24" s="16"/>
    </row>
    <row r="25" spans="1:43">
      <c r="A25" s="28" t="s">
        <v>100</v>
      </c>
      <c r="B25" s="29" t="s">
        <v>3</v>
      </c>
      <c r="C25" s="30"/>
      <c r="D25" s="29"/>
      <c r="E25" s="30"/>
      <c r="F25" s="29"/>
      <c r="G25" s="30"/>
      <c r="H25" s="29"/>
      <c r="I25" s="30"/>
      <c r="J25" s="31">
        <v>1</v>
      </c>
      <c r="K25" s="16"/>
      <c r="L25" s="16"/>
      <c r="M25" s="16"/>
      <c r="N25" s="16"/>
      <c r="O25" s="16"/>
      <c r="P25" s="16"/>
      <c r="Q25" s="16"/>
      <c r="R25" s="33" t="s">
        <v>101</v>
      </c>
      <c r="S25" s="34">
        <v>10</v>
      </c>
      <c r="T25" s="34">
        <v>1</v>
      </c>
      <c r="U25" s="34"/>
      <c r="V25" s="35"/>
      <c r="W25" s="36">
        <f t="shared" si="8"/>
        <v>11</v>
      </c>
      <c r="X25" s="18"/>
      <c r="AQ25" s="16"/>
    </row>
    <row r="26" spans="1:43">
      <c r="A26" s="28" t="s">
        <v>102</v>
      </c>
      <c r="B26" s="29"/>
      <c r="C26" s="30" t="s">
        <v>12</v>
      </c>
      <c r="D26" s="29" t="s">
        <v>12</v>
      </c>
      <c r="E26" s="30" t="s">
        <v>10</v>
      </c>
      <c r="F26" s="29" t="s">
        <v>10</v>
      </c>
      <c r="G26" s="30" t="s">
        <v>10</v>
      </c>
      <c r="H26" s="29" t="s">
        <v>10</v>
      </c>
      <c r="I26" s="30"/>
      <c r="J26" s="31">
        <v>3</v>
      </c>
      <c r="K26" s="16"/>
      <c r="L26" s="171" t="s">
        <v>103</v>
      </c>
      <c r="M26" s="171"/>
      <c r="N26" s="171"/>
      <c r="O26" s="171"/>
      <c r="P26" s="16"/>
      <c r="Q26" s="16"/>
      <c r="R26" s="33" t="s">
        <v>104</v>
      </c>
      <c r="S26" s="34">
        <v>7</v>
      </c>
      <c r="T26" s="34">
        <v>1</v>
      </c>
      <c r="U26" s="34">
        <v>1</v>
      </c>
      <c r="V26" s="35"/>
      <c r="W26" s="36">
        <f t="shared" si="8"/>
        <v>9</v>
      </c>
      <c r="X26" s="18"/>
      <c r="AQ26" s="16"/>
    </row>
    <row r="27" spans="1:43">
      <c r="A27" s="28" t="s">
        <v>105</v>
      </c>
      <c r="B27" s="29"/>
      <c r="C27" s="30" t="s">
        <v>5</v>
      </c>
      <c r="D27" s="29" t="s">
        <v>5</v>
      </c>
      <c r="E27" s="30"/>
      <c r="F27" s="29"/>
      <c r="G27" s="30"/>
      <c r="H27" s="29"/>
      <c r="I27" s="30"/>
      <c r="J27" s="31">
        <v>2</v>
      </c>
      <c r="K27" s="16"/>
      <c r="L27" s="24">
        <v>1</v>
      </c>
      <c r="M27" s="24">
        <v>2</v>
      </c>
      <c r="N27" s="24">
        <v>3</v>
      </c>
      <c r="O27" s="24">
        <v>4</v>
      </c>
      <c r="P27" s="16"/>
      <c r="Q27" s="16"/>
      <c r="R27" s="33" t="s">
        <v>106</v>
      </c>
      <c r="S27" s="34">
        <v>10</v>
      </c>
      <c r="T27" s="34">
        <v>1</v>
      </c>
      <c r="U27" s="34"/>
      <c r="V27" s="35"/>
      <c r="W27" s="36">
        <f t="shared" si="8"/>
        <v>11</v>
      </c>
      <c r="X27" s="18"/>
      <c r="AQ27" s="16"/>
    </row>
    <row r="28" spans="1:43">
      <c r="A28" s="28" t="s">
        <v>107</v>
      </c>
      <c r="B28" s="29"/>
      <c r="C28" s="30"/>
      <c r="D28" s="29" t="s">
        <v>51</v>
      </c>
      <c r="E28" s="30" t="s">
        <v>51</v>
      </c>
      <c r="F28" s="29" t="s">
        <v>51</v>
      </c>
      <c r="G28" s="30" t="s">
        <v>4</v>
      </c>
      <c r="H28" s="29" t="s">
        <v>4</v>
      </c>
      <c r="I28" s="30" t="s">
        <v>4</v>
      </c>
      <c r="J28" s="31">
        <v>3</v>
      </c>
      <c r="K28" s="16"/>
      <c r="L28" s="9">
        <v>5</v>
      </c>
      <c r="M28" s="9">
        <v>2</v>
      </c>
      <c r="N28" s="32">
        <v>1</v>
      </c>
      <c r="O28" s="32">
        <v>0</v>
      </c>
      <c r="P28" s="16"/>
      <c r="Q28" s="16"/>
      <c r="R28" s="33" t="s">
        <v>108</v>
      </c>
      <c r="S28" s="34">
        <v>3</v>
      </c>
      <c r="T28" s="34">
        <v>2</v>
      </c>
      <c r="U28" s="34">
        <v>2</v>
      </c>
      <c r="V28" s="35"/>
      <c r="W28" s="36">
        <f t="shared" si="8"/>
        <v>7</v>
      </c>
      <c r="X28" s="18"/>
      <c r="AQ28" s="16"/>
    </row>
    <row r="29" spans="1:43">
      <c r="A29" s="28" t="s">
        <v>109</v>
      </c>
      <c r="B29" s="29"/>
      <c r="C29" s="30"/>
      <c r="D29" s="29"/>
      <c r="E29" s="30" t="s">
        <v>8</v>
      </c>
      <c r="F29" s="29" t="s">
        <v>8</v>
      </c>
      <c r="G29" s="30"/>
      <c r="H29" s="29"/>
      <c r="I29" s="30"/>
      <c r="J29" s="31">
        <v>1</v>
      </c>
      <c r="K29" s="16"/>
      <c r="L29" s="9">
        <f>(L28/8)*100</f>
        <v>62.5</v>
      </c>
      <c r="M29" s="9">
        <f>(M28/8)*100</f>
        <v>25</v>
      </c>
      <c r="N29" s="9">
        <f>(N28/8)*100</f>
        <v>12.5</v>
      </c>
      <c r="O29" s="9">
        <f>(O28/8)*100</f>
        <v>0</v>
      </c>
      <c r="P29" s="16"/>
      <c r="Q29" s="16"/>
      <c r="R29" s="39" t="s">
        <v>110</v>
      </c>
      <c r="S29" s="40">
        <v>6</v>
      </c>
      <c r="T29" s="40">
        <v>3</v>
      </c>
      <c r="U29" s="40"/>
      <c r="V29" s="41"/>
      <c r="W29" s="36">
        <f t="shared" si="8"/>
        <v>9</v>
      </c>
      <c r="X29" s="18"/>
      <c r="AQ29" s="16"/>
    </row>
    <row r="30" spans="1:43">
      <c r="A30" s="28" t="s">
        <v>111</v>
      </c>
      <c r="B30" s="29"/>
      <c r="C30" s="30"/>
      <c r="D30" s="29"/>
      <c r="E30" s="30"/>
      <c r="F30" s="29"/>
      <c r="G30" s="30" t="s">
        <v>18</v>
      </c>
      <c r="H30" s="29" t="s">
        <v>18</v>
      </c>
      <c r="I30" s="30"/>
      <c r="J30" s="31">
        <v>1</v>
      </c>
      <c r="K30" s="18"/>
      <c r="L30" s="16"/>
      <c r="M30" s="16"/>
      <c r="N30" s="16"/>
      <c r="O30" s="16"/>
      <c r="P30" s="16"/>
      <c r="Q30" s="16"/>
      <c r="R30" s="42"/>
      <c r="S30" s="56">
        <v>205</v>
      </c>
      <c r="T30" s="56">
        <v>41</v>
      </c>
      <c r="U30" s="56">
        <v>11</v>
      </c>
      <c r="V30" s="56">
        <v>2</v>
      </c>
      <c r="W30" s="57">
        <v>259</v>
      </c>
      <c r="X30" s="18"/>
      <c r="AQ30" s="16"/>
    </row>
    <row r="31" spans="1:43">
      <c r="A31" s="173" t="s">
        <v>112</v>
      </c>
      <c r="B31" s="173"/>
      <c r="C31" s="173"/>
      <c r="D31" s="173"/>
      <c r="E31" s="173"/>
      <c r="F31" s="173"/>
      <c r="G31" s="173"/>
      <c r="H31" s="173"/>
      <c r="I31" s="173"/>
      <c r="J31" s="173"/>
      <c r="K31" s="16"/>
      <c r="L31" s="171" t="s">
        <v>113</v>
      </c>
      <c r="M31" s="171"/>
      <c r="N31" s="171"/>
      <c r="O31" s="171"/>
      <c r="P31" s="16"/>
      <c r="Q31" s="16"/>
      <c r="R31" s="18"/>
      <c r="S31" s="58">
        <v>79.2</v>
      </c>
      <c r="T31" s="58">
        <v>15.8</v>
      </c>
      <c r="U31" s="58">
        <v>4.2</v>
      </c>
      <c r="V31" s="58">
        <v>0.8</v>
      </c>
      <c r="W31" s="59">
        <v>100</v>
      </c>
      <c r="X31" s="18"/>
      <c r="AQ31" s="16"/>
    </row>
    <row r="32" spans="1:43">
      <c r="A32" s="21" t="s">
        <v>49</v>
      </c>
      <c r="B32" s="22">
        <v>1990</v>
      </c>
      <c r="C32" s="22">
        <v>1994</v>
      </c>
      <c r="D32" s="22">
        <v>1998</v>
      </c>
      <c r="E32" s="22">
        <v>2002</v>
      </c>
      <c r="F32" s="22">
        <v>2006</v>
      </c>
      <c r="G32" s="22">
        <v>2010</v>
      </c>
      <c r="H32" s="22">
        <v>2014</v>
      </c>
      <c r="I32" s="22">
        <v>2018</v>
      </c>
      <c r="J32" s="23" t="s">
        <v>1</v>
      </c>
      <c r="K32" s="16"/>
      <c r="L32" s="24">
        <v>1</v>
      </c>
      <c r="M32" s="24">
        <v>2</v>
      </c>
      <c r="N32" s="24">
        <v>3</v>
      </c>
      <c r="O32" s="24">
        <v>4</v>
      </c>
      <c r="P32" s="16"/>
      <c r="Q32" s="16"/>
      <c r="R32" s="16"/>
      <c r="S32" s="16"/>
      <c r="T32" s="16"/>
      <c r="U32" s="16"/>
      <c r="V32" s="16"/>
      <c r="W32" s="16"/>
      <c r="X32" s="18"/>
      <c r="Y32" s="16"/>
      <c r="Z32" s="16"/>
      <c r="AA32" s="16"/>
      <c r="AQ32" s="16"/>
    </row>
    <row r="33" spans="1:43">
      <c r="A33" s="28" t="s">
        <v>114</v>
      </c>
      <c r="B33" s="29" t="s">
        <v>91</v>
      </c>
      <c r="C33" s="30" t="s">
        <v>91</v>
      </c>
      <c r="D33" s="29"/>
      <c r="E33" s="30"/>
      <c r="F33" s="29"/>
      <c r="G33" s="30"/>
      <c r="H33" s="29"/>
      <c r="I33" s="30"/>
      <c r="J33" s="31">
        <v>1</v>
      </c>
      <c r="K33" s="16"/>
      <c r="L33" s="9">
        <v>10</v>
      </c>
      <c r="M33" s="9">
        <v>1</v>
      </c>
      <c r="N33" s="32">
        <v>0</v>
      </c>
      <c r="O33" s="32">
        <v>0</v>
      </c>
      <c r="P33" s="16"/>
      <c r="Q33" s="16"/>
      <c r="R33" s="172" t="s">
        <v>47</v>
      </c>
      <c r="S33" s="172"/>
      <c r="T33" s="172"/>
      <c r="U33" s="172"/>
      <c r="V33" s="172"/>
      <c r="W33" s="172"/>
      <c r="X33" s="16"/>
      <c r="Y33" s="16"/>
      <c r="Z33" s="16"/>
      <c r="AA33" s="16"/>
      <c r="AQ33" s="16"/>
    </row>
    <row r="34" spans="1:43">
      <c r="A34" s="28" t="s">
        <v>115</v>
      </c>
      <c r="B34" s="29" t="s">
        <v>3</v>
      </c>
      <c r="C34" s="30"/>
      <c r="D34" s="29"/>
      <c r="E34" s="30"/>
      <c r="F34" s="29"/>
      <c r="G34" s="30"/>
      <c r="H34" s="29"/>
      <c r="I34" s="30"/>
      <c r="J34" s="31">
        <v>1</v>
      </c>
      <c r="K34" s="16"/>
      <c r="L34" s="44">
        <f>(L33/11)*100</f>
        <v>90.909090909090907</v>
      </c>
      <c r="M34" s="44">
        <f>(M33/11)*100</f>
        <v>9.0909090909090917</v>
      </c>
      <c r="N34" s="44">
        <f>(N33/11)*100</f>
        <v>0</v>
      </c>
      <c r="O34" s="44">
        <f>(O33/11)*100</f>
        <v>0</v>
      </c>
      <c r="P34" s="16"/>
      <c r="Q34" s="16"/>
      <c r="R34" s="25"/>
      <c r="S34" s="26">
        <v>1</v>
      </c>
      <c r="T34" s="26">
        <v>2</v>
      </c>
      <c r="U34" s="26">
        <v>3</v>
      </c>
      <c r="V34" s="26">
        <v>4</v>
      </c>
      <c r="W34" s="27" t="s">
        <v>1</v>
      </c>
      <c r="X34" s="16"/>
      <c r="Y34" s="16"/>
      <c r="Z34" s="16"/>
      <c r="AA34" s="16"/>
      <c r="AQ34" s="16"/>
    </row>
    <row r="35" spans="1:43">
      <c r="A35" s="28" t="s">
        <v>116</v>
      </c>
      <c r="B35" s="29" t="s">
        <v>3</v>
      </c>
      <c r="C35" s="30"/>
      <c r="D35" s="29"/>
      <c r="E35" s="30"/>
      <c r="F35" s="29"/>
      <c r="G35" s="30"/>
      <c r="H35" s="29"/>
      <c r="I35" s="30"/>
      <c r="J35" s="31">
        <v>1</v>
      </c>
      <c r="K35" s="16"/>
      <c r="L35" s="16"/>
      <c r="M35" s="16"/>
      <c r="N35" s="16"/>
      <c r="O35" s="16"/>
      <c r="P35" s="16"/>
      <c r="Q35" s="16"/>
      <c r="R35" s="33" t="s">
        <v>52</v>
      </c>
      <c r="S35" s="34">
        <v>50</v>
      </c>
      <c r="T35" s="34">
        <v>50</v>
      </c>
      <c r="U35" s="34">
        <v>0</v>
      </c>
      <c r="V35" s="35">
        <v>0</v>
      </c>
      <c r="W35" s="36">
        <f t="shared" ref="W35:W61" si="9">SUM(S35:V35)</f>
        <v>100</v>
      </c>
      <c r="X35" s="16"/>
      <c r="Y35" s="16"/>
      <c r="Z35" s="16"/>
      <c r="AA35" s="16"/>
      <c r="AQ35" s="16"/>
    </row>
    <row r="36" spans="1:43">
      <c r="A36" s="28" t="s">
        <v>117</v>
      </c>
      <c r="B36" s="29"/>
      <c r="C36" s="30" t="s">
        <v>51</v>
      </c>
      <c r="D36" s="29" t="s">
        <v>51</v>
      </c>
      <c r="E36" s="30"/>
      <c r="F36" s="29"/>
      <c r="G36" s="30"/>
      <c r="H36" s="29"/>
      <c r="I36" s="30"/>
      <c r="J36" s="31">
        <v>1</v>
      </c>
      <c r="K36" s="16"/>
      <c r="L36" s="171" t="s">
        <v>118</v>
      </c>
      <c r="M36" s="171"/>
      <c r="N36" s="171"/>
      <c r="O36" s="171"/>
      <c r="P36" s="16"/>
      <c r="Q36" s="16"/>
      <c r="R36" s="33" t="s">
        <v>54</v>
      </c>
      <c r="S36" s="34">
        <v>62.5</v>
      </c>
      <c r="T36" s="34">
        <v>25</v>
      </c>
      <c r="U36" s="34">
        <v>12.5</v>
      </c>
      <c r="V36" s="35">
        <v>0</v>
      </c>
      <c r="W36" s="36">
        <f t="shared" si="9"/>
        <v>100</v>
      </c>
      <c r="X36" s="16"/>
      <c r="Y36" s="16"/>
      <c r="Z36" s="16"/>
      <c r="AA36" s="16"/>
      <c r="AQ36" s="16"/>
    </row>
    <row r="37" spans="1:43">
      <c r="A37" s="28" t="s">
        <v>119</v>
      </c>
      <c r="B37" s="29"/>
      <c r="C37" s="30" t="s">
        <v>3</v>
      </c>
      <c r="D37" s="29" t="s">
        <v>3</v>
      </c>
      <c r="E37" s="30"/>
      <c r="F37" s="29"/>
      <c r="G37" s="30"/>
      <c r="H37" s="29"/>
      <c r="I37" s="30"/>
      <c r="J37" s="31">
        <v>1</v>
      </c>
      <c r="K37" s="16"/>
      <c r="L37" s="24">
        <v>1</v>
      </c>
      <c r="M37" s="24">
        <v>2</v>
      </c>
      <c r="N37" s="24">
        <v>3</v>
      </c>
      <c r="O37" s="24">
        <v>4</v>
      </c>
      <c r="P37" s="16"/>
      <c r="Q37" s="16"/>
      <c r="R37" s="33" t="s">
        <v>56</v>
      </c>
      <c r="S37" s="34">
        <v>62.5</v>
      </c>
      <c r="T37" s="34">
        <v>12.5</v>
      </c>
      <c r="U37" s="34">
        <v>25</v>
      </c>
      <c r="V37" s="35">
        <v>0</v>
      </c>
      <c r="W37" s="36">
        <f t="shared" si="9"/>
        <v>100</v>
      </c>
      <c r="X37" s="16"/>
      <c r="Y37" s="16"/>
      <c r="Z37" s="16"/>
      <c r="AA37" s="16"/>
      <c r="AQ37" s="16"/>
    </row>
    <row r="38" spans="1:43">
      <c r="A38" s="28" t="s">
        <v>120</v>
      </c>
      <c r="B38" s="29"/>
      <c r="C38" s="30"/>
      <c r="D38" s="29" t="s">
        <v>51</v>
      </c>
      <c r="E38" s="30" t="s">
        <v>51</v>
      </c>
      <c r="F38" s="29"/>
      <c r="G38" s="30"/>
      <c r="H38" s="29"/>
      <c r="I38" s="30"/>
      <c r="J38" s="31">
        <v>1</v>
      </c>
      <c r="K38" s="16"/>
      <c r="L38" s="9">
        <v>5</v>
      </c>
      <c r="M38" s="9">
        <v>0</v>
      </c>
      <c r="N38" s="32">
        <v>1</v>
      </c>
      <c r="O38" s="32">
        <v>1</v>
      </c>
      <c r="P38" s="16"/>
      <c r="Q38" s="16"/>
      <c r="R38" s="33" t="s">
        <v>60</v>
      </c>
      <c r="S38" s="34">
        <v>100</v>
      </c>
      <c r="T38" s="34">
        <v>0</v>
      </c>
      <c r="U38" s="34">
        <v>0</v>
      </c>
      <c r="V38" s="35">
        <v>0</v>
      </c>
      <c r="W38" s="36">
        <f t="shared" si="9"/>
        <v>100</v>
      </c>
      <c r="X38" s="16"/>
      <c r="Y38" s="16"/>
      <c r="Z38" s="16"/>
      <c r="AA38" s="16"/>
      <c r="AQ38" s="16"/>
    </row>
    <row r="39" spans="1:43">
      <c r="A39" s="28" t="s">
        <v>121</v>
      </c>
      <c r="B39" s="29"/>
      <c r="C39" s="30"/>
      <c r="D39" s="29"/>
      <c r="E39" s="30" t="s">
        <v>6</v>
      </c>
      <c r="F39" s="29" t="s">
        <v>6</v>
      </c>
      <c r="G39" s="30"/>
      <c r="H39" s="29"/>
      <c r="I39" s="30"/>
      <c r="J39" s="31">
        <v>1</v>
      </c>
      <c r="K39" s="16"/>
      <c r="L39" s="44">
        <f>(L38/7)*100</f>
        <v>71.428571428571431</v>
      </c>
      <c r="M39" s="44">
        <f>(M38/7)*100</f>
        <v>0</v>
      </c>
      <c r="N39" s="44">
        <f>(N38/7)*100</f>
        <v>14.285714285714285</v>
      </c>
      <c r="O39" s="44">
        <f>(O38/7)*100</f>
        <v>14.285714285714285</v>
      </c>
      <c r="P39" s="16"/>
      <c r="Q39" s="16"/>
      <c r="R39" s="33" t="s">
        <v>62</v>
      </c>
      <c r="S39" s="34">
        <v>62.5</v>
      </c>
      <c r="T39" s="34">
        <v>25</v>
      </c>
      <c r="U39" s="34">
        <v>12.5</v>
      </c>
      <c r="V39" s="35">
        <v>0</v>
      </c>
      <c r="W39" s="36">
        <f t="shared" si="9"/>
        <v>100</v>
      </c>
      <c r="X39" s="16"/>
      <c r="Y39" s="16"/>
      <c r="Z39" s="16"/>
      <c r="AA39" s="16"/>
      <c r="AQ39" s="16"/>
    </row>
    <row r="40" spans="1:43">
      <c r="A40" s="28" t="s">
        <v>122</v>
      </c>
      <c r="B40" s="29"/>
      <c r="C40" s="30"/>
      <c r="D40" s="29"/>
      <c r="E40" s="30" t="s">
        <v>5</v>
      </c>
      <c r="F40" s="29" t="s">
        <v>5</v>
      </c>
      <c r="G40" s="30"/>
      <c r="H40" s="29"/>
      <c r="I40" s="30"/>
      <c r="J40" s="31">
        <v>1</v>
      </c>
      <c r="K40" s="16"/>
      <c r="L40" s="16"/>
      <c r="M40" s="16"/>
      <c r="N40" s="16"/>
      <c r="O40" s="16"/>
      <c r="P40" s="16"/>
      <c r="Q40" s="16"/>
      <c r="R40" s="33" t="s">
        <v>65</v>
      </c>
      <c r="S40" s="34">
        <v>62.5</v>
      </c>
      <c r="T40" s="34">
        <v>25</v>
      </c>
      <c r="U40" s="34">
        <v>12.5</v>
      </c>
      <c r="V40" s="35">
        <v>0</v>
      </c>
      <c r="W40" s="36">
        <f t="shared" si="9"/>
        <v>100</v>
      </c>
      <c r="X40" s="16"/>
      <c r="Y40" s="16"/>
      <c r="Z40" s="16"/>
      <c r="AA40" s="16"/>
      <c r="AQ40" s="16"/>
    </row>
    <row r="41" spans="1:43">
      <c r="A41" s="28" t="s">
        <v>123</v>
      </c>
      <c r="B41" s="29"/>
      <c r="C41" s="30"/>
      <c r="D41" s="29"/>
      <c r="E41" s="30"/>
      <c r="F41" s="29" t="s">
        <v>51</v>
      </c>
      <c r="G41" s="30" t="s">
        <v>4</v>
      </c>
      <c r="H41" s="29"/>
      <c r="I41" s="30"/>
      <c r="J41" s="31">
        <v>1</v>
      </c>
      <c r="K41" s="16"/>
      <c r="L41" s="171" t="s">
        <v>124</v>
      </c>
      <c r="M41" s="171"/>
      <c r="N41" s="171"/>
      <c r="O41" s="171"/>
      <c r="P41" s="16"/>
      <c r="Q41" s="16"/>
      <c r="R41" s="33" t="s">
        <v>67</v>
      </c>
      <c r="S41" s="34">
        <v>90.91</v>
      </c>
      <c r="T41" s="34">
        <v>9.09</v>
      </c>
      <c r="U41" s="34">
        <v>0</v>
      </c>
      <c r="V41" s="35">
        <v>0</v>
      </c>
      <c r="W41" s="36">
        <f t="shared" si="9"/>
        <v>100</v>
      </c>
      <c r="X41" s="16"/>
      <c r="Y41" s="16"/>
      <c r="Z41" s="16"/>
      <c r="AA41" s="16"/>
      <c r="AQ41" s="16"/>
    </row>
    <row r="42" spans="1:43">
      <c r="A42" s="28" t="s">
        <v>125</v>
      </c>
      <c r="B42" s="29"/>
      <c r="C42" s="30"/>
      <c r="D42" s="29"/>
      <c r="E42" s="30"/>
      <c r="F42" s="29"/>
      <c r="G42" s="30" t="s">
        <v>6</v>
      </c>
      <c r="H42" s="29" t="s">
        <v>6</v>
      </c>
      <c r="I42" s="30"/>
      <c r="J42" s="31">
        <v>1</v>
      </c>
      <c r="K42" s="16"/>
      <c r="L42" s="24">
        <v>1</v>
      </c>
      <c r="M42" s="24">
        <v>2</v>
      </c>
      <c r="N42" s="24">
        <v>3</v>
      </c>
      <c r="O42" s="24">
        <v>4</v>
      </c>
      <c r="P42" s="16"/>
      <c r="Q42" s="16"/>
      <c r="R42" s="33" t="s">
        <v>69</v>
      </c>
      <c r="S42" s="34">
        <v>71.42</v>
      </c>
      <c r="T42" s="34">
        <v>0</v>
      </c>
      <c r="U42" s="34">
        <v>14.29</v>
      </c>
      <c r="V42" s="35">
        <v>14.29</v>
      </c>
      <c r="W42" s="36">
        <f t="shared" si="9"/>
        <v>100</v>
      </c>
      <c r="X42" s="16"/>
      <c r="Y42" s="16"/>
      <c r="Z42" s="16"/>
      <c r="AA42" s="16"/>
      <c r="AQ42" s="16"/>
    </row>
    <row r="43" spans="1:43">
      <c r="A43" s="28" t="s">
        <v>126</v>
      </c>
      <c r="B43" s="29"/>
      <c r="C43" s="30"/>
      <c r="D43" s="29"/>
      <c r="E43" s="30"/>
      <c r="F43" s="29"/>
      <c r="G43" s="30" t="s">
        <v>3</v>
      </c>
      <c r="H43" s="29" t="s">
        <v>3</v>
      </c>
      <c r="I43" s="30"/>
      <c r="J43" s="31">
        <v>1</v>
      </c>
      <c r="K43" s="16"/>
      <c r="L43" s="9">
        <v>10</v>
      </c>
      <c r="M43" s="9">
        <v>1</v>
      </c>
      <c r="N43" s="32">
        <v>0</v>
      </c>
      <c r="O43" s="32">
        <v>0</v>
      </c>
      <c r="P43" s="16"/>
      <c r="Q43" s="16"/>
      <c r="R43" s="33" t="s">
        <v>72</v>
      </c>
      <c r="S43" s="34">
        <v>90.91</v>
      </c>
      <c r="T43" s="34">
        <v>9.09</v>
      </c>
      <c r="U43" s="34">
        <v>0</v>
      </c>
      <c r="V43" s="35">
        <v>0</v>
      </c>
      <c r="W43" s="36">
        <f t="shared" si="9"/>
        <v>100</v>
      </c>
      <c r="X43" s="16"/>
      <c r="Y43" s="16"/>
      <c r="Z43" s="16"/>
      <c r="AA43" s="16"/>
      <c r="AQ43" s="16"/>
    </row>
    <row r="44" spans="1:43">
      <c r="A44" s="28" t="s">
        <v>127</v>
      </c>
      <c r="B44" s="29"/>
      <c r="C44" s="30"/>
      <c r="D44" s="29"/>
      <c r="E44" s="30"/>
      <c r="F44" s="29"/>
      <c r="G44" s="30"/>
      <c r="H44" s="29" t="s">
        <v>3</v>
      </c>
      <c r="I44" s="30" t="s">
        <v>3</v>
      </c>
      <c r="J44" s="31">
        <v>1</v>
      </c>
      <c r="K44" s="16"/>
      <c r="L44" s="44">
        <f>(L43/11)*100</f>
        <v>90.909090909090907</v>
      </c>
      <c r="M44" s="44">
        <f>(M43/11)*100</f>
        <v>9.0909090909090917</v>
      </c>
      <c r="N44" s="44">
        <f>(N43/11)*100</f>
        <v>0</v>
      </c>
      <c r="O44" s="44">
        <f>(O43/11)*100</f>
        <v>0</v>
      </c>
      <c r="P44" s="16"/>
      <c r="Q44" s="16"/>
      <c r="R44" s="33" t="s">
        <v>73</v>
      </c>
      <c r="S44" s="34">
        <v>62.5</v>
      </c>
      <c r="T44" s="34">
        <v>25</v>
      </c>
      <c r="U44" s="34">
        <v>12.5</v>
      </c>
      <c r="V44" s="35">
        <v>0</v>
      </c>
      <c r="W44" s="36">
        <f t="shared" si="9"/>
        <v>100</v>
      </c>
      <c r="X44" s="16"/>
      <c r="Y44" s="16"/>
      <c r="Z44" s="16"/>
      <c r="AA44" s="16"/>
      <c r="AQ44" s="16"/>
    </row>
    <row r="45" spans="1:43">
      <c r="A45" s="173" t="s">
        <v>128</v>
      </c>
      <c r="B45" s="173"/>
      <c r="C45" s="173"/>
      <c r="D45" s="173"/>
      <c r="E45" s="173"/>
      <c r="F45" s="173"/>
      <c r="G45" s="173"/>
      <c r="H45" s="173"/>
      <c r="I45" s="173"/>
      <c r="J45" s="173"/>
      <c r="K45" s="16"/>
      <c r="L45" s="16"/>
      <c r="M45" s="16"/>
      <c r="N45" s="16"/>
      <c r="O45" s="16"/>
      <c r="P45" s="16"/>
      <c r="Q45" s="16"/>
      <c r="R45" s="33" t="s">
        <v>75</v>
      </c>
      <c r="S45" s="34">
        <v>90.91</v>
      </c>
      <c r="T45" s="34">
        <v>9.09</v>
      </c>
      <c r="U45" s="34">
        <v>0</v>
      </c>
      <c r="V45" s="35">
        <v>0</v>
      </c>
      <c r="W45" s="36">
        <f t="shared" si="9"/>
        <v>100</v>
      </c>
      <c r="X45" s="16"/>
      <c r="Y45" s="16"/>
      <c r="Z45" s="16"/>
      <c r="AA45" s="16"/>
      <c r="AQ45" s="16"/>
    </row>
    <row r="46" spans="1:43">
      <c r="A46" s="21" t="s">
        <v>49</v>
      </c>
      <c r="B46" s="22">
        <v>1990</v>
      </c>
      <c r="C46" s="22">
        <v>1994</v>
      </c>
      <c r="D46" s="22">
        <v>1998</v>
      </c>
      <c r="E46" s="22">
        <v>2002</v>
      </c>
      <c r="F46" s="22">
        <v>2006</v>
      </c>
      <c r="G46" s="22">
        <v>2010</v>
      </c>
      <c r="H46" s="22">
        <v>2014</v>
      </c>
      <c r="I46" s="22">
        <v>2018</v>
      </c>
      <c r="J46" s="23" t="s">
        <v>1</v>
      </c>
      <c r="K46" s="16"/>
      <c r="L46" s="171" t="s">
        <v>129</v>
      </c>
      <c r="M46" s="171"/>
      <c r="N46" s="171"/>
      <c r="O46" s="171"/>
      <c r="P46" s="16"/>
      <c r="Q46" s="16"/>
      <c r="R46" s="33" t="s">
        <v>77</v>
      </c>
      <c r="S46" s="34">
        <v>90.91</v>
      </c>
      <c r="T46" s="34">
        <v>9.09</v>
      </c>
      <c r="U46" s="34">
        <v>0</v>
      </c>
      <c r="V46" s="35">
        <v>0</v>
      </c>
      <c r="W46" s="36">
        <f t="shared" si="9"/>
        <v>100</v>
      </c>
      <c r="X46" s="16"/>
      <c r="Y46" s="16"/>
      <c r="Z46" s="16"/>
      <c r="AA46" s="16"/>
      <c r="AQ46" s="16"/>
    </row>
    <row r="47" spans="1:43">
      <c r="A47" s="28" t="s">
        <v>130</v>
      </c>
      <c r="B47" s="29" t="s">
        <v>3</v>
      </c>
      <c r="C47" s="30" t="s">
        <v>3</v>
      </c>
      <c r="D47" s="29" t="s">
        <v>3</v>
      </c>
      <c r="E47" s="30" t="s">
        <v>3</v>
      </c>
      <c r="F47" s="29" t="s">
        <v>3</v>
      </c>
      <c r="G47" s="30" t="s">
        <v>3</v>
      </c>
      <c r="H47" s="29"/>
      <c r="I47" s="30"/>
      <c r="J47" s="31">
        <v>3</v>
      </c>
      <c r="K47" s="16"/>
      <c r="L47" s="24">
        <v>1</v>
      </c>
      <c r="M47" s="24">
        <v>2</v>
      </c>
      <c r="N47" s="24">
        <v>3</v>
      </c>
      <c r="O47" s="24">
        <v>4</v>
      </c>
      <c r="P47" s="16"/>
      <c r="Q47" s="16"/>
      <c r="R47" s="33" t="s">
        <v>79</v>
      </c>
      <c r="S47" s="34">
        <v>80</v>
      </c>
      <c r="T47" s="34">
        <v>20</v>
      </c>
      <c r="U47" s="34">
        <v>0</v>
      </c>
      <c r="V47" s="35">
        <v>0</v>
      </c>
      <c r="W47" s="36">
        <f t="shared" si="9"/>
        <v>100</v>
      </c>
      <c r="X47" s="16"/>
      <c r="Y47" s="16"/>
      <c r="Z47" s="16"/>
      <c r="AA47" s="16"/>
      <c r="AQ47" s="16"/>
    </row>
    <row r="48" spans="1:43">
      <c r="A48" s="28" t="s">
        <v>131</v>
      </c>
      <c r="B48" s="29" t="s">
        <v>3</v>
      </c>
      <c r="C48" s="30" t="s">
        <v>3</v>
      </c>
      <c r="D48" s="29" t="s">
        <v>3</v>
      </c>
      <c r="E48" s="30"/>
      <c r="F48" s="29"/>
      <c r="G48" s="30"/>
      <c r="H48" s="29"/>
      <c r="I48" s="30"/>
      <c r="J48" s="31">
        <v>2</v>
      </c>
      <c r="K48" s="16"/>
      <c r="L48" s="9">
        <v>5</v>
      </c>
      <c r="M48" s="9">
        <v>2</v>
      </c>
      <c r="N48" s="32">
        <v>1</v>
      </c>
      <c r="O48" s="32">
        <v>0</v>
      </c>
      <c r="P48" s="16"/>
      <c r="Q48" s="16"/>
      <c r="R48" s="33" t="s">
        <v>73</v>
      </c>
      <c r="S48" s="34">
        <v>90.91</v>
      </c>
      <c r="T48" s="34">
        <v>9.09</v>
      </c>
      <c r="U48" s="34">
        <v>0</v>
      </c>
      <c r="V48" s="35">
        <v>0</v>
      </c>
      <c r="W48" s="36">
        <f t="shared" si="9"/>
        <v>100</v>
      </c>
      <c r="X48" s="16"/>
      <c r="Y48" s="16"/>
      <c r="Z48" s="16"/>
      <c r="AA48" s="16"/>
      <c r="AQ48" s="16"/>
    </row>
    <row r="49" spans="1:43">
      <c r="A49" s="28" t="s">
        <v>132</v>
      </c>
      <c r="B49" s="29" t="s">
        <v>3</v>
      </c>
      <c r="C49" s="30"/>
      <c r="D49" s="29"/>
      <c r="E49" s="30"/>
      <c r="F49" s="29"/>
      <c r="G49" s="30"/>
      <c r="H49" s="29"/>
      <c r="I49" s="30"/>
      <c r="J49" s="31">
        <v>1</v>
      </c>
      <c r="K49" s="16"/>
      <c r="L49" s="9">
        <f>(L48/8)*100</f>
        <v>62.5</v>
      </c>
      <c r="M49" s="9">
        <f>(M48/8)*100</f>
        <v>25</v>
      </c>
      <c r="N49" s="9">
        <f>(N48/8)*100</f>
        <v>12.5</v>
      </c>
      <c r="O49" s="9">
        <f>(O48/8)*100</f>
        <v>0</v>
      </c>
      <c r="P49" s="16"/>
      <c r="Q49" s="16"/>
      <c r="R49" s="33" t="s">
        <v>83</v>
      </c>
      <c r="S49" s="34">
        <v>90.91</v>
      </c>
      <c r="T49" s="34">
        <v>9.09</v>
      </c>
      <c r="U49" s="34">
        <v>0</v>
      </c>
      <c r="V49" s="35">
        <v>0</v>
      </c>
      <c r="W49" s="36">
        <f t="shared" si="9"/>
        <v>100</v>
      </c>
      <c r="X49" s="16"/>
      <c r="Y49" s="16"/>
      <c r="Z49" s="16"/>
      <c r="AA49" s="16"/>
      <c r="AQ49" s="16"/>
    </row>
    <row r="50" spans="1:43">
      <c r="A50" s="28" t="s">
        <v>133</v>
      </c>
      <c r="B50" s="29"/>
      <c r="C50" s="30" t="s">
        <v>9</v>
      </c>
      <c r="D50" s="29" t="s">
        <v>9</v>
      </c>
      <c r="E50" s="30"/>
      <c r="F50" s="29"/>
      <c r="G50" s="30"/>
      <c r="H50" s="29"/>
      <c r="I50" s="30"/>
      <c r="J50" s="31">
        <v>1</v>
      </c>
      <c r="K50" s="16"/>
      <c r="L50" s="16"/>
      <c r="M50" s="16"/>
      <c r="N50" s="16"/>
      <c r="O50" s="16"/>
      <c r="P50" s="16"/>
      <c r="Q50" s="16"/>
      <c r="R50" s="33" t="s">
        <v>85</v>
      </c>
      <c r="S50" s="34">
        <v>80</v>
      </c>
      <c r="T50" s="34">
        <v>20</v>
      </c>
      <c r="U50" s="34">
        <v>0</v>
      </c>
      <c r="V50" s="35">
        <v>0</v>
      </c>
      <c r="W50" s="36">
        <f t="shared" si="9"/>
        <v>100</v>
      </c>
      <c r="X50" s="16"/>
      <c r="Y50" s="16"/>
      <c r="Z50" s="16"/>
      <c r="AA50" s="16"/>
      <c r="AQ50" s="16"/>
    </row>
    <row r="51" spans="1:43">
      <c r="A51" s="28" t="s">
        <v>134</v>
      </c>
      <c r="B51" s="29"/>
      <c r="C51" s="30"/>
      <c r="D51" s="29"/>
      <c r="E51" s="30" t="s">
        <v>5</v>
      </c>
      <c r="F51" s="29" t="s">
        <v>5</v>
      </c>
      <c r="G51" s="30" t="s">
        <v>5</v>
      </c>
      <c r="H51" s="29" t="s">
        <v>5</v>
      </c>
      <c r="I51" s="30"/>
      <c r="J51" s="31">
        <v>2</v>
      </c>
      <c r="K51" s="16"/>
      <c r="L51" s="174" t="s">
        <v>135</v>
      </c>
      <c r="M51" s="175"/>
      <c r="N51" s="175"/>
      <c r="O51" s="176"/>
      <c r="P51" s="16"/>
      <c r="Q51" s="16"/>
      <c r="R51" s="33" t="s">
        <v>88</v>
      </c>
      <c r="S51" s="34">
        <v>100</v>
      </c>
      <c r="T51" s="34">
        <v>0</v>
      </c>
      <c r="U51" s="34">
        <v>0</v>
      </c>
      <c r="V51" s="35">
        <v>0</v>
      </c>
      <c r="W51" s="36">
        <f t="shared" si="9"/>
        <v>100</v>
      </c>
      <c r="X51" s="16"/>
      <c r="Y51" s="16"/>
      <c r="Z51" s="16"/>
      <c r="AA51" s="16"/>
      <c r="AQ51" s="16"/>
    </row>
    <row r="52" spans="1:43">
      <c r="A52" s="28" t="s">
        <v>136</v>
      </c>
      <c r="B52" s="29"/>
      <c r="C52" s="30"/>
      <c r="D52" s="29"/>
      <c r="E52" s="30" t="s">
        <v>9</v>
      </c>
      <c r="F52" s="29" t="s">
        <v>9</v>
      </c>
      <c r="G52" s="30"/>
      <c r="H52" s="29"/>
      <c r="I52" s="30"/>
      <c r="J52" s="31">
        <v>1</v>
      </c>
      <c r="K52" s="16"/>
      <c r="L52" s="45">
        <v>1</v>
      </c>
      <c r="M52" s="46">
        <v>2</v>
      </c>
      <c r="N52" s="46">
        <v>3</v>
      </c>
      <c r="O52" s="46">
        <v>4</v>
      </c>
      <c r="P52" s="16"/>
      <c r="Q52" s="16"/>
      <c r="R52" s="33" t="s">
        <v>90</v>
      </c>
      <c r="S52" s="34">
        <v>0</v>
      </c>
      <c r="T52" s="34">
        <v>83.33</v>
      </c>
      <c r="U52" s="34">
        <v>0</v>
      </c>
      <c r="V52" s="35">
        <v>16.670000000000002</v>
      </c>
      <c r="W52" s="36">
        <f t="shared" si="9"/>
        <v>100</v>
      </c>
      <c r="X52" s="16"/>
      <c r="Y52" s="16"/>
      <c r="Z52" s="16"/>
      <c r="AA52" s="16"/>
      <c r="AQ52" s="16"/>
    </row>
    <row r="53" spans="1:43">
      <c r="A53" s="28" t="s">
        <v>137</v>
      </c>
      <c r="B53" s="29"/>
      <c r="C53" s="30"/>
      <c r="D53" s="29"/>
      <c r="E53" s="30"/>
      <c r="F53" s="29"/>
      <c r="G53" s="30" t="s">
        <v>12</v>
      </c>
      <c r="H53" s="29" t="s">
        <v>12</v>
      </c>
      <c r="I53" s="30"/>
      <c r="J53" s="31">
        <v>1</v>
      </c>
      <c r="K53" s="16"/>
      <c r="L53" s="47">
        <v>10</v>
      </c>
      <c r="M53" s="31">
        <v>1</v>
      </c>
      <c r="N53" s="31">
        <v>0</v>
      </c>
      <c r="O53" s="31">
        <v>0</v>
      </c>
      <c r="P53" s="16"/>
      <c r="Q53" s="16"/>
      <c r="R53" s="33" t="s">
        <v>94</v>
      </c>
      <c r="S53" s="34">
        <v>80</v>
      </c>
      <c r="T53" s="34">
        <v>20</v>
      </c>
      <c r="U53" s="34">
        <v>0</v>
      </c>
      <c r="V53" s="35">
        <v>0</v>
      </c>
      <c r="W53" s="36">
        <f t="shared" si="9"/>
        <v>100</v>
      </c>
      <c r="X53" s="16"/>
      <c r="Y53" s="16"/>
      <c r="Z53" s="16"/>
      <c r="AA53" s="16"/>
      <c r="AQ53" s="16"/>
    </row>
    <row r="54" spans="1:43">
      <c r="A54" s="28" t="s">
        <v>138</v>
      </c>
      <c r="B54" s="29"/>
      <c r="C54" s="30"/>
      <c r="D54" s="29"/>
      <c r="E54" s="30"/>
      <c r="F54" s="29"/>
      <c r="G54" s="30"/>
      <c r="H54" s="29" t="s">
        <v>8</v>
      </c>
      <c r="I54" s="30" t="s">
        <v>8</v>
      </c>
      <c r="J54" s="31">
        <v>1</v>
      </c>
      <c r="K54" s="16"/>
      <c r="L54" s="44">
        <f>(L53/11)*100</f>
        <v>90.909090909090907</v>
      </c>
      <c r="M54" s="44">
        <f>(M53/11)*100</f>
        <v>9.0909090909090917</v>
      </c>
      <c r="N54" s="44">
        <f>(N53/11)*100</f>
        <v>0</v>
      </c>
      <c r="O54" s="44">
        <f>(O53/11)*100</f>
        <v>0</v>
      </c>
      <c r="P54" s="16"/>
      <c r="Q54" s="16"/>
      <c r="R54" s="33" t="s">
        <v>95</v>
      </c>
      <c r="S54" s="34">
        <v>77.78</v>
      </c>
      <c r="T54" s="34">
        <v>11.11</v>
      </c>
      <c r="U54" s="34">
        <v>11.11</v>
      </c>
      <c r="V54" s="35">
        <v>0</v>
      </c>
      <c r="W54" s="36">
        <f t="shared" si="9"/>
        <v>100</v>
      </c>
      <c r="X54" s="16"/>
      <c r="Y54" s="16"/>
      <c r="Z54" s="16"/>
      <c r="AA54" s="16"/>
      <c r="AQ54" s="16"/>
    </row>
    <row r="55" spans="1:43">
      <c r="A55" s="173" t="s">
        <v>139</v>
      </c>
      <c r="B55" s="173"/>
      <c r="C55" s="173"/>
      <c r="D55" s="173"/>
      <c r="E55" s="173"/>
      <c r="F55" s="173"/>
      <c r="G55" s="173"/>
      <c r="H55" s="173"/>
      <c r="I55" s="173"/>
      <c r="J55" s="173"/>
      <c r="K55" s="16"/>
      <c r="L55" s="16"/>
      <c r="M55" s="16"/>
      <c r="N55" s="16"/>
      <c r="O55" s="16"/>
      <c r="P55" s="16"/>
      <c r="Q55" s="16"/>
      <c r="R55" s="33" t="s">
        <v>97</v>
      </c>
      <c r="S55" s="34">
        <v>90.91</v>
      </c>
      <c r="T55" s="34">
        <v>9.09</v>
      </c>
      <c r="U55" s="34">
        <v>0</v>
      </c>
      <c r="V55" s="35">
        <v>0</v>
      </c>
      <c r="W55" s="36">
        <f t="shared" si="9"/>
        <v>100</v>
      </c>
      <c r="X55" s="16"/>
      <c r="Y55" s="16"/>
      <c r="Z55" s="16"/>
      <c r="AA55" s="16"/>
      <c r="AQ55" s="16"/>
    </row>
    <row r="56" spans="1:43">
      <c r="A56" s="21" t="s">
        <v>49</v>
      </c>
      <c r="B56" s="22">
        <v>1990</v>
      </c>
      <c r="C56" s="22">
        <v>1994</v>
      </c>
      <c r="D56" s="22">
        <v>1998</v>
      </c>
      <c r="E56" s="22">
        <v>2002</v>
      </c>
      <c r="F56" s="22">
        <v>2006</v>
      </c>
      <c r="G56" s="22">
        <v>2010</v>
      </c>
      <c r="H56" s="22">
        <v>2014</v>
      </c>
      <c r="I56" s="22">
        <v>2018</v>
      </c>
      <c r="J56" s="23" t="s">
        <v>1</v>
      </c>
      <c r="K56" s="16"/>
      <c r="L56" s="174" t="s">
        <v>140</v>
      </c>
      <c r="M56" s="175"/>
      <c r="N56" s="175"/>
      <c r="O56" s="176"/>
      <c r="P56" s="16"/>
      <c r="Q56" s="16"/>
      <c r="R56" s="33" t="s">
        <v>99</v>
      </c>
      <c r="S56" s="34">
        <v>90.91</v>
      </c>
      <c r="T56" s="34">
        <v>9.09</v>
      </c>
      <c r="U56" s="34">
        <v>0</v>
      </c>
      <c r="V56" s="35">
        <v>0</v>
      </c>
      <c r="W56" s="36">
        <f t="shared" si="9"/>
        <v>100</v>
      </c>
      <c r="X56" s="16"/>
      <c r="Y56" s="16"/>
      <c r="Z56" s="16"/>
      <c r="AA56" s="16"/>
      <c r="AQ56" s="16"/>
    </row>
    <row r="57" spans="1:43">
      <c r="A57" s="28" t="s">
        <v>141</v>
      </c>
      <c r="B57" s="29" t="s">
        <v>3</v>
      </c>
      <c r="C57" s="30" t="s">
        <v>3</v>
      </c>
      <c r="D57" s="29"/>
      <c r="E57" s="30"/>
      <c r="F57" s="29"/>
      <c r="G57" s="30"/>
      <c r="H57" s="29"/>
      <c r="I57" s="30"/>
      <c r="J57" s="31">
        <v>1</v>
      </c>
      <c r="K57" s="16"/>
      <c r="L57" s="45">
        <v>1</v>
      </c>
      <c r="M57" s="46">
        <v>2</v>
      </c>
      <c r="N57" s="46">
        <v>3</v>
      </c>
      <c r="O57" s="46">
        <v>4</v>
      </c>
      <c r="P57" s="16"/>
      <c r="Q57" s="16"/>
      <c r="R57" s="33" t="s">
        <v>101</v>
      </c>
      <c r="S57" s="34">
        <v>90.91</v>
      </c>
      <c r="T57" s="34">
        <v>9.09</v>
      </c>
      <c r="U57" s="34">
        <v>0</v>
      </c>
      <c r="V57" s="35">
        <v>0</v>
      </c>
      <c r="W57" s="36">
        <f t="shared" si="9"/>
        <v>100</v>
      </c>
      <c r="X57" s="16"/>
      <c r="Y57" s="16"/>
      <c r="Z57" s="16"/>
      <c r="AA57" s="16"/>
      <c r="AQ57" s="16"/>
    </row>
    <row r="58" spans="1:43">
      <c r="A58" s="28" t="s">
        <v>142</v>
      </c>
      <c r="B58" s="29" t="s">
        <v>9</v>
      </c>
      <c r="C58" s="30"/>
      <c r="D58" s="29"/>
      <c r="E58" s="30"/>
      <c r="F58" s="29"/>
      <c r="G58" s="30"/>
      <c r="H58" s="29"/>
      <c r="I58" s="30"/>
      <c r="J58" s="31">
        <v>1</v>
      </c>
      <c r="K58" s="16"/>
      <c r="L58" s="47">
        <v>10</v>
      </c>
      <c r="M58" s="31">
        <v>1</v>
      </c>
      <c r="N58" s="31">
        <v>0</v>
      </c>
      <c r="O58" s="31">
        <v>0</v>
      </c>
      <c r="P58" s="16"/>
      <c r="Q58" s="16"/>
      <c r="R58" s="33" t="s">
        <v>104</v>
      </c>
      <c r="S58" s="34">
        <v>77.78</v>
      </c>
      <c r="T58" s="34">
        <v>11.11</v>
      </c>
      <c r="U58" s="34">
        <v>11.11</v>
      </c>
      <c r="V58" s="35">
        <v>0</v>
      </c>
      <c r="W58" s="36">
        <f t="shared" si="9"/>
        <v>100</v>
      </c>
      <c r="X58" s="16"/>
      <c r="Y58" s="16"/>
      <c r="Z58" s="16"/>
      <c r="AA58" s="16"/>
      <c r="AQ58" s="16"/>
    </row>
    <row r="59" spans="1:43">
      <c r="A59" s="28" t="s">
        <v>143</v>
      </c>
      <c r="B59" s="29" t="s">
        <v>9</v>
      </c>
      <c r="C59" s="30" t="s">
        <v>9</v>
      </c>
      <c r="D59" s="29" t="s">
        <v>9</v>
      </c>
      <c r="E59" s="30"/>
      <c r="F59" s="29"/>
      <c r="G59" s="30"/>
      <c r="H59" s="29"/>
      <c r="I59" s="30"/>
      <c r="J59" s="31">
        <v>2</v>
      </c>
      <c r="K59" s="16"/>
      <c r="L59" s="44">
        <f>(L58/11)*100</f>
        <v>90.909090909090907</v>
      </c>
      <c r="M59" s="44">
        <f>(M58/11)*100</f>
        <v>9.0909090909090917</v>
      </c>
      <c r="N59" s="44">
        <f>(N58/11)*100</f>
        <v>0</v>
      </c>
      <c r="O59" s="44">
        <f>(O58/11)*100</f>
        <v>0</v>
      </c>
      <c r="P59" s="16"/>
      <c r="Q59" s="16"/>
      <c r="R59" s="33" t="s">
        <v>106</v>
      </c>
      <c r="S59" s="34">
        <v>90.91</v>
      </c>
      <c r="T59" s="34">
        <v>9.09</v>
      </c>
      <c r="U59" s="34">
        <v>0</v>
      </c>
      <c r="V59" s="35">
        <v>0</v>
      </c>
      <c r="W59" s="36">
        <f t="shared" si="9"/>
        <v>100</v>
      </c>
      <c r="X59" s="16"/>
      <c r="Y59" s="16"/>
      <c r="Z59" s="16"/>
      <c r="AA59" s="16"/>
      <c r="AQ59" s="16"/>
    </row>
    <row r="60" spans="1:43">
      <c r="A60" s="28" t="s">
        <v>144</v>
      </c>
      <c r="B60" s="29"/>
      <c r="C60" s="30" t="s">
        <v>58</v>
      </c>
      <c r="D60" s="29" t="s">
        <v>58</v>
      </c>
      <c r="E60" s="30" t="s">
        <v>3</v>
      </c>
      <c r="F60" s="29" t="s">
        <v>3</v>
      </c>
      <c r="G60" s="30" t="s">
        <v>3</v>
      </c>
      <c r="H60" s="29" t="s">
        <v>3</v>
      </c>
      <c r="I60" s="30"/>
      <c r="J60" s="31">
        <v>3</v>
      </c>
      <c r="K60" s="16"/>
      <c r="L60" s="16"/>
      <c r="M60" s="16"/>
      <c r="N60" s="16"/>
      <c r="O60" s="16"/>
      <c r="P60" s="16"/>
      <c r="Q60" s="16"/>
      <c r="R60" s="33" t="s">
        <v>108</v>
      </c>
      <c r="S60" s="34">
        <v>42.86</v>
      </c>
      <c r="T60" s="34">
        <v>28.57</v>
      </c>
      <c r="U60" s="34">
        <v>28.57</v>
      </c>
      <c r="V60" s="35">
        <v>0</v>
      </c>
      <c r="W60" s="36">
        <f t="shared" si="9"/>
        <v>100</v>
      </c>
      <c r="X60" s="16"/>
      <c r="Y60" s="16"/>
      <c r="Z60" s="16"/>
      <c r="AA60" s="16"/>
      <c r="AQ60" s="16"/>
    </row>
    <row r="61" spans="1:43">
      <c r="A61" s="28" t="s">
        <v>145</v>
      </c>
      <c r="B61" s="29"/>
      <c r="C61" s="30"/>
      <c r="D61" s="29" t="s">
        <v>86</v>
      </c>
      <c r="E61" s="30" t="s">
        <v>86</v>
      </c>
      <c r="F61" s="29" t="s">
        <v>9</v>
      </c>
      <c r="G61" s="30" t="s">
        <v>9</v>
      </c>
      <c r="H61" s="29"/>
      <c r="I61" s="30"/>
      <c r="J61" s="31">
        <v>2</v>
      </c>
      <c r="K61" s="16"/>
      <c r="L61" s="174" t="s">
        <v>146</v>
      </c>
      <c r="M61" s="175"/>
      <c r="N61" s="175"/>
      <c r="O61" s="176"/>
      <c r="P61" s="16"/>
      <c r="Q61" s="16"/>
      <c r="R61" s="60" t="s">
        <v>110</v>
      </c>
      <c r="S61" s="61">
        <v>66.67</v>
      </c>
      <c r="T61" s="61">
        <v>33.33</v>
      </c>
      <c r="U61" s="61">
        <v>0</v>
      </c>
      <c r="V61" s="62">
        <v>0</v>
      </c>
      <c r="W61" s="36">
        <f t="shared" si="9"/>
        <v>100</v>
      </c>
      <c r="X61" s="16"/>
      <c r="Y61" s="16"/>
      <c r="Z61" s="16"/>
      <c r="AA61" s="16"/>
      <c r="AQ61" s="16"/>
    </row>
    <row r="62" spans="1:43">
      <c r="A62" s="28" t="s">
        <v>147</v>
      </c>
      <c r="B62" s="29"/>
      <c r="C62" s="30"/>
      <c r="D62" s="29"/>
      <c r="E62" s="30" t="s">
        <v>8</v>
      </c>
      <c r="F62" s="29" t="s">
        <v>8</v>
      </c>
      <c r="G62" s="30"/>
      <c r="H62" s="29"/>
      <c r="I62" s="30"/>
      <c r="J62" s="31">
        <v>1</v>
      </c>
      <c r="K62" s="16"/>
      <c r="L62" s="45">
        <v>1</v>
      </c>
      <c r="M62" s="46">
        <v>2</v>
      </c>
      <c r="N62" s="46">
        <v>3</v>
      </c>
      <c r="O62" s="46">
        <v>4</v>
      </c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Q62" s="16"/>
    </row>
    <row r="63" spans="1:43">
      <c r="A63" s="28" t="s">
        <v>148</v>
      </c>
      <c r="B63" s="29"/>
      <c r="C63" s="30"/>
      <c r="D63" s="29"/>
      <c r="E63" s="30"/>
      <c r="F63" s="29"/>
      <c r="G63" s="30" t="s">
        <v>5</v>
      </c>
      <c r="H63" s="29" t="s">
        <v>5</v>
      </c>
      <c r="I63" s="30"/>
      <c r="J63" s="31">
        <v>1</v>
      </c>
      <c r="K63" s="16"/>
      <c r="L63" s="47">
        <v>8</v>
      </c>
      <c r="M63" s="31">
        <v>2</v>
      </c>
      <c r="N63" s="31">
        <v>0</v>
      </c>
      <c r="O63" s="31">
        <v>0</v>
      </c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Q63" s="16"/>
    </row>
    <row r="64" spans="1:43">
      <c r="A64" s="28" t="s">
        <v>149</v>
      </c>
      <c r="B64" s="29"/>
      <c r="C64" s="30"/>
      <c r="D64" s="29"/>
      <c r="E64" s="30"/>
      <c r="F64" s="29"/>
      <c r="G64" s="30"/>
      <c r="H64" s="29" t="s">
        <v>8</v>
      </c>
      <c r="I64" s="30" t="s">
        <v>8</v>
      </c>
      <c r="J64" s="31">
        <v>1</v>
      </c>
      <c r="K64" s="16"/>
      <c r="L64" s="44">
        <f>(L63/10)*100</f>
        <v>80</v>
      </c>
      <c r="M64" s="44">
        <f>(M63/10)*100</f>
        <v>20</v>
      </c>
      <c r="N64" s="44">
        <f>(N63/10)*100</f>
        <v>0</v>
      </c>
      <c r="O64" s="44">
        <f>(O63/10)*100</f>
        <v>0</v>
      </c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Q64" s="16"/>
    </row>
    <row r="65" spans="1:43">
      <c r="A65" s="173" t="s">
        <v>150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Q65" s="16"/>
    </row>
    <row r="66" spans="1:43">
      <c r="A66" s="21" t="s">
        <v>49</v>
      </c>
      <c r="B66" s="22">
        <v>1990</v>
      </c>
      <c r="C66" s="22">
        <v>1994</v>
      </c>
      <c r="D66" s="22">
        <v>1998</v>
      </c>
      <c r="E66" s="22">
        <v>2002</v>
      </c>
      <c r="F66" s="22">
        <v>2006</v>
      </c>
      <c r="G66" s="22">
        <v>2010</v>
      </c>
      <c r="H66" s="22">
        <v>2014</v>
      </c>
      <c r="I66" s="22">
        <v>2018</v>
      </c>
      <c r="J66" s="23" t="s">
        <v>1</v>
      </c>
      <c r="K66" s="16"/>
      <c r="L66" s="174" t="s">
        <v>151</v>
      </c>
      <c r="M66" s="175"/>
      <c r="N66" s="175"/>
      <c r="O66" s="17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Q66" s="16"/>
    </row>
    <row r="67" spans="1:43">
      <c r="A67" s="28" t="s">
        <v>152</v>
      </c>
      <c r="B67" s="29" t="s">
        <v>3</v>
      </c>
      <c r="C67" s="30"/>
      <c r="D67" s="29"/>
      <c r="E67" s="30"/>
      <c r="F67" s="29"/>
      <c r="G67" s="30"/>
      <c r="H67" s="29"/>
      <c r="I67" s="30"/>
      <c r="J67" s="31">
        <v>1</v>
      </c>
      <c r="K67" s="16"/>
      <c r="L67" s="45">
        <v>1</v>
      </c>
      <c r="M67" s="46">
        <v>2</v>
      </c>
      <c r="N67" s="46">
        <v>3</v>
      </c>
      <c r="O67" s="46">
        <v>4</v>
      </c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Q67" s="16"/>
    </row>
    <row r="68" spans="1:43">
      <c r="A68" s="28" t="s">
        <v>153</v>
      </c>
      <c r="B68" s="29" t="s">
        <v>3</v>
      </c>
      <c r="C68" s="30"/>
      <c r="D68" s="29"/>
      <c r="E68" s="30"/>
      <c r="F68" s="29"/>
      <c r="G68" s="30"/>
      <c r="H68" s="29"/>
      <c r="I68" s="30"/>
      <c r="J68" s="31">
        <v>1</v>
      </c>
      <c r="K68" s="16"/>
      <c r="L68" s="47">
        <v>10</v>
      </c>
      <c r="M68" s="31">
        <v>1</v>
      </c>
      <c r="N68" s="31">
        <v>0</v>
      </c>
      <c r="O68" s="31">
        <v>0</v>
      </c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Q68" s="16"/>
    </row>
    <row r="69" spans="1:43">
      <c r="A69" s="28" t="s">
        <v>154</v>
      </c>
      <c r="B69" s="29" t="s">
        <v>51</v>
      </c>
      <c r="C69" s="30" t="s">
        <v>51</v>
      </c>
      <c r="D69" s="29"/>
      <c r="E69" s="30"/>
      <c r="F69" s="29"/>
      <c r="G69" s="30"/>
      <c r="H69" s="29"/>
      <c r="I69" s="30"/>
      <c r="J69" s="31">
        <v>1</v>
      </c>
      <c r="K69" s="16"/>
      <c r="L69" s="44">
        <f>(L68/11)*100</f>
        <v>90.909090909090907</v>
      </c>
      <c r="M69" s="44">
        <f>(M68/11)*100</f>
        <v>9.0909090909090917</v>
      </c>
      <c r="N69" s="44">
        <f>(N68/11)*100</f>
        <v>0</v>
      </c>
      <c r="O69" s="44">
        <f>(O68/11)*100</f>
        <v>0</v>
      </c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Q69" s="16"/>
    </row>
    <row r="70" spans="1:43">
      <c r="A70" s="28" t="s">
        <v>155</v>
      </c>
      <c r="B70" s="29"/>
      <c r="C70" s="30" t="s">
        <v>8</v>
      </c>
      <c r="D70" s="29" t="s">
        <v>8</v>
      </c>
      <c r="E70" s="30"/>
      <c r="F70" s="29"/>
      <c r="G70" s="30"/>
      <c r="H70" s="29"/>
      <c r="I70" s="30"/>
      <c r="J70" s="31">
        <v>1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Q70" s="16"/>
    </row>
    <row r="71" spans="1:43">
      <c r="A71" s="28" t="s">
        <v>156</v>
      </c>
      <c r="B71" s="29"/>
      <c r="C71" s="30" t="s">
        <v>8</v>
      </c>
      <c r="D71" s="29" t="s">
        <v>8</v>
      </c>
      <c r="E71" s="30"/>
      <c r="F71" s="29"/>
      <c r="G71" s="30"/>
      <c r="H71" s="29"/>
      <c r="I71" s="30"/>
      <c r="J71" s="31">
        <v>1</v>
      </c>
      <c r="K71" s="16"/>
      <c r="L71" s="174" t="s">
        <v>157</v>
      </c>
      <c r="M71" s="175"/>
      <c r="N71" s="175"/>
      <c r="O71" s="17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Q71" s="16"/>
    </row>
    <row r="72" spans="1:43">
      <c r="A72" s="28" t="s">
        <v>158</v>
      </c>
      <c r="B72" s="29"/>
      <c r="C72" s="30"/>
      <c r="D72" s="29" t="s">
        <v>3</v>
      </c>
      <c r="E72" s="30" t="s">
        <v>3</v>
      </c>
      <c r="F72" s="29"/>
      <c r="G72" s="30"/>
      <c r="H72" s="29"/>
      <c r="I72" s="30"/>
      <c r="J72" s="31">
        <v>1</v>
      </c>
      <c r="K72" s="16"/>
      <c r="L72" s="45">
        <v>1</v>
      </c>
      <c r="M72" s="46">
        <v>2</v>
      </c>
      <c r="N72" s="46">
        <v>3</v>
      </c>
      <c r="O72" s="46">
        <v>4</v>
      </c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Q72" s="16"/>
    </row>
    <row r="73" spans="1:43">
      <c r="A73" s="28" t="s">
        <v>159</v>
      </c>
      <c r="B73" s="29"/>
      <c r="C73" s="30"/>
      <c r="D73" s="29"/>
      <c r="E73" s="30" t="s">
        <v>5</v>
      </c>
      <c r="F73" s="29" t="s">
        <v>5</v>
      </c>
      <c r="G73" s="30"/>
      <c r="H73" s="29"/>
      <c r="I73" s="30"/>
      <c r="J73" s="31">
        <v>1</v>
      </c>
      <c r="K73" s="16"/>
      <c r="L73" s="47">
        <v>10</v>
      </c>
      <c r="M73" s="31">
        <v>1</v>
      </c>
      <c r="N73" s="31">
        <v>0</v>
      </c>
      <c r="O73" s="31">
        <v>0</v>
      </c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Q73" s="16"/>
    </row>
    <row r="74" spans="1:43">
      <c r="A74" s="28" t="s">
        <v>160</v>
      </c>
      <c r="B74" s="29"/>
      <c r="C74" s="30"/>
      <c r="D74" s="29"/>
      <c r="E74" s="30" t="s">
        <v>3</v>
      </c>
      <c r="F74" s="29" t="s">
        <v>3</v>
      </c>
      <c r="G74" s="30" t="s">
        <v>3</v>
      </c>
      <c r="H74" s="29" t="s">
        <v>3</v>
      </c>
      <c r="I74" s="30"/>
      <c r="J74" s="31">
        <v>2</v>
      </c>
      <c r="K74" s="16"/>
      <c r="L74" s="44">
        <f>(L73/11)*100</f>
        <v>90.909090909090907</v>
      </c>
      <c r="M74" s="44">
        <f>(M73/11)*100</f>
        <v>9.0909090909090917</v>
      </c>
      <c r="N74" s="44">
        <f>(N73/11)*100</f>
        <v>0</v>
      </c>
      <c r="O74" s="44">
        <f>(O73/11)*100</f>
        <v>0</v>
      </c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Q74" s="16"/>
    </row>
    <row r="75" spans="1:43">
      <c r="A75" s="28" t="s">
        <v>161</v>
      </c>
      <c r="B75" s="29"/>
      <c r="C75" s="30"/>
      <c r="D75" s="29"/>
      <c r="E75" s="30"/>
      <c r="F75" s="29" t="s">
        <v>16</v>
      </c>
      <c r="G75" s="30" t="s">
        <v>16</v>
      </c>
      <c r="H75" s="29"/>
      <c r="I75" s="30"/>
      <c r="J75" s="31">
        <v>1</v>
      </c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Q75" s="16"/>
    </row>
    <row r="76" spans="1:43">
      <c r="A76" s="28" t="s">
        <v>162</v>
      </c>
      <c r="B76" s="29"/>
      <c r="C76" s="30"/>
      <c r="D76" s="29"/>
      <c r="E76" s="30"/>
      <c r="F76" s="29"/>
      <c r="G76" s="30" t="s">
        <v>12</v>
      </c>
      <c r="H76" s="29" t="s">
        <v>12</v>
      </c>
      <c r="I76" s="30"/>
      <c r="J76" s="31">
        <v>1</v>
      </c>
      <c r="K76" s="16"/>
      <c r="L76" s="174" t="s">
        <v>163</v>
      </c>
      <c r="M76" s="175"/>
      <c r="N76" s="175"/>
      <c r="O76" s="17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Q76" s="16"/>
    </row>
    <row r="77" spans="1:43">
      <c r="A77" s="28" t="s">
        <v>164</v>
      </c>
      <c r="B77" s="29"/>
      <c r="C77" s="30"/>
      <c r="D77" s="29"/>
      <c r="E77" s="30"/>
      <c r="F77" s="29"/>
      <c r="G77" s="30"/>
      <c r="H77" s="29" t="s">
        <v>8</v>
      </c>
      <c r="I77" s="30" t="s">
        <v>8</v>
      </c>
      <c r="J77" s="31">
        <v>1</v>
      </c>
      <c r="K77" s="16"/>
      <c r="L77" s="45">
        <v>1</v>
      </c>
      <c r="M77" s="46">
        <v>2</v>
      </c>
      <c r="N77" s="46">
        <v>3</v>
      </c>
      <c r="O77" s="46">
        <v>4</v>
      </c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Q77" s="16"/>
    </row>
    <row r="78" spans="1:43">
      <c r="A78" s="173" t="s">
        <v>165</v>
      </c>
      <c r="B78" s="173"/>
      <c r="C78" s="173"/>
      <c r="D78" s="173"/>
      <c r="E78" s="173"/>
      <c r="F78" s="173"/>
      <c r="G78" s="173"/>
      <c r="H78" s="173"/>
      <c r="I78" s="173"/>
      <c r="J78" s="173"/>
      <c r="K78" s="16"/>
      <c r="L78" s="47">
        <v>8</v>
      </c>
      <c r="M78" s="31">
        <v>2</v>
      </c>
      <c r="N78" s="31">
        <v>0</v>
      </c>
      <c r="O78" s="31">
        <v>0</v>
      </c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Q78" s="16"/>
    </row>
    <row r="79" spans="1:43">
      <c r="A79" s="21" t="s">
        <v>49</v>
      </c>
      <c r="B79" s="22">
        <v>1990</v>
      </c>
      <c r="C79" s="22">
        <v>1994</v>
      </c>
      <c r="D79" s="22">
        <v>1998</v>
      </c>
      <c r="E79" s="22">
        <v>2002</v>
      </c>
      <c r="F79" s="22">
        <v>2006</v>
      </c>
      <c r="G79" s="22">
        <v>2010</v>
      </c>
      <c r="H79" s="22">
        <v>2014</v>
      </c>
      <c r="I79" s="22">
        <v>2018</v>
      </c>
      <c r="J79" s="23" t="s">
        <v>1</v>
      </c>
      <c r="K79" s="16"/>
      <c r="L79" s="44">
        <f>(L78/10)*100</f>
        <v>80</v>
      </c>
      <c r="M79" s="44">
        <f>(M78/10)*100</f>
        <v>20</v>
      </c>
      <c r="N79" s="44">
        <f>(N78/10)*100</f>
        <v>0</v>
      </c>
      <c r="O79" s="44">
        <f>(O78/10)*100</f>
        <v>0</v>
      </c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Q79" s="16"/>
    </row>
    <row r="80" spans="1:43">
      <c r="A80" s="28" t="s">
        <v>166</v>
      </c>
      <c r="B80" s="29" t="s">
        <v>51</v>
      </c>
      <c r="C80" s="30" t="s">
        <v>51</v>
      </c>
      <c r="D80" s="29" t="s">
        <v>51</v>
      </c>
      <c r="E80" s="30" t="s">
        <v>51</v>
      </c>
      <c r="F80" s="29" t="s">
        <v>51</v>
      </c>
      <c r="G80" s="30" t="s">
        <v>51</v>
      </c>
      <c r="H80" s="29" t="s">
        <v>51</v>
      </c>
      <c r="I80" s="30"/>
      <c r="J80" s="31">
        <v>4</v>
      </c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Q80" s="16"/>
    </row>
    <row r="81" spans="1:43">
      <c r="A81" s="28" t="s">
        <v>167</v>
      </c>
      <c r="B81" s="29" t="s">
        <v>51</v>
      </c>
      <c r="C81" s="30"/>
      <c r="D81" s="29"/>
      <c r="E81" s="30"/>
      <c r="F81" s="29"/>
      <c r="G81" s="30"/>
      <c r="H81" s="29"/>
      <c r="I81" s="30"/>
      <c r="J81" s="31">
        <v>1</v>
      </c>
      <c r="K81" s="16"/>
      <c r="L81" s="174" t="s">
        <v>168</v>
      </c>
      <c r="M81" s="175"/>
      <c r="N81" s="175"/>
      <c r="O81" s="17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Q81" s="16"/>
    </row>
    <row r="82" spans="1:43">
      <c r="A82" s="28" t="s">
        <v>169</v>
      </c>
      <c r="B82" s="29" t="s">
        <v>3</v>
      </c>
      <c r="C82" s="30" t="s">
        <v>3</v>
      </c>
      <c r="D82" s="29"/>
      <c r="E82" s="30" t="s">
        <v>3</v>
      </c>
      <c r="F82" s="29" t="s">
        <v>3</v>
      </c>
      <c r="G82" s="30" t="s">
        <v>3</v>
      </c>
      <c r="H82" s="29" t="s">
        <v>3</v>
      </c>
      <c r="I82" s="30"/>
      <c r="J82" s="31">
        <v>3</v>
      </c>
      <c r="K82" s="16"/>
      <c r="L82" s="45">
        <v>1</v>
      </c>
      <c r="M82" s="46">
        <v>2</v>
      </c>
      <c r="N82" s="46">
        <v>3</v>
      </c>
      <c r="O82" s="46">
        <v>4</v>
      </c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Q82" s="16"/>
    </row>
    <row r="83" spans="1:43">
      <c r="A83" s="28" t="s">
        <v>170</v>
      </c>
      <c r="B83" s="29"/>
      <c r="C83" s="30" t="s">
        <v>6</v>
      </c>
      <c r="D83" s="29" t="s">
        <v>6</v>
      </c>
      <c r="E83" s="30"/>
      <c r="F83" s="29"/>
      <c r="G83" s="30"/>
      <c r="H83" s="29"/>
      <c r="I83" s="30"/>
      <c r="J83" s="31">
        <v>1</v>
      </c>
      <c r="K83" s="16"/>
      <c r="L83" s="47">
        <v>12</v>
      </c>
      <c r="M83" s="31">
        <v>0</v>
      </c>
      <c r="N83" s="31">
        <v>0</v>
      </c>
      <c r="O83" s="31">
        <v>0</v>
      </c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Q83" s="16"/>
    </row>
    <row r="84" spans="1:43">
      <c r="A84" s="28" t="s">
        <v>171</v>
      </c>
      <c r="B84" s="29"/>
      <c r="C84" s="30"/>
      <c r="D84" s="29" t="s">
        <v>3</v>
      </c>
      <c r="E84" s="30" t="s">
        <v>3</v>
      </c>
      <c r="F84" s="29"/>
      <c r="G84" s="30"/>
      <c r="H84" s="29"/>
      <c r="I84" s="30"/>
      <c r="J84" s="31">
        <v>1</v>
      </c>
      <c r="K84" s="16"/>
      <c r="L84" s="9">
        <f>(L83/12)*100</f>
        <v>100</v>
      </c>
      <c r="M84" s="9">
        <f>(M83/12)*100</f>
        <v>0</v>
      </c>
      <c r="N84" s="9">
        <f>(N83/12)*100</f>
        <v>0</v>
      </c>
      <c r="O84" s="9">
        <f>(O83/12)*100</f>
        <v>0</v>
      </c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Q84" s="16"/>
    </row>
    <row r="85" spans="1:43">
      <c r="A85" s="28" t="s">
        <v>172</v>
      </c>
      <c r="B85" s="29"/>
      <c r="C85" s="30"/>
      <c r="D85" s="29"/>
      <c r="E85" s="30"/>
      <c r="F85" s="29" t="s">
        <v>51</v>
      </c>
      <c r="G85" s="30" t="s">
        <v>51</v>
      </c>
      <c r="H85" s="29"/>
      <c r="I85" s="30"/>
      <c r="J85" s="31">
        <v>1</v>
      </c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Q85" s="16"/>
    </row>
    <row r="86" spans="1:43">
      <c r="A86" s="28" t="s">
        <v>173</v>
      </c>
      <c r="B86" s="29"/>
      <c r="C86" s="30"/>
      <c r="D86" s="29"/>
      <c r="E86" s="30"/>
      <c r="F86" s="29"/>
      <c r="G86" s="30"/>
      <c r="H86" s="29" t="s">
        <v>5</v>
      </c>
      <c r="I86" s="30" t="s">
        <v>5</v>
      </c>
      <c r="J86" s="31">
        <v>1</v>
      </c>
      <c r="K86" s="16"/>
      <c r="L86" s="174" t="s">
        <v>174</v>
      </c>
      <c r="M86" s="175"/>
      <c r="N86" s="175"/>
      <c r="O86" s="17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Q86" s="16"/>
    </row>
    <row r="87" spans="1:43">
      <c r="A87" s="173" t="s">
        <v>175</v>
      </c>
      <c r="B87" s="173"/>
      <c r="C87" s="173"/>
      <c r="D87" s="173"/>
      <c r="E87" s="173"/>
      <c r="F87" s="173"/>
      <c r="G87" s="173"/>
      <c r="H87" s="173"/>
      <c r="I87" s="173"/>
      <c r="J87" s="173"/>
      <c r="K87" s="16"/>
      <c r="L87" s="45">
        <v>1</v>
      </c>
      <c r="M87" s="46">
        <v>2</v>
      </c>
      <c r="N87" s="46">
        <v>3</v>
      </c>
      <c r="O87" s="46">
        <v>4</v>
      </c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Q87" s="16"/>
    </row>
    <row r="88" spans="1:43">
      <c r="A88" s="21" t="s">
        <v>49</v>
      </c>
      <c r="B88" s="22">
        <v>1990</v>
      </c>
      <c r="C88" s="22">
        <v>1994</v>
      </c>
      <c r="D88" s="22">
        <v>1998</v>
      </c>
      <c r="E88" s="22">
        <v>2002</v>
      </c>
      <c r="F88" s="22">
        <v>2006</v>
      </c>
      <c r="G88" s="22">
        <v>2010</v>
      </c>
      <c r="H88" s="22">
        <v>2014</v>
      </c>
      <c r="I88" s="22">
        <v>2018</v>
      </c>
      <c r="J88" s="23" t="s">
        <v>1</v>
      </c>
      <c r="K88" s="16"/>
      <c r="L88" s="47">
        <v>0</v>
      </c>
      <c r="M88" s="31">
        <v>5</v>
      </c>
      <c r="N88" s="31">
        <v>0</v>
      </c>
      <c r="O88" s="31">
        <v>1</v>
      </c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Q88" s="16"/>
    </row>
    <row r="89" spans="1:43">
      <c r="A89" s="28" t="s">
        <v>176</v>
      </c>
      <c r="B89" s="29" t="s">
        <v>51</v>
      </c>
      <c r="C89" s="30"/>
      <c r="D89" s="29"/>
      <c r="E89" s="30"/>
      <c r="F89" s="29"/>
      <c r="G89" s="30"/>
      <c r="H89" s="29"/>
      <c r="I89" s="30"/>
      <c r="J89" s="31">
        <v>1</v>
      </c>
      <c r="K89" s="16"/>
      <c r="L89" s="9">
        <f>(L88/6)*100</f>
        <v>0</v>
      </c>
      <c r="M89" s="44">
        <f>(M88/6)*100</f>
        <v>83.333333333333343</v>
      </c>
      <c r="N89" s="9">
        <f>(N88/6)*100</f>
        <v>0</v>
      </c>
      <c r="O89" s="44">
        <f>(O88/6)*100</f>
        <v>16.666666666666664</v>
      </c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Q89" s="16"/>
    </row>
    <row r="90" spans="1:43">
      <c r="A90" s="28" t="s">
        <v>177</v>
      </c>
      <c r="B90" s="29" t="s">
        <v>3</v>
      </c>
      <c r="C90" s="30"/>
      <c r="D90" s="29"/>
      <c r="E90" s="30"/>
      <c r="F90" s="29"/>
      <c r="G90" s="30"/>
      <c r="H90" s="29"/>
      <c r="I90" s="30"/>
      <c r="J90" s="31">
        <v>1</v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Q90" s="16"/>
    </row>
    <row r="91" spans="1:43">
      <c r="A91" s="28" t="s">
        <v>178</v>
      </c>
      <c r="B91" s="29" t="s">
        <v>8</v>
      </c>
      <c r="C91" s="30" t="s">
        <v>8</v>
      </c>
      <c r="D91" s="29"/>
      <c r="E91" s="30"/>
      <c r="F91" s="29"/>
      <c r="G91" s="30"/>
      <c r="H91" s="29"/>
      <c r="I91" s="30"/>
      <c r="J91" s="31">
        <v>1</v>
      </c>
      <c r="K91" s="16"/>
      <c r="L91" s="174" t="s">
        <v>179</v>
      </c>
      <c r="M91" s="175"/>
      <c r="N91" s="175"/>
      <c r="O91" s="17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Q91" s="16"/>
    </row>
    <row r="92" spans="1:43">
      <c r="A92" s="28" t="s">
        <v>180</v>
      </c>
      <c r="B92" s="29"/>
      <c r="C92" s="30" t="s">
        <v>6</v>
      </c>
      <c r="D92" s="29" t="s">
        <v>6</v>
      </c>
      <c r="E92" s="30"/>
      <c r="F92" s="29"/>
      <c r="G92" s="30"/>
      <c r="H92" s="29"/>
      <c r="I92" s="30"/>
      <c r="J92" s="31">
        <v>1</v>
      </c>
      <c r="K92" s="16"/>
      <c r="L92" s="45">
        <v>1</v>
      </c>
      <c r="M92" s="46">
        <v>2</v>
      </c>
      <c r="N92" s="46">
        <v>3</v>
      </c>
      <c r="O92" s="46">
        <v>4</v>
      </c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Q92" s="16"/>
    </row>
    <row r="93" spans="1:43">
      <c r="A93" s="28" t="s">
        <v>181</v>
      </c>
      <c r="B93" s="29"/>
      <c r="C93" s="30" t="s">
        <v>5</v>
      </c>
      <c r="D93" s="29" t="s">
        <v>5</v>
      </c>
      <c r="E93" s="30"/>
      <c r="F93" s="29"/>
      <c r="G93" s="30"/>
      <c r="H93" s="29"/>
      <c r="I93" s="30"/>
      <c r="J93" s="31">
        <v>1</v>
      </c>
      <c r="K93" s="16"/>
      <c r="L93" s="47">
        <v>8</v>
      </c>
      <c r="M93" s="31">
        <v>2</v>
      </c>
      <c r="N93" s="31">
        <v>0</v>
      </c>
      <c r="O93" s="31">
        <v>0</v>
      </c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Q93" s="16"/>
    </row>
    <row r="94" spans="1:43">
      <c r="A94" s="28" t="s">
        <v>182</v>
      </c>
      <c r="B94" s="29"/>
      <c r="C94" s="30"/>
      <c r="D94" s="29" t="s">
        <v>10</v>
      </c>
      <c r="E94" s="30" t="s">
        <v>10</v>
      </c>
      <c r="F94" s="29"/>
      <c r="G94" s="30"/>
      <c r="H94" s="29"/>
      <c r="I94" s="30"/>
      <c r="J94" s="31">
        <v>1</v>
      </c>
      <c r="K94" s="16"/>
      <c r="L94" s="44">
        <f>(L93/10)*100</f>
        <v>80</v>
      </c>
      <c r="M94" s="44">
        <f>(M93/10)*100</f>
        <v>20</v>
      </c>
      <c r="N94" s="44">
        <f>(N93/10)*100</f>
        <v>0</v>
      </c>
      <c r="O94" s="44">
        <f>(O93/10)*100</f>
        <v>0</v>
      </c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Q94" s="16"/>
    </row>
    <row r="95" spans="1:43">
      <c r="A95" s="28" t="s">
        <v>183</v>
      </c>
      <c r="B95" s="29"/>
      <c r="C95" s="30"/>
      <c r="D95" s="29"/>
      <c r="E95" s="30" t="s">
        <v>64</v>
      </c>
      <c r="F95" s="29" t="s">
        <v>64</v>
      </c>
      <c r="G95" s="30" t="s">
        <v>13</v>
      </c>
      <c r="H95" s="29" t="s">
        <v>13</v>
      </c>
      <c r="I95" s="30"/>
      <c r="J95" s="31">
        <v>2</v>
      </c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Q95" s="16"/>
    </row>
    <row r="96" spans="1:43">
      <c r="A96" s="28" t="s">
        <v>184</v>
      </c>
      <c r="B96" s="29"/>
      <c r="C96" s="30"/>
      <c r="D96" s="29"/>
      <c r="E96" s="30" t="s">
        <v>3</v>
      </c>
      <c r="F96" s="29" t="s">
        <v>3</v>
      </c>
      <c r="G96" s="30"/>
      <c r="H96" s="29"/>
      <c r="I96" s="30"/>
      <c r="J96" s="31">
        <v>1</v>
      </c>
      <c r="K96" s="16"/>
      <c r="L96" s="174" t="s">
        <v>185</v>
      </c>
      <c r="M96" s="175"/>
      <c r="N96" s="175"/>
      <c r="O96" s="17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Q96" s="16"/>
    </row>
    <row r="97" spans="1:43">
      <c r="A97" s="28" t="s">
        <v>186</v>
      </c>
      <c r="B97" s="29"/>
      <c r="C97" s="30"/>
      <c r="D97" s="29"/>
      <c r="E97" s="30"/>
      <c r="F97" s="29" t="s">
        <v>12</v>
      </c>
      <c r="G97" s="30" t="s">
        <v>12</v>
      </c>
      <c r="H97" s="29"/>
      <c r="I97" s="30"/>
      <c r="J97" s="31">
        <v>1</v>
      </c>
      <c r="K97" s="16"/>
      <c r="L97" s="45">
        <v>1</v>
      </c>
      <c r="M97" s="46">
        <v>2</v>
      </c>
      <c r="N97" s="46">
        <v>3</v>
      </c>
      <c r="O97" s="46">
        <v>4</v>
      </c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Q97" s="16"/>
    </row>
    <row r="98" spans="1:43">
      <c r="A98" s="28" t="s">
        <v>187</v>
      </c>
      <c r="B98" s="29"/>
      <c r="C98" s="30"/>
      <c r="D98" s="29"/>
      <c r="E98" s="30"/>
      <c r="F98" s="29"/>
      <c r="G98" s="30" t="s">
        <v>5</v>
      </c>
      <c r="H98" s="29" t="s">
        <v>5</v>
      </c>
      <c r="I98" s="30"/>
      <c r="J98" s="31">
        <v>1</v>
      </c>
      <c r="K98" s="16"/>
      <c r="L98" s="47">
        <v>7</v>
      </c>
      <c r="M98" s="31">
        <v>1</v>
      </c>
      <c r="N98" s="31">
        <v>1</v>
      </c>
      <c r="O98" s="31">
        <v>0</v>
      </c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Q98" s="16"/>
    </row>
    <row r="99" spans="1:43">
      <c r="A99" s="28" t="s">
        <v>188</v>
      </c>
      <c r="B99" s="29"/>
      <c r="C99" s="30"/>
      <c r="D99" s="29"/>
      <c r="E99" s="30"/>
      <c r="F99" s="29"/>
      <c r="G99" s="30"/>
      <c r="H99" s="29" t="s">
        <v>10</v>
      </c>
      <c r="I99" s="30" t="s">
        <v>30</v>
      </c>
      <c r="J99" s="31">
        <v>1</v>
      </c>
      <c r="K99" s="16"/>
      <c r="L99" s="44">
        <f>(L98/9)*100</f>
        <v>77.777777777777786</v>
      </c>
      <c r="M99" s="44">
        <f>(M98/9)*100</f>
        <v>11.111111111111111</v>
      </c>
      <c r="N99" s="44">
        <f>(N98/9)*100</f>
        <v>11.111111111111111</v>
      </c>
      <c r="O99" s="44">
        <f>(O98/9)*100</f>
        <v>0</v>
      </c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Q99" s="16"/>
    </row>
    <row r="100" spans="1:43">
      <c r="A100" s="173" t="s">
        <v>189</v>
      </c>
      <c r="B100" s="173"/>
      <c r="C100" s="173"/>
      <c r="D100" s="173"/>
      <c r="E100" s="173"/>
      <c r="F100" s="173"/>
      <c r="G100" s="173"/>
      <c r="H100" s="173"/>
      <c r="I100" s="173"/>
      <c r="J100" s="173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Q100" s="16"/>
    </row>
    <row r="101" spans="1:43">
      <c r="A101" s="21" t="s">
        <v>49</v>
      </c>
      <c r="B101" s="22">
        <v>1990</v>
      </c>
      <c r="C101" s="22">
        <v>1994</v>
      </c>
      <c r="D101" s="22">
        <v>1998</v>
      </c>
      <c r="E101" s="22">
        <v>2002</v>
      </c>
      <c r="F101" s="22">
        <v>2006</v>
      </c>
      <c r="G101" s="22">
        <v>2010</v>
      </c>
      <c r="H101" s="22">
        <v>2014</v>
      </c>
      <c r="I101" s="22">
        <v>2018</v>
      </c>
      <c r="J101" s="23" t="s">
        <v>1</v>
      </c>
      <c r="K101" s="16"/>
      <c r="L101" s="174" t="s">
        <v>190</v>
      </c>
      <c r="M101" s="175"/>
      <c r="N101" s="175"/>
      <c r="O101" s="17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Q101" s="16"/>
    </row>
    <row r="102" spans="1:43">
      <c r="A102" s="28" t="s">
        <v>191</v>
      </c>
      <c r="B102" s="29" t="s">
        <v>9</v>
      </c>
      <c r="C102" s="30" t="s">
        <v>9</v>
      </c>
      <c r="D102" s="29"/>
      <c r="E102" s="30"/>
      <c r="F102" s="29"/>
      <c r="G102" s="30"/>
      <c r="H102" s="29"/>
      <c r="I102" s="30"/>
      <c r="J102" s="31">
        <v>1</v>
      </c>
      <c r="K102" s="16"/>
      <c r="L102" s="45">
        <v>1</v>
      </c>
      <c r="M102" s="46">
        <v>2</v>
      </c>
      <c r="N102" s="46">
        <v>3</v>
      </c>
      <c r="O102" s="46">
        <v>4</v>
      </c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Q102" s="16"/>
    </row>
    <row r="103" spans="1:43">
      <c r="A103" s="28" t="s">
        <v>192</v>
      </c>
      <c r="B103" s="29" t="s">
        <v>3</v>
      </c>
      <c r="C103" s="30"/>
      <c r="D103" s="29"/>
      <c r="E103" s="30"/>
      <c r="F103" s="29"/>
      <c r="G103" s="30"/>
      <c r="H103" s="29"/>
      <c r="I103" s="30"/>
      <c r="J103" s="31">
        <v>1</v>
      </c>
      <c r="K103" s="16"/>
      <c r="L103" s="47">
        <v>10</v>
      </c>
      <c r="M103" s="31">
        <v>1</v>
      </c>
      <c r="N103" s="31">
        <v>0</v>
      </c>
      <c r="O103" s="31">
        <v>0</v>
      </c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Q103" s="16"/>
    </row>
    <row r="104" spans="1:43">
      <c r="A104" s="28" t="s">
        <v>193</v>
      </c>
      <c r="B104" s="29" t="s">
        <v>3</v>
      </c>
      <c r="C104" s="30"/>
      <c r="D104" s="29"/>
      <c r="E104" s="30"/>
      <c r="F104" s="29"/>
      <c r="G104" s="30"/>
      <c r="H104" s="29"/>
      <c r="I104" s="30"/>
      <c r="J104" s="31">
        <v>1</v>
      </c>
      <c r="K104" s="16"/>
      <c r="L104" s="44">
        <f>(L103/11)*100</f>
        <v>90.909090909090907</v>
      </c>
      <c r="M104" s="44">
        <f>(M103/11)*100</f>
        <v>9.0909090909090917</v>
      </c>
      <c r="N104" s="44">
        <f>(N103/11)*100</f>
        <v>0</v>
      </c>
      <c r="O104" s="44">
        <f>(O103/11)*100</f>
        <v>0</v>
      </c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Q104" s="16"/>
    </row>
    <row r="105" spans="1:43">
      <c r="A105" s="28" t="s">
        <v>194</v>
      </c>
      <c r="B105" s="29"/>
      <c r="C105" s="30" t="s">
        <v>3</v>
      </c>
      <c r="D105" s="29" t="s">
        <v>3</v>
      </c>
      <c r="E105" s="30"/>
      <c r="F105" s="29"/>
      <c r="G105" s="30" t="s">
        <v>3</v>
      </c>
      <c r="H105" s="29" t="s">
        <v>3</v>
      </c>
      <c r="I105" s="30"/>
      <c r="J105" s="31">
        <v>2</v>
      </c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Q105" s="16"/>
    </row>
    <row r="106" spans="1:43">
      <c r="A106" s="28" t="s">
        <v>195</v>
      </c>
      <c r="B106" s="29"/>
      <c r="C106" s="30" t="s">
        <v>12</v>
      </c>
      <c r="D106" s="29" t="s">
        <v>12</v>
      </c>
      <c r="E106" s="30" t="s">
        <v>8</v>
      </c>
      <c r="F106" s="29" t="s">
        <v>8</v>
      </c>
      <c r="G106" s="30"/>
      <c r="H106" s="29"/>
      <c r="I106" s="30"/>
      <c r="J106" s="31">
        <v>2</v>
      </c>
      <c r="K106" s="16"/>
      <c r="L106" s="174" t="s">
        <v>196</v>
      </c>
      <c r="M106" s="175"/>
      <c r="N106" s="175"/>
      <c r="O106" s="17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Q106" s="16"/>
    </row>
    <row r="107" spans="1:43">
      <c r="A107" s="28" t="s">
        <v>197</v>
      </c>
      <c r="B107" s="29"/>
      <c r="C107" s="30"/>
      <c r="D107" s="29" t="s">
        <v>6</v>
      </c>
      <c r="E107" s="30" t="s">
        <v>6</v>
      </c>
      <c r="F107" s="29" t="s">
        <v>6</v>
      </c>
      <c r="G107" s="30" t="s">
        <v>6</v>
      </c>
      <c r="H107" s="29" t="s">
        <v>6</v>
      </c>
      <c r="I107" s="30" t="s">
        <v>6</v>
      </c>
      <c r="J107" s="31">
        <v>3</v>
      </c>
      <c r="K107" s="16"/>
      <c r="L107" s="45">
        <v>1</v>
      </c>
      <c r="M107" s="46">
        <v>2</v>
      </c>
      <c r="N107" s="46">
        <v>3</v>
      </c>
      <c r="O107" s="46">
        <v>4</v>
      </c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Q107" s="16"/>
    </row>
    <row r="108" spans="1:43">
      <c r="A108" s="28" t="s">
        <v>198</v>
      </c>
      <c r="B108" s="29"/>
      <c r="C108" s="30"/>
      <c r="D108" s="29"/>
      <c r="E108" s="30" t="s">
        <v>5</v>
      </c>
      <c r="F108" s="29" t="s">
        <v>5</v>
      </c>
      <c r="G108" s="30"/>
      <c r="H108" s="29"/>
      <c r="I108" s="30"/>
      <c r="J108" s="31">
        <v>1</v>
      </c>
      <c r="K108" s="16"/>
      <c r="L108" s="47">
        <v>10</v>
      </c>
      <c r="M108" s="31">
        <v>1</v>
      </c>
      <c r="N108" s="31">
        <v>0</v>
      </c>
      <c r="O108" s="31">
        <v>0</v>
      </c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Q108" s="16"/>
    </row>
    <row r="109" spans="1:43">
      <c r="A109" s="28" t="s">
        <v>199</v>
      </c>
      <c r="B109" s="29"/>
      <c r="C109" s="30"/>
      <c r="D109" s="29"/>
      <c r="E109" s="30"/>
      <c r="F109" s="29"/>
      <c r="G109" s="30" t="s">
        <v>5</v>
      </c>
      <c r="H109" s="29" t="s">
        <v>5</v>
      </c>
      <c r="I109" s="30"/>
      <c r="J109" s="31">
        <v>1</v>
      </c>
      <c r="K109" s="16"/>
      <c r="L109" s="44">
        <f>(L108/11)*100</f>
        <v>90.909090909090907</v>
      </c>
      <c r="M109" s="44">
        <f>(M108/11)*100</f>
        <v>9.0909090909090917</v>
      </c>
      <c r="N109" s="44">
        <f>(N108/11)*100</f>
        <v>0</v>
      </c>
      <c r="O109" s="44">
        <f>(O108/11)*100</f>
        <v>0</v>
      </c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Q109" s="16"/>
    </row>
    <row r="110" spans="1:43">
      <c r="A110" s="173" t="s">
        <v>200</v>
      </c>
      <c r="B110" s="173"/>
      <c r="C110" s="173"/>
      <c r="D110" s="173"/>
      <c r="E110" s="173"/>
      <c r="F110" s="173"/>
      <c r="G110" s="173"/>
      <c r="H110" s="173"/>
      <c r="I110" s="173"/>
      <c r="J110" s="173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Q110" s="16"/>
    </row>
    <row r="111" spans="1:43">
      <c r="A111" s="21" t="s">
        <v>49</v>
      </c>
      <c r="B111" s="22">
        <v>1990</v>
      </c>
      <c r="C111" s="22">
        <v>1994</v>
      </c>
      <c r="D111" s="22">
        <v>1998</v>
      </c>
      <c r="E111" s="22">
        <v>2002</v>
      </c>
      <c r="F111" s="22">
        <v>2006</v>
      </c>
      <c r="G111" s="22">
        <v>2010</v>
      </c>
      <c r="H111" s="22">
        <v>2014</v>
      </c>
      <c r="I111" s="22">
        <v>2018</v>
      </c>
      <c r="J111" s="23" t="s">
        <v>1</v>
      </c>
      <c r="K111" s="16"/>
      <c r="L111" s="174" t="s">
        <v>201</v>
      </c>
      <c r="M111" s="175"/>
      <c r="N111" s="175"/>
      <c r="O111" s="177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Q111" s="16"/>
    </row>
    <row r="112" spans="1:43">
      <c r="A112" s="28" t="s">
        <v>202</v>
      </c>
      <c r="B112" s="29" t="s">
        <v>91</v>
      </c>
      <c r="C112" s="30" t="s">
        <v>91</v>
      </c>
      <c r="D112" s="29"/>
      <c r="E112" s="30"/>
      <c r="F112" s="29"/>
      <c r="G112" s="30"/>
      <c r="H112" s="29"/>
      <c r="I112" s="30"/>
      <c r="J112" s="31">
        <v>1</v>
      </c>
      <c r="K112" s="16"/>
      <c r="L112" s="45">
        <v>1</v>
      </c>
      <c r="M112" s="46">
        <v>2</v>
      </c>
      <c r="N112" s="46">
        <v>3</v>
      </c>
      <c r="O112" s="46">
        <v>4</v>
      </c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Q112" s="16"/>
    </row>
    <row r="113" spans="1:43">
      <c r="A113" s="28" t="s">
        <v>203</v>
      </c>
      <c r="B113" s="29" t="s">
        <v>51</v>
      </c>
      <c r="C113" s="30" t="s">
        <v>51</v>
      </c>
      <c r="D113" s="29" t="s">
        <v>51</v>
      </c>
      <c r="E113" s="30"/>
      <c r="F113" s="29"/>
      <c r="G113" s="30"/>
      <c r="H113" s="29"/>
      <c r="I113" s="30"/>
      <c r="J113" s="31">
        <v>2</v>
      </c>
      <c r="K113" s="16"/>
      <c r="L113" s="47">
        <v>10</v>
      </c>
      <c r="M113" s="31">
        <v>1</v>
      </c>
      <c r="N113" s="31">
        <v>0</v>
      </c>
      <c r="O113" s="31">
        <v>0</v>
      </c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Q113" s="16"/>
    </row>
    <row r="114" spans="1:43">
      <c r="A114" s="28" t="s">
        <v>204</v>
      </c>
      <c r="B114" s="29" t="s">
        <v>3</v>
      </c>
      <c r="C114" s="30"/>
      <c r="D114" s="29"/>
      <c r="E114" s="30"/>
      <c r="F114" s="29"/>
      <c r="G114" s="30"/>
      <c r="H114" s="29"/>
      <c r="I114" s="30"/>
      <c r="J114" s="31">
        <v>1</v>
      </c>
      <c r="K114" s="16"/>
      <c r="L114" s="44">
        <f>(L113/11)*100</f>
        <v>90.909090909090907</v>
      </c>
      <c r="M114" s="44">
        <f>(M113/11)*100</f>
        <v>9.0909090909090917</v>
      </c>
      <c r="N114" s="44">
        <f>(N113/11)*100</f>
        <v>0</v>
      </c>
      <c r="O114" s="44">
        <f>(O113/11)*100</f>
        <v>0</v>
      </c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Q114" s="16"/>
    </row>
    <row r="115" spans="1:43">
      <c r="A115" s="28" t="s">
        <v>205</v>
      </c>
      <c r="B115" s="29"/>
      <c r="C115" s="30" t="s">
        <v>51</v>
      </c>
      <c r="D115" s="29" t="s">
        <v>51</v>
      </c>
      <c r="E115" s="30"/>
      <c r="F115" s="29"/>
      <c r="G115" s="30"/>
      <c r="H115" s="29"/>
      <c r="I115" s="30"/>
      <c r="J115" s="31">
        <v>1</v>
      </c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Q115" s="16"/>
    </row>
    <row r="116" spans="1:43">
      <c r="A116" s="28" t="s">
        <v>206</v>
      </c>
      <c r="B116" s="29"/>
      <c r="C116" s="30"/>
      <c r="D116" s="29" t="s">
        <v>3</v>
      </c>
      <c r="E116" s="30" t="s">
        <v>3</v>
      </c>
      <c r="F116" s="29"/>
      <c r="G116" s="30"/>
      <c r="H116" s="29"/>
      <c r="I116" s="30"/>
      <c r="J116" s="31">
        <v>1</v>
      </c>
      <c r="K116" s="16"/>
      <c r="L116" s="174" t="s">
        <v>207</v>
      </c>
      <c r="M116" s="175"/>
      <c r="N116" s="175"/>
      <c r="O116" s="177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Q116" s="16"/>
    </row>
    <row r="117" spans="1:43">
      <c r="A117" s="28" t="s">
        <v>208</v>
      </c>
      <c r="B117" s="29"/>
      <c r="C117" s="30"/>
      <c r="D117" s="29"/>
      <c r="E117" s="30" t="s">
        <v>51</v>
      </c>
      <c r="F117" s="29" t="s">
        <v>51</v>
      </c>
      <c r="G117" s="30"/>
      <c r="H117" s="29"/>
      <c r="I117" s="30"/>
      <c r="J117" s="31">
        <v>1</v>
      </c>
      <c r="K117" s="16"/>
      <c r="L117" s="45">
        <v>1</v>
      </c>
      <c r="M117" s="46">
        <v>2</v>
      </c>
      <c r="N117" s="46">
        <v>3</v>
      </c>
      <c r="O117" s="46">
        <v>4</v>
      </c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Q117" s="16"/>
    </row>
    <row r="118" spans="1:43">
      <c r="A118" s="28" t="s">
        <v>209</v>
      </c>
      <c r="B118" s="29"/>
      <c r="C118" s="30"/>
      <c r="D118" s="29"/>
      <c r="E118" s="30" t="s">
        <v>3</v>
      </c>
      <c r="F118" s="29" t="s">
        <v>3</v>
      </c>
      <c r="G118" s="30"/>
      <c r="H118" s="29"/>
      <c r="I118" s="30"/>
      <c r="J118" s="31">
        <v>1</v>
      </c>
      <c r="K118" s="16"/>
      <c r="L118" s="47">
        <v>7</v>
      </c>
      <c r="M118" s="31">
        <v>1</v>
      </c>
      <c r="N118" s="31">
        <v>1</v>
      </c>
      <c r="O118" s="31">
        <v>0</v>
      </c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Q118" s="16"/>
    </row>
    <row r="119" spans="1:43">
      <c r="A119" s="28" t="s">
        <v>210</v>
      </c>
      <c r="B119" s="29"/>
      <c r="C119" s="30"/>
      <c r="D119" s="29"/>
      <c r="E119" s="30"/>
      <c r="F119" s="29" t="s">
        <v>9</v>
      </c>
      <c r="G119" s="30" t="s">
        <v>9</v>
      </c>
      <c r="H119" s="29"/>
      <c r="I119" s="30"/>
      <c r="J119" s="31">
        <v>1</v>
      </c>
      <c r="K119" s="16"/>
      <c r="L119" s="44">
        <f>(L118/9)*100</f>
        <v>77.777777777777786</v>
      </c>
      <c r="M119" s="44">
        <f>(M118/9)*100</f>
        <v>11.111111111111111</v>
      </c>
      <c r="N119" s="44">
        <f>(N118/9)*100</f>
        <v>11.111111111111111</v>
      </c>
      <c r="O119" s="44">
        <f>(O118/9)*100</f>
        <v>0</v>
      </c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Q119" s="16"/>
    </row>
    <row r="120" spans="1:43">
      <c r="A120" s="28" t="s">
        <v>211</v>
      </c>
      <c r="B120" s="29"/>
      <c r="C120" s="30"/>
      <c r="D120" s="29"/>
      <c r="E120" s="30"/>
      <c r="F120" s="29"/>
      <c r="G120" s="30" t="s">
        <v>12</v>
      </c>
      <c r="H120" s="29" t="s">
        <v>12</v>
      </c>
      <c r="I120" s="30"/>
      <c r="J120" s="31">
        <v>1</v>
      </c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Q120" s="16"/>
    </row>
    <row r="121" spans="1:43">
      <c r="A121" s="28" t="s">
        <v>212</v>
      </c>
      <c r="B121" s="29"/>
      <c r="C121" s="30"/>
      <c r="D121" s="29"/>
      <c r="E121" s="30"/>
      <c r="F121" s="29"/>
      <c r="G121" s="30" t="s">
        <v>5</v>
      </c>
      <c r="H121" s="29" t="s">
        <v>5</v>
      </c>
      <c r="I121" s="30"/>
      <c r="J121" s="31">
        <v>1</v>
      </c>
      <c r="K121" s="16"/>
      <c r="L121" s="174" t="s">
        <v>213</v>
      </c>
      <c r="M121" s="175"/>
      <c r="N121" s="175"/>
      <c r="O121" s="177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Q121" s="16"/>
    </row>
    <row r="122" spans="1:43">
      <c r="A122" s="28" t="s">
        <v>214</v>
      </c>
      <c r="B122" s="29"/>
      <c r="C122" s="30"/>
      <c r="D122" s="29"/>
      <c r="E122" s="30"/>
      <c r="F122" s="29"/>
      <c r="G122" s="30"/>
      <c r="H122" s="29" t="s">
        <v>9</v>
      </c>
      <c r="I122" s="30" t="s">
        <v>9</v>
      </c>
      <c r="J122" s="31">
        <v>1</v>
      </c>
      <c r="K122" s="16"/>
      <c r="L122" s="45">
        <v>1</v>
      </c>
      <c r="M122" s="46">
        <v>2</v>
      </c>
      <c r="N122" s="46">
        <v>3</v>
      </c>
      <c r="O122" s="46">
        <v>4</v>
      </c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Q122" s="16"/>
    </row>
    <row r="123" spans="1:43">
      <c r="A123" s="173" t="s">
        <v>215</v>
      </c>
      <c r="B123" s="173"/>
      <c r="C123" s="173"/>
      <c r="D123" s="173"/>
      <c r="E123" s="173"/>
      <c r="F123" s="173"/>
      <c r="G123" s="173"/>
      <c r="H123" s="173"/>
      <c r="I123" s="173"/>
      <c r="J123" s="173"/>
      <c r="K123" s="16"/>
      <c r="L123" s="47">
        <v>10</v>
      </c>
      <c r="M123" s="31">
        <v>1</v>
      </c>
      <c r="N123" s="31">
        <v>0</v>
      </c>
      <c r="O123" s="31">
        <v>0</v>
      </c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Q123" s="16"/>
    </row>
    <row r="124" spans="1:43">
      <c r="A124" s="21" t="s">
        <v>49</v>
      </c>
      <c r="B124" s="22">
        <v>1990</v>
      </c>
      <c r="C124" s="22">
        <v>1994</v>
      </c>
      <c r="D124" s="22">
        <v>1998</v>
      </c>
      <c r="E124" s="22">
        <v>2002</v>
      </c>
      <c r="F124" s="22">
        <v>2006</v>
      </c>
      <c r="G124" s="22">
        <v>2010</v>
      </c>
      <c r="H124" s="22">
        <v>2014</v>
      </c>
      <c r="I124" s="22">
        <v>2018</v>
      </c>
      <c r="J124" s="23" t="s">
        <v>1</v>
      </c>
      <c r="K124" s="16"/>
      <c r="L124" s="44">
        <f>(L123/11)*100</f>
        <v>90.909090909090907</v>
      </c>
      <c r="M124" s="44">
        <f>(M123/11)*100</f>
        <v>9.0909090909090917</v>
      </c>
      <c r="N124" s="44">
        <f>(N123/11)*100</f>
        <v>0</v>
      </c>
      <c r="O124" s="44">
        <f>(O123/11)*100</f>
        <v>0</v>
      </c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Q124" s="16"/>
    </row>
    <row r="125" spans="1:43">
      <c r="A125" s="28" t="s">
        <v>216</v>
      </c>
      <c r="B125" s="29" t="s">
        <v>51</v>
      </c>
      <c r="C125" s="30" t="s">
        <v>51</v>
      </c>
      <c r="D125" s="29"/>
      <c r="E125" s="30" t="s">
        <v>51</v>
      </c>
      <c r="F125" s="29" t="s">
        <v>4</v>
      </c>
      <c r="G125" s="30"/>
      <c r="H125" s="29"/>
      <c r="I125" s="30"/>
      <c r="J125" s="31">
        <v>2</v>
      </c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Q125" s="16"/>
    </row>
    <row r="126" spans="1:43">
      <c r="A126" s="28" t="s">
        <v>217</v>
      </c>
      <c r="B126" s="29" t="s">
        <v>37</v>
      </c>
      <c r="C126" s="30"/>
      <c r="D126" s="29"/>
      <c r="E126" s="30"/>
      <c r="F126" s="29"/>
      <c r="G126" s="30"/>
      <c r="H126" s="29"/>
      <c r="I126" s="30"/>
      <c r="J126" s="31">
        <v>1</v>
      </c>
      <c r="K126" s="16"/>
      <c r="L126" s="174" t="s">
        <v>218</v>
      </c>
      <c r="M126" s="175"/>
      <c r="N126" s="175"/>
      <c r="O126" s="177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Q126" s="16"/>
    </row>
    <row r="127" spans="1:43">
      <c r="A127" s="28" t="s">
        <v>219</v>
      </c>
      <c r="B127" s="29" t="s">
        <v>3</v>
      </c>
      <c r="C127" s="30"/>
      <c r="D127" s="29"/>
      <c r="E127" s="30"/>
      <c r="F127" s="29"/>
      <c r="G127" s="30"/>
      <c r="H127" s="29"/>
      <c r="I127" s="30"/>
      <c r="J127" s="31">
        <v>1</v>
      </c>
      <c r="K127" s="16"/>
      <c r="L127" s="45">
        <v>1</v>
      </c>
      <c r="M127" s="46">
        <v>2</v>
      </c>
      <c r="N127" s="46">
        <v>3</v>
      </c>
      <c r="O127" s="46">
        <v>4</v>
      </c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Q127" s="16"/>
    </row>
    <row r="128" spans="1:43">
      <c r="A128" s="28" t="s">
        <v>220</v>
      </c>
      <c r="B128" s="29"/>
      <c r="C128" s="30" t="s">
        <v>6</v>
      </c>
      <c r="D128" s="29" t="s">
        <v>6</v>
      </c>
      <c r="E128" s="30"/>
      <c r="F128" s="29"/>
      <c r="G128" s="30"/>
      <c r="H128" s="29"/>
      <c r="I128" s="30"/>
      <c r="J128" s="31">
        <v>1</v>
      </c>
      <c r="K128" s="16"/>
      <c r="L128" s="47">
        <v>3</v>
      </c>
      <c r="M128" s="31">
        <v>2</v>
      </c>
      <c r="N128" s="31">
        <v>2</v>
      </c>
      <c r="O128" s="31">
        <v>0</v>
      </c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Q128" s="16"/>
    </row>
    <row r="129" spans="1:43">
      <c r="A129" s="28" t="s">
        <v>221</v>
      </c>
      <c r="B129" s="29"/>
      <c r="C129" s="30" t="s">
        <v>16</v>
      </c>
      <c r="D129" s="29" t="s">
        <v>16</v>
      </c>
      <c r="E129" s="30"/>
      <c r="F129" s="29"/>
      <c r="G129" s="30"/>
      <c r="H129" s="29"/>
      <c r="I129" s="30"/>
      <c r="J129" s="31">
        <v>1</v>
      </c>
      <c r="K129" s="16"/>
      <c r="L129" s="44">
        <f>(L128/7)*100</f>
        <v>42.857142857142854</v>
      </c>
      <c r="M129" s="44">
        <f>(M128/7)*100</f>
        <v>28.571428571428569</v>
      </c>
      <c r="N129" s="44">
        <f>(N128/7)*100</f>
        <v>28.571428571428569</v>
      </c>
      <c r="O129" s="44">
        <f>(O128/7)*100</f>
        <v>0</v>
      </c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Q129" s="16"/>
    </row>
    <row r="130" spans="1:43">
      <c r="A130" s="28" t="s">
        <v>222</v>
      </c>
      <c r="B130" s="29"/>
      <c r="C130" s="30"/>
      <c r="D130" s="29" t="s">
        <v>51</v>
      </c>
      <c r="E130" s="30" t="s">
        <v>51</v>
      </c>
      <c r="F130" s="29"/>
      <c r="G130" s="30"/>
      <c r="H130" s="29"/>
      <c r="I130" s="30"/>
      <c r="J130" s="31">
        <v>1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Q130" s="16"/>
    </row>
    <row r="131" spans="1:43">
      <c r="A131" s="28" t="s">
        <v>223</v>
      </c>
      <c r="B131" s="29"/>
      <c r="C131" s="30"/>
      <c r="D131" s="29"/>
      <c r="E131" s="30" t="s">
        <v>6</v>
      </c>
      <c r="F131" s="29" t="s">
        <v>6</v>
      </c>
      <c r="G131" s="30"/>
      <c r="H131" s="29"/>
      <c r="I131" s="30"/>
      <c r="J131" s="31">
        <v>1</v>
      </c>
      <c r="K131" s="16"/>
      <c r="L131" s="174" t="s">
        <v>224</v>
      </c>
      <c r="M131" s="175"/>
      <c r="N131" s="175"/>
      <c r="O131" s="177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Q131" s="16"/>
    </row>
    <row r="132" spans="1:43">
      <c r="A132" s="28" t="s">
        <v>225</v>
      </c>
      <c r="B132" s="29"/>
      <c r="C132" s="30"/>
      <c r="D132" s="29"/>
      <c r="E132" s="30"/>
      <c r="F132" s="29" t="s">
        <v>3</v>
      </c>
      <c r="G132" s="30" t="s">
        <v>3</v>
      </c>
      <c r="H132" s="29"/>
      <c r="I132" s="30"/>
      <c r="J132" s="31">
        <v>1</v>
      </c>
      <c r="K132" s="16"/>
      <c r="L132" s="45">
        <v>1</v>
      </c>
      <c r="M132" s="46">
        <v>2</v>
      </c>
      <c r="N132" s="46">
        <v>3</v>
      </c>
      <c r="O132" s="46">
        <v>4</v>
      </c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Q132" s="16"/>
    </row>
    <row r="133" spans="1:43">
      <c r="A133" s="28" t="s">
        <v>226</v>
      </c>
      <c r="B133" s="29"/>
      <c r="C133" s="30"/>
      <c r="D133" s="29"/>
      <c r="E133" s="30"/>
      <c r="F133" s="29"/>
      <c r="G133" s="30" t="s">
        <v>5</v>
      </c>
      <c r="H133" s="29" t="s">
        <v>5</v>
      </c>
      <c r="I133" s="30"/>
      <c r="J133" s="31">
        <v>1</v>
      </c>
      <c r="K133" s="16"/>
      <c r="L133" s="47">
        <v>6</v>
      </c>
      <c r="M133" s="31">
        <v>3</v>
      </c>
      <c r="N133" s="31">
        <v>0</v>
      </c>
      <c r="O133" s="31">
        <v>0</v>
      </c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Q133" s="16"/>
    </row>
    <row r="134" spans="1:43">
      <c r="A134" s="28" t="s">
        <v>227</v>
      </c>
      <c r="B134" s="29"/>
      <c r="C134" s="30"/>
      <c r="D134" s="29"/>
      <c r="E134" s="30"/>
      <c r="F134" s="29"/>
      <c r="G134" s="30" t="s">
        <v>9</v>
      </c>
      <c r="H134" s="29" t="s">
        <v>9</v>
      </c>
      <c r="I134" s="30"/>
      <c r="J134" s="31">
        <v>1</v>
      </c>
      <c r="K134" s="16"/>
      <c r="L134" s="44">
        <f>(L133/9)*100</f>
        <v>66.666666666666657</v>
      </c>
      <c r="M134" s="44">
        <f>(M133/9)*100</f>
        <v>33.333333333333329</v>
      </c>
      <c r="N134" s="44">
        <f>(N133/9)*100</f>
        <v>0</v>
      </c>
      <c r="O134" s="44">
        <f>(O133/9)*100</f>
        <v>0</v>
      </c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Q134" s="16"/>
    </row>
    <row r="135" spans="1:43">
      <c r="A135" s="28" t="s">
        <v>228</v>
      </c>
      <c r="B135" s="29"/>
      <c r="C135" s="30"/>
      <c r="D135" s="29"/>
      <c r="E135" s="30"/>
      <c r="F135" s="29"/>
      <c r="G135" s="30"/>
      <c r="H135" s="29" t="s">
        <v>10</v>
      </c>
      <c r="I135" s="30" t="s">
        <v>10</v>
      </c>
      <c r="J135" s="31">
        <v>1</v>
      </c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Q135" s="16"/>
    </row>
    <row r="136" spans="1:43">
      <c r="A136" s="173" t="s">
        <v>229</v>
      </c>
      <c r="B136" s="173"/>
      <c r="C136" s="173"/>
      <c r="D136" s="173"/>
      <c r="E136" s="173"/>
      <c r="F136" s="173"/>
      <c r="G136" s="173"/>
      <c r="H136" s="173"/>
      <c r="I136" s="173"/>
      <c r="J136" s="173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Q136" s="16"/>
    </row>
    <row r="137" spans="1:43">
      <c r="A137" s="21" t="s">
        <v>49</v>
      </c>
      <c r="B137" s="22">
        <v>1990</v>
      </c>
      <c r="C137" s="22">
        <v>1994</v>
      </c>
      <c r="D137" s="22">
        <v>1998</v>
      </c>
      <c r="E137" s="22">
        <v>2002</v>
      </c>
      <c r="F137" s="22">
        <v>2006</v>
      </c>
      <c r="G137" s="22">
        <v>2010</v>
      </c>
      <c r="H137" s="22">
        <v>2014</v>
      </c>
      <c r="I137" s="22">
        <v>2018</v>
      </c>
      <c r="J137" s="23" t="s">
        <v>1</v>
      </c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Q137" s="16"/>
    </row>
    <row r="138" spans="1:43">
      <c r="A138" s="28" t="s">
        <v>230</v>
      </c>
      <c r="B138" s="29" t="s">
        <v>3</v>
      </c>
      <c r="C138" s="30" t="s">
        <v>3</v>
      </c>
      <c r="D138" s="29"/>
      <c r="E138" s="30"/>
      <c r="F138" s="29"/>
      <c r="G138" s="30"/>
      <c r="H138" s="29"/>
      <c r="I138" s="30"/>
      <c r="J138" s="31">
        <v>1</v>
      </c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Q138" s="16"/>
    </row>
    <row r="139" spans="1:43">
      <c r="A139" s="28" t="s">
        <v>231</v>
      </c>
      <c r="B139" s="29" t="s">
        <v>3</v>
      </c>
      <c r="C139" s="30" t="s">
        <v>3</v>
      </c>
      <c r="D139" s="29" t="s">
        <v>3</v>
      </c>
      <c r="E139" s="30"/>
      <c r="F139" s="29"/>
      <c r="G139" s="30"/>
      <c r="H139" s="29"/>
      <c r="I139" s="30"/>
      <c r="J139" s="31">
        <v>2</v>
      </c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Q139" s="16"/>
    </row>
    <row r="140" spans="1:43">
      <c r="A140" s="28" t="s">
        <v>232</v>
      </c>
      <c r="B140" s="29" t="s">
        <v>3</v>
      </c>
      <c r="C140" s="30"/>
      <c r="D140" s="29"/>
      <c r="E140" s="30"/>
      <c r="F140" s="29"/>
      <c r="G140" s="30"/>
      <c r="H140" s="29"/>
      <c r="I140" s="30"/>
      <c r="J140" s="31">
        <v>1</v>
      </c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Q140" s="16"/>
    </row>
    <row r="141" spans="1:43">
      <c r="A141" s="28" t="s">
        <v>233</v>
      </c>
      <c r="B141" s="29"/>
      <c r="C141" s="30" t="s">
        <v>3</v>
      </c>
      <c r="D141" s="29" t="s">
        <v>3</v>
      </c>
      <c r="E141" s="30"/>
      <c r="F141" s="29"/>
      <c r="G141" s="30"/>
      <c r="H141" s="29"/>
      <c r="I141" s="30"/>
      <c r="J141" s="31">
        <v>1</v>
      </c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Q141" s="16"/>
    </row>
    <row r="142" spans="1:43">
      <c r="A142" s="28" t="s">
        <v>234</v>
      </c>
      <c r="B142" s="29"/>
      <c r="C142" s="30"/>
      <c r="D142" s="29" t="s">
        <v>3</v>
      </c>
      <c r="E142" s="30" t="s">
        <v>3</v>
      </c>
      <c r="F142" s="29"/>
      <c r="G142" s="30"/>
      <c r="H142" s="29"/>
      <c r="I142" s="30"/>
      <c r="J142" s="31">
        <v>1</v>
      </c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Q142" s="16"/>
    </row>
    <row r="143" spans="1:43">
      <c r="A143" s="28" t="s">
        <v>235</v>
      </c>
      <c r="B143" s="29"/>
      <c r="C143" s="30"/>
      <c r="D143" s="29"/>
      <c r="E143" s="30" t="s">
        <v>51</v>
      </c>
      <c r="F143" s="29" t="s">
        <v>51</v>
      </c>
      <c r="G143" s="30"/>
      <c r="H143" s="29"/>
      <c r="I143" s="30"/>
      <c r="J143" s="31">
        <v>1</v>
      </c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Q143" s="16"/>
    </row>
    <row r="144" spans="1:43">
      <c r="A144" s="28" t="s">
        <v>236</v>
      </c>
      <c r="B144" s="29"/>
      <c r="C144" s="30"/>
      <c r="D144" s="29"/>
      <c r="E144" s="30" t="s">
        <v>3</v>
      </c>
      <c r="F144" s="29" t="s">
        <v>3</v>
      </c>
      <c r="G144" s="30"/>
      <c r="H144" s="29" t="s">
        <v>3</v>
      </c>
      <c r="I144" s="30" t="s">
        <v>3</v>
      </c>
      <c r="J144" s="31">
        <v>2</v>
      </c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Q144" s="16"/>
    </row>
    <row r="145" spans="1:43">
      <c r="A145" s="28" t="s">
        <v>237</v>
      </c>
      <c r="B145" s="29"/>
      <c r="C145" s="30"/>
      <c r="D145" s="29"/>
      <c r="E145" s="30"/>
      <c r="F145" s="29" t="s">
        <v>6</v>
      </c>
      <c r="G145" s="30" t="s">
        <v>6</v>
      </c>
      <c r="H145" s="29"/>
      <c r="I145" s="30"/>
      <c r="J145" s="31">
        <v>1</v>
      </c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Q145" s="16"/>
    </row>
    <row r="146" spans="1:43">
      <c r="A146" s="28" t="s">
        <v>238</v>
      </c>
      <c r="B146" s="29"/>
      <c r="C146" s="30"/>
      <c r="D146" s="29"/>
      <c r="E146" s="30"/>
      <c r="F146" s="29"/>
      <c r="G146" s="30" t="s">
        <v>3</v>
      </c>
      <c r="H146" s="29" t="s">
        <v>3</v>
      </c>
      <c r="I146" s="30"/>
      <c r="J146" s="31">
        <v>1</v>
      </c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Q146" s="16"/>
    </row>
    <row r="147" spans="1:43">
      <c r="A147" s="28" t="s">
        <v>239</v>
      </c>
      <c r="B147" s="29"/>
      <c r="C147" s="30"/>
      <c r="D147" s="29"/>
      <c r="E147" s="30"/>
      <c r="F147" s="29"/>
      <c r="G147" s="30" t="s">
        <v>3</v>
      </c>
      <c r="H147" s="29" t="s">
        <v>3</v>
      </c>
      <c r="I147" s="30"/>
      <c r="J147" s="31">
        <v>1</v>
      </c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Q147" s="16"/>
    </row>
    <row r="148" spans="1:43">
      <c r="A148" s="173" t="s">
        <v>240</v>
      </c>
      <c r="B148" s="173"/>
      <c r="C148" s="173"/>
      <c r="D148" s="173"/>
      <c r="E148" s="173"/>
      <c r="F148" s="173"/>
      <c r="G148" s="173"/>
      <c r="H148" s="173"/>
      <c r="I148" s="173"/>
      <c r="J148" s="173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Q148" s="16"/>
    </row>
    <row r="149" spans="1:43">
      <c r="A149" s="21" t="s">
        <v>49</v>
      </c>
      <c r="B149" s="22">
        <v>1990</v>
      </c>
      <c r="C149" s="22">
        <v>1994</v>
      </c>
      <c r="D149" s="22">
        <v>1998</v>
      </c>
      <c r="E149" s="22">
        <v>2002</v>
      </c>
      <c r="F149" s="22">
        <v>2006</v>
      </c>
      <c r="G149" s="22">
        <v>2010</v>
      </c>
      <c r="H149" s="22">
        <v>2014</v>
      </c>
      <c r="I149" s="22">
        <v>2018</v>
      </c>
      <c r="J149" s="23" t="s">
        <v>1</v>
      </c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Q149" s="16"/>
    </row>
    <row r="150" spans="1:43">
      <c r="A150" s="28" t="s">
        <v>241</v>
      </c>
      <c r="B150" s="29" t="s">
        <v>3</v>
      </c>
      <c r="C150" s="30" t="s">
        <v>3</v>
      </c>
      <c r="D150" s="29"/>
      <c r="E150" s="30"/>
      <c r="F150" s="29"/>
      <c r="G150" s="30"/>
      <c r="H150" s="29"/>
      <c r="I150" s="30"/>
      <c r="J150" s="31">
        <v>1</v>
      </c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Q150" s="16"/>
    </row>
    <row r="151" spans="1:43">
      <c r="A151" s="28" t="s">
        <v>242</v>
      </c>
      <c r="B151" s="29" t="s">
        <v>91</v>
      </c>
      <c r="C151" s="30"/>
      <c r="D151" s="29"/>
      <c r="E151" s="30"/>
      <c r="F151" s="29"/>
      <c r="G151" s="30"/>
      <c r="H151" s="29"/>
      <c r="I151" s="30"/>
      <c r="J151" s="31">
        <v>1</v>
      </c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Q151" s="16"/>
    </row>
    <row r="152" spans="1:43">
      <c r="A152" s="28" t="s">
        <v>243</v>
      </c>
      <c r="B152" s="29" t="s">
        <v>3</v>
      </c>
      <c r="C152" s="30"/>
      <c r="D152" s="29"/>
      <c r="E152" s="30"/>
      <c r="F152" s="29"/>
      <c r="G152" s="30"/>
      <c r="H152" s="29"/>
      <c r="I152" s="30"/>
      <c r="J152" s="31">
        <v>1</v>
      </c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Q152" s="16"/>
    </row>
    <row r="153" spans="1:43">
      <c r="A153" s="28" t="s">
        <v>244</v>
      </c>
      <c r="B153" s="29"/>
      <c r="C153" s="30" t="s">
        <v>3</v>
      </c>
      <c r="D153" s="29" t="s">
        <v>3</v>
      </c>
      <c r="E153" s="30"/>
      <c r="F153" s="29"/>
      <c r="G153" s="30" t="s">
        <v>3</v>
      </c>
      <c r="H153" s="29" t="s">
        <v>3</v>
      </c>
      <c r="I153" s="30"/>
      <c r="J153" s="31">
        <v>2</v>
      </c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Q153" s="16"/>
    </row>
    <row r="154" spans="1:43">
      <c r="A154" s="28" t="s">
        <v>245</v>
      </c>
      <c r="B154" s="29"/>
      <c r="C154" s="30" t="s">
        <v>10</v>
      </c>
      <c r="D154" s="29" t="s">
        <v>10</v>
      </c>
      <c r="E154" s="30"/>
      <c r="F154" s="29"/>
      <c r="G154" s="30"/>
      <c r="H154" s="29"/>
      <c r="I154" s="30"/>
      <c r="J154" s="31">
        <v>1</v>
      </c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Q154" s="16"/>
    </row>
    <row r="155" spans="1:43">
      <c r="A155" s="28" t="s">
        <v>246</v>
      </c>
      <c r="B155" s="29"/>
      <c r="C155" s="30"/>
      <c r="D155" s="29" t="s">
        <v>86</v>
      </c>
      <c r="E155" s="30" t="s">
        <v>86</v>
      </c>
      <c r="F155" s="29"/>
      <c r="G155" s="30"/>
      <c r="H155" s="29"/>
      <c r="I155" s="30"/>
      <c r="J155" s="31">
        <v>1</v>
      </c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Q155" s="16"/>
    </row>
    <row r="156" spans="1:43">
      <c r="A156" s="28" t="s">
        <v>247</v>
      </c>
      <c r="B156" s="29"/>
      <c r="C156" s="30"/>
      <c r="D156" s="29"/>
      <c r="E156" s="30" t="s">
        <v>17</v>
      </c>
      <c r="F156" s="29" t="s">
        <v>17</v>
      </c>
      <c r="G156" s="30"/>
      <c r="H156" s="29"/>
      <c r="I156" s="30"/>
      <c r="J156" s="31">
        <v>1</v>
      </c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Q156" s="16"/>
    </row>
    <row r="157" spans="1:43">
      <c r="A157" s="28" t="s">
        <v>248</v>
      </c>
      <c r="B157" s="29"/>
      <c r="C157" s="30"/>
      <c r="D157" s="29"/>
      <c r="E157" s="30" t="s">
        <v>5</v>
      </c>
      <c r="F157" s="29" t="s">
        <v>5</v>
      </c>
      <c r="G157" s="30"/>
      <c r="H157" s="29"/>
      <c r="I157" s="30"/>
      <c r="J157" s="31">
        <v>1</v>
      </c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Q157" s="16"/>
    </row>
    <row r="158" spans="1:43">
      <c r="A158" s="28" t="s">
        <v>249</v>
      </c>
      <c r="B158" s="29"/>
      <c r="C158" s="30"/>
      <c r="D158" s="29"/>
      <c r="E158" s="30"/>
      <c r="F158" s="29" t="s">
        <v>6</v>
      </c>
      <c r="G158" s="30" t="s">
        <v>6</v>
      </c>
      <c r="H158" s="29"/>
      <c r="I158" s="30"/>
      <c r="J158" s="31">
        <v>1</v>
      </c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Q158" s="16"/>
    </row>
    <row r="159" spans="1:43">
      <c r="A159" s="28" t="s">
        <v>250</v>
      </c>
      <c r="B159" s="29"/>
      <c r="C159" s="30"/>
      <c r="D159" s="29"/>
      <c r="E159" s="30"/>
      <c r="F159" s="29"/>
      <c r="G159" s="30" t="s">
        <v>6</v>
      </c>
      <c r="H159" s="29" t="s">
        <v>6</v>
      </c>
      <c r="I159" s="30"/>
      <c r="J159" s="31">
        <v>1</v>
      </c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Q159" s="16"/>
    </row>
    <row r="160" spans="1:43">
      <c r="A160" s="28" t="s">
        <v>251</v>
      </c>
      <c r="B160" s="29"/>
      <c r="C160" s="30"/>
      <c r="D160" s="29"/>
      <c r="E160" s="30"/>
      <c r="F160" s="29"/>
      <c r="G160" s="30"/>
      <c r="H160" s="29" t="s">
        <v>5</v>
      </c>
      <c r="I160" s="30" t="s">
        <v>5</v>
      </c>
      <c r="J160" s="31">
        <v>1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Q160" s="16"/>
    </row>
    <row r="161" spans="1:43">
      <c r="A161" s="173" t="s">
        <v>252</v>
      </c>
      <c r="B161" s="173"/>
      <c r="C161" s="173"/>
      <c r="D161" s="173"/>
      <c r="E161" s="173"/>
      <c r="F161" s="173"/>
      <c r="G161" s="173"/>
      <c r="H161" s="173"/>
      <c r="I161" s="173"/>
      <c r="J161" s="173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Q161" s="16"/>
    </row>
    <row r="162" spans="1:43">
      <c r="A162" s="21" t="s">
        <v>49</v>
      </c>
      <c r="B162" s="22">
        <v>1990</v>
      </c>
      <c r="C162" s="22">
        <v>1994</v>
      </c>
      <c r="D162" s="22">
        <v>1998</v>
      </c>
      <c r="E162" s="22">
        <v>2002</v>
      </c>
      <c r="F162" s="22">
        <v>2006</v>
      </c>
      <c r="G162" s="22">
        <v>2010</v>
      </c>
      <c r="H162" s="22">
        <v>2014</v>
      </c>
      <c r="I162" s="22">
        <v>2018</v>
      </c>
      <c r="J162" s="23" t="s">
        <v>1</v>
      </c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Q162" s="16"/>
    </row>
    <row r="163" spans="1:43">
      <c r="A163" s="28" t="s">
        <v>253</v>
      </c>
      <c r="B163" s="29" t="s">
        <v>51</v>
      </c>
      <c r="C163" s="30" t="s">
        <v>51</v>
      </c>
      <c r="D163" s="29"/>
      <c r="E163" s="30"/>
      <c r="F163" s="29"/>
      <c r="G163" s="30"/>
      <c r="H163" s="29"/>
      <c r="I163" s="30"/>
      <c r="J163" s="31">
        <v>1</v>
      </c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Q163" s="16"/>
    </row>
    <row r="164" spans="1:43">
      <c r="A164" s="28" t="s">
        <v>254</v>
      </c>
      <c r="B164" s="29" t="s">
        <v>3</v>
      </c>
      <c r="C164" s="30"/>
      <c r="D164" s="29"/>
      <c r="E164" s="30"/>
      <c r="F164" s="29"/>
      <c r="G164" s="30"/>
      <c r="H164" s="29"/>
      <c r="I164" s="30"/>
      <c r="J164" s="31">
        <v>1</v>
      </c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Q164" s="16"/>
    </row>
    <row r="165" spans="1:43">
      <c r="A165" s="28" t="s">
        <v>255</v>
      </c>
      <c r="B165" s="29" t="s">
        <v>3</v>
      </c>
      <c r="C165" s="30"/>
      <c r="D165" s="29"/>
      <c r="E165" s="30"/>
      <c r="F165" s="29"/>
      <c r="G165" s="30"/>
      <c r="H165" s="29"/>
      <c r="I165" s="30"/>
      <c r="J165" s="31">
        <v>1</v>
      </c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Q165" s="16"/>
    </row>
    <row r="166" spans="1:43">
      <c r="A166" s="28" t="s">
        <v>256</v>
      </c>
      <c r="B166" s="29"/>
      <c r="C166" s="30" t="s">
        <v>51</v>
      </c>
      <c r="D166" s="29" t="s">
        <v>51</v>
      </c>
      <c r="E166" s="30" t="s">
        <v>51</v>
      </c>
      <c r="F166" s="29" t="s">
        <v>51</v>
      </c>
      <c r="G166" s="30"/>
      <c r="H166" s="29"/>
      <c r="I166" s="30"/>
      <c r="J166" s="31">
        <v>2</v>
      </c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Q166" s="16"/>
    </row>
    <row r="167" spans="1:43">
      <c r="A167" s="28" t="s">
        <v>257</v>
      </c>
      <c r="B167" s="29"/>
      <c r="C167" s="30" t="s">
        <v>3</v>
      </c>
      <c r="D167" s="29" t="s">
        <v>3</v>
      </c>
      <c r="E167" s="30"/>
      <c r="F167" s="29"/>
      <c r="G167" s="30"/>
      <c r="H167" s="29"/>
      <c r="I167" s="30"/>
      <c r="J167" s="31">
        <v>1</v>
      </c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Q167" s="16"/>
    </row>
    <row r="168" spans="1:43">
      <c r="A168" s="28" t="s">
        <v>258</v>
      </c>
      <c r="B168" s="29"/>
      <c r="C168" s="30"/>
      <c r="D168" s="29" t="s">
        <v>3</v>
      </c>
      <c r="E168" s="30" t="s">
        <v>3</v>
      </c>
      <c r="F168" s="29"/>
      <c r="G168" s="30"/>
      <c r="H168" s="29"/>
      <c r="I168" s="30"/>
      <c r="J168" s="31">
        <v>1</v>
      </c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Q168" s="16"/>
    </row>
    <row r="169" spans="1:43">
      <c r="A169" s="28" t="s">
        <v>259</v>
      </c>
      <c r="B169" s="29"/>
      <c r="C169" s="30"/>
      <c r="D169" s="29"/>
      <c r="E169" s="30" t="s">
        <v>5</v>
      </c>
      <c r="F169" s="29" t="s">
        <v>5</v>
      </c>
      <c r="G169" s="30"/>
      <c r="H169" s="29"/>
      <c r="I169" s="30"/>
      <c r="J169" s="31">
        <v>1</v>
      </c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Q169" s="16"/>
    </row>
    <row r="170" spans="1:43">
      <c r="A170" s="28" t="s">
        <v>260</v>
      </c>
      <c r="B170" s="29"/>
      <c r="C170" s="30"/>
      <c r="D170" s="29"/>
      <c r="E170" s="30"/>
      <c r="F170" s="29" t="s">
        <v>51</v>
      </c>
      <c r="G170" s="30" t="s">
        <v>51</v>
      </c>
      <c r="H170" s="29"/>
      <c r="I170" s="30"/>
      <c r="J170" s="31">
        <v>1</v>
      </c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Q170" s="16"/>
    </row>
    <row r="171" spans="1:43">
      <c r="A171" s="28" t="s">
        <v>261</v>
      </c>
      <c r="B171" s="29"/>
      <c r="C171" s="30"/>
      <c r="D171" s="29"/>
      <c r="E171" s="30"/>
      <c r="F171" s="29"/>
      <c r="G171" s="30" t="s">
        <v>8</v>
      </c>
      <c r="H171" s="29" t="s">
        <v>8</v>
      </c>
      <c r="I171" s="30"/>
      <c r="J171" s="31">
        <v>1</v>
      </c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Q171" s="16"/>
    </row>
    <row r="172" spans="1:43">
      <c r="A172" s="28" t="s">
        <v>262</v>
      </c>
      <c r="B172" s="29"/>
      <c r="C172" s="30"/>
      <c r="D172" s="29"/>
      <c r="E172" s="30"/>
      <c r="F172" s="29"/>
      <c r="G172" s="30" t="s">
        <v>13</v>
      </c>
      <c r="H172" s="29" t="s">
        <v>13</v>
      </c>
      <c r="I172" s="30"/>
      <c r="J172" s="31">
        <v>1</v>
      </c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Q172" s="16"/>
    </row>
    <row r="173" spans="1:43">
      <c r="A173" s="28" t="s">
        <v>263</v>
      </c>
      <c r="B173" s="29"/>
      <c r="C173" s="30"/>
      <c r="D173" s="29"/>
      <c r="E173" s="30"/>
      <c r="F173" s="29"/>
      <c r="G173" s="30"/>
      <c r="H173" s="29" t="s">
        <v>13</v>
      </c>
      <c r="I173" s="30" t="s">
        <v>13</v>
      </c>
      <c r="J173" s="31">
        <v>1</v>
      </c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Q173" s="16"/>
    </row>
    <row r="174" spans="1:43">
      <c r="A174" s="173" t="s">
        <v>264</v>
      </c>
      <c r="B174" s="173"/>
      <c r="C174" s="173"/>
      <c r="D174" s="173"/>
      <c r="E174" s="173"/>
      <c r="F174" s="173"/>
      <c r="G174" s="173"/>
      <c r="H174" s="173"/>
      <c r="I174" s="173"/>
      <c r="J174" s="173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Q174" s="16"/>
    </row>
    <row r="175" spans="1:43">
      <c r="A175" s="21" t="s">
        <v>49</v>
      </c>
      <c r="B175" s="22">
        <v>1990</v>
      </c>
      <c r="C175" s="22">
        <v>1994</v>
      </c>
      <c r="D175" s="22">
        <v>1998</v>
      </c>
      <c r="E175" s="22">
        <v>2002</v>
      </c>
      <c r="F175" s="22">
        <v>2006</v>
      </c>
      <c r="G175" s="22">
        <v>2010</v>
      </c>
      <c r="H175" s="22">
        <v>2014</v>
      </c>
      <c r="I175" s="22">
        <v>2018</v>
      </c>
      <c r="J175" s="23" t="s">
        <v>1</v>
      </c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Q175" s="16"/>
    </row>
    <row r="176" spans="1:43">
      <c r="A176" s="28" t="s">
        <v>265</v>
      </c>
      <c r="B176" s="29" t="s">
        <v>27</v>
      </c>
      <c r="C176" s="30" t="s">
        <v>27</v>
      </c>
      <c r="D176" s="29"/>
      <c r="E176" s="30"/>
      <c r="F176" s="29"/>
      <c r="G176" s="30"/>
      <c r="H176" s="29"/>
      <c r="I176" s="30"/>
      <c r="J176" s="31">
        <v>1</v>
      </c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Q176" s="16"/>
    </row>
    <row r="177" spans="1:43">
      <c r="A177" s="28" t="s">
        <v>266</v>
      </c>
      <c r="B177" s="29" t="s">
        <v>3</v>
      </c>
      <c r="C177" s="30"/>
      <c r="D177" s="29"/>
      <c r="E177" s="30"/>
      <c r="F177" s="29"/>
      <c r="G177" s="30"/>
      <c r="H177" s="29"/>
      <c r="I177" s="30"/>
      <c r="J177" s="31">
        <v>1</v>
      </c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Q177" s="16"/>
    </row>
    <row r="178" spans="1:43">
      <c r="A178" s="28" t="s">
        <v>267</v>
      </c>
      <c r="B178" s="29" t="s">
        <v>3</v>
      </c>
      <c r="C178" s="30"/>
      <c r="D178" s="29"/>
      <c r="E178" s="30"/>
      <c r="F178" s="29"/>
      <c r="G178" s="30"/>
      <c r="H178" s="29"/>
      <c r="I178" s="30"/>
      <c r="J178" s="31">
        <v>1</v>
      </c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Q178" s="16"/>
    </row>
    <row r="179" spans="1:43">
      <c r="A179" s="28" t="s">
        <v>268</v>
      </c>
      <c r="B179" s="29"/>
      <c r="C179" s="30" t="s">
        <v>3</v>
      </c>
      <c r="D179" s="29" t="s">
        <v>3</v>
      </c>
      <c r="E179" s="30" t="s">
        <v>3</v>
      </c>
      <c r="F179" s="29" t="s">
        <v>3</v>
      </c>
      <c r="G179" s="30"/>
      <c r="H179" s="29"/>
      <c r="I179" s="30"/>
      <c r="J179" s="31">
        <v>2</v>
      </c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Q179" s="16"/>
    </row>
    <row r="180" spans="1:43">
      <c r="A180" s="28" t="s">
        <v>269</v>
      </c>
      <c r="B180" s="29"/>
      <c r="C180" s="30" t="s">
        <v>6</v>
      </c>
      <c r="D180" s="29" t="s">
        <v>6</v>
      </c>
      <c r="E180" s="30"/>
      <c r="F180" s="29"/>
      <c r="G180" s="30"/>
      <c r="H180" s="29"/>
      <c r="I180" s="30"/>
      <c r="J180" s="31">
        <v>1</v>
      </c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Q180" s="16"/>
    </row>
    <row r="181" spans="1:43">
      <c r="A181" s="28" t="s">
        <v>270</v>
      </c>
      <c r="B181" s="29"/>
      <c r="C181" s="30"/>
      <c r="D181" s="29" t="s">
        <v>6</v>
      </c>
      <c r="E181" s="30" t="s">
        <v>6</v>
      </c>
      <c r="F181" s="29"/>
      <c r="G181" s="30"/>
      <c r="H181" s="29"/>
      <c r="I181" s="30"/>
      <c r="J181" s="31">
        <v>1</v>
      </c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Q181" s="16"/>
    </row>
    <row r="182" spans="1:43">
      <c r="A182" s="28" t="s">
        <v>271</v>
      </c>
      <c r="B182" s="29"/>
      <c r="C182" s="30"/>
      <c r="D182" s="29"/>
      <c r="E182" s="30" t="s">
        <v>5</v>
      </c>
      <c r="F182" s="29" t="s">
        <v>5</v>
      </c>
      <c r="G182" s="30" t="s">
        <v>5</v>
      </c>
      <c r="H182" s="29" t="s">
        <v>5</v>
      </c>
      <c r="I182" s="30"/>
      <c r="J182" s="31">
        <v>2</v>
      </c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Q182" s="16"/>
    </row>
    <row r="183" spans="1:43">
      <c r="A183" s="28" t="s">
        <v>272</v>
      </c>
      <c r="B183" s="29"/>
      <c r="C183" s="30"/>
      <c r="D183" s="29"/>
      <c r="E183" s="30"/>
      <c r="F183" s="29" t="s">
        <v>6</v>
      </c>
      <c r="G183" s="30" t="s">
        <v>6</v>
      </c>
      <c r="H183" s="29"/>
      <c r="I183" s="30"/>
      <c r="J183" s="31">
        <v>1</v>
      </c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Q183" s="16"/>
    </row>
    <row r="184" spans="1:43">
      <c r="A184" s="28" t="s">
        <v>273</v>
      </c>
      <c r="B184" s="29"/>
      <c r="C184" s="30"/>
      <c r="D184" s="29"/>
      <c r="E184" s="30"/>
      <c r="F184" s="29"/>
      <c r="G184" s="30" t="s">
        <v>3</v>
      </c>
      <c r="H184" s="29" t="s">
        <v>3</v>
      </c>
      <c r="I184" s="30"/>
      <c r="J184" s="31">
        <v>1</v>
      </c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Q184" s="16"/>
    </row>
    <row r="185" spans="1:43">
      <c r="A185" s="28" t="s">
        <v>274</v>
      </c>
      <c r="B185" s="29"/>
      <c r="C185" s="30"/>
      <c r="D185" s="29"/>
      <c r="E185" s="30"/>
      <c r="F185" s="29"/>
      <c r="G185" s="30"/>
      <c r="H185" s="29" t="s">
        <v>3</v>
      </c>
      <c r="I185" s="30" t="s">
        <v>3</v>
      </c>
      <c r="J185" s="31">
        <v>1</v>
      </c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Q185" s="16"/>
    </row>
    <row r="186" spans="1:43">
      <c r="A186" s="173" t="s">
        <v>275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Q186" s="16"/>
    </row>
    <row r="187" spans="1:43">
      <c r="A187" s="21" t="s">
        <v>49</v>
      </c>
      <c r="B187" s="22">
        <v>1990</v>
      </c>
      <c r="C187" s="22">
        <v>1994</v>
      </c>
      <c r="D187" s="22">
        <v>1998</v>
      </c>
      <c r="E187" s="22">
        <v>2002</v>
      </c>
      <c r="F187" s="22">
        <v>2006</v>
      </c>
      <c r="G187" s="22">
        <v>2010</v>
      </c>
      <c r="H187" s="22">
        <v>2014</v>
      </c>
      <c r="I187" s="22">
        <v>2018</v>
      </c>
      <c r="J187" s="23" t="s">
        <v>1</v>
      </c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Q187" s="16"/>
    </row>
    <row r="188" spans="1:43">
      <c r="A188" s="28" t="s">
        <v>276</v>
      </c>
      <c r="B188" s="29" t="s">
        <v>3</v>
      </c>
      <c r="C188" s="30"/>
      <c r="D188" s="29"/>
      <c r="E188" s="30"/>
      <c r="F188" s="29"/>
      <c r="G188" s="30"/>
      <c r="H188" s="29"/>
      <c r="I188" s="30"/>
      <c r="J188" s="31">
        <v>1</v>
      </c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Q188" s="16"/>
    </row>
    <row r="189" spans="1:43">
      <c r="A189" s="28" t="s">
        <v>277</v>
      </c>
      <c r="B189" s="29" t="s">
        <v>3</v>
      </c>
      <c r="C189" s="30"/>
      <c r="D189" s="29"/>
      <c r="E189" s="30"/>
      <c r="F189" s="29"/>
      <c r="G189" s="30"/>
      <c r="H189" s="29"/>
      <c r="I189" s="30"/>
      <c r="J189" s="31">
        <v>1</v>
      </c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Q189" s="16"/>
    </row>
    <row r="190" spans="1:43">
      <c r="A190" s="28" t="s">
        <v>278</v>
      </c>
      <c r="B190" s="29" t="s">
        <v>21</v>
      </c>
      <c r="C190" s="30" t="s">
        <v>21</v>
      </c>
      <c r="D190" s="29"/>
      <c r="E190" s="30"/>
      <c r="F190" s="29"/>
      <c r="G190" s="30"/>
      <c r="H190" s="29"/>
      <c r="I190" s="30"/>
      <c r="J190" s="31">
        <v>1</v>
      </c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Q190" s="16"/>
    </row>
    <row r="191" spans="1:43">
      <c r="A191" s="28" t="s">
        <v>279</v>
      </c>
      <c r="B191" s="29"/>
      <c r="C191" s="30" t="s">
        <v>9</v>
      </c>
      <c r="D191" s="29" t="s">
        <v>9</v>
      </c>
      <c r="E191" s="30"/>
      <c r="F191" s="29"/>
      <c r="G191" s="30"/>
      <c r="H191" s="29"/>
      <c r="I191" s="30"/>
      <c r="J191" s="31">
        <v>1</v>
      </c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Q191" s="16"/>
    </row>
    <row r="192" spans="1:43">
      <c r="A192" s="28" t="s">
        <v>280</v>
      </c>
      <c r="B192" s="29"/>
      <c r="C192" s="30" t="s">
        <v>51</v>
      </c>
      <c r="D192" s="29" t="s">
        <v>51</v>
      </c>
      <c r="E192" s="30"/>
      <c r="F192" s="29"/>
      <c r="G192" s="30"/>
      <c r="H192" s="29"/>
      <c r="I192" s="30"/>
      <c r="J192" s="31">
        <v>1</v>
      </c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Q192" s="16"/>
    </row>
    <row r="193" spans="1:43">
      <c r="A193" s="28" t="s">
        <v>281</v>
      </c>
      <c r="B193" s="29"/>
      <c r="C193" s="30"/>
      <c r="D193" s="29" t="s">
        <v>3</v>
      </c>
      <c r="E193" s="30" t="s">
        <v>3</v>
      </c>
      <c r="F193" s="29"/>
      <c r="G193" s="30"/>
      <c r="H193" s="29"/>
      <c r="I193" s="30"/>
      <c r="J193" s="31">
        <v>1</v>
      </c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Q193" s="16"/>
    </row>
    <row r="194" spans="1:43">
      <c r="A194" s="28" t="s">
        <v>282</v>
      </c>
      <c r="B194" s="29"/>
      <c r="C194" s="30"/>
      <c r="D194" s="29"/>
      <c r="E194" s="30" t="s">
        <v>6</v>
      </c>
      <c r="F194" s="29" t="s">
        <v>6</v>
      </c>
      <c r="G194" s="30"/>
      <c r="H194" s="29"/>
      <c r="I194" s="30"/>
      <c r="J194" s="31">
        <v>1</v>
      </c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Q194" s="16"/>
    </row>
    <row r="195" spans="1:43">
      <c r="A195" s="28" t="s">
        <v>283</v>
      </c>
      <c r="B195" s="29"/>
      <c r="C195" s="30"/>
      <c r="D195" s="29"/>
      <c r="E195" s="30" t="s">
        <v>3</v>
      </c>
      <c r="F195" s="29" t="s">
        <v>3</v>
      </c>
      <c r="G195" s="30"/>
      <c r="H195" s="29"/>
      <c r="I195" s="30"/>
      <c r="J195" s="31">
        <v>1</v>
      </c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Q195" s="16"/>
    </row>
    <row r="196" spans="1:43">
      <c r="A196" s="28" t="s">
        <v>260</v>
      </c>
      <c r="B196" s="29"/>
      <c r="C196" s="30"/>
      <c r="D196" s="29"/>
      <c r="E196" s="30"/>
      <c r="F196" s="29" t="s">
        <v>51</v>
      </c>
      <c r="G196" s="30" t="s">
        <v>51</v>
      </c>
      <c r="H196" s="29"/>
      <c r="I196" s="30"/>
      <c r="J196" s="31">
        <v>1</v>
      </c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Q196" s="16"/>
    </row>
    <row r="197" spans="1:43">
      <c r="A197" s="28" t="s">
        <v>284</v>
      </c>
      <c r="B197" s="29"/>
      <c r="C197" s="30"/>
      <c r="D197" s="29"/>
      <c r="E197" s="30"/>
      <c r="F197" s="29"/>
      <c r="G197" s="30" t="s">
        <v>16</v>
      </c>
      <c r="H197" s="29" t="s">
        <v>16</v>
      </c>
      <c r="I197" s="30"/>
      <c r="J197" s="31">
        <v>1</v>
      </c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Q197" s="16"/>
    </row>
    <row r="198" spans="1:43">
      <c r="A198" s="28" t="s">
        <v>285</v>
      </c>
      <c r="B198" s="29"/>
      <c r="C198" s="30"/>
      <c r="D198" s="29"/>
      <c r="E198" s="30"/>
      <c r="F198" s="29"/>
      <c r="G198" s="30" t="s">
        <v>6</v>
      </c>
      <c r="H198" s="29" t="s">
        <v>6</v>
      </c>
      <c r="I198" s="30"/>
      <c r="J198" s="31">
        <v>1</v>
      </c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Q198" s="16"/>
    </row>
    <row r="199" spans="1:43">
      <c r="A199" s="28" t="s">
        <v>286</v>
      </c>
      <c r="B199" s="29"/>
      <c r="C199" s="30"/>
      <c r="D199" s="29"/>
      <c r="E199" s="30"/>
      <c r="F199" s="29"/>
      <c r="G199" s="30"/>
      <c r="H199" s="29" t="s">
        <v>6</v>
      </c>
      <c r="I199" s="30" t="s">
        <v>6</v>
      </c>
      <c r="J199" s="31">
        <v>1</v>
      </c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Q199" s="16"/>
    </row>
    <row r="200" spans="1:43">
      <c r="A200" s="173" t="s">
        <v>287</v>
      </c>
      <c r="B200" s="173"/>
      <c r="C200" s="173"/>
      <c r="D200" s="173"/>
      <c r="E200" s="173"/>
      <c r="F200" s="173"/>
      <c r="G200" s="173"/>
      <c r="H200" s="173"/>
      <c r="I200" s="173"/>
      <c r="J200" s="173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Q200" s="16"/>
    </row>
    <row r="201" spans="1:43">
      <c r="A201" s="21" t="s">
        <v>49</v>
      </c>
      <c r="B201" s="22">
        <v>1990</v>
      </c>
      <c r="C201" s="22">
        <v>1994</v>
      </c>
      <c r="D201" s="22">
        <v>1998</v>
      </c>
      <c r="E201" s="22">
        <v>2002</v>
      </c>
      <c r="F201" s="22">
        <v>2006</v>
      </c>
      <c r="G201" s="22">
        <v>2010</v>
      </c>
      <c r="H201" s="22">
        <v>2014</v>
      </c>
      <c r="I201" s="22">
        <v>2018</v>
      </c>
      <c r="J201" s="23" t="s">
        <v>1</v>
      </c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Q201" s="16"/>
    </row>
    <row r="202" spans="1:43">
      <c r="A202" s="28" t="s">
        <v>288</v>
      </c>
      <c r="B202" s="29" t="s">
        <v>22</v>
      </c>
      <c r="C202" s="30" t="s">
        <v>22</v>
      </c>
      <c r="D202" s="29"/>
      <c r="E202" s="30"/>
      <c r="F202" s="29" t="s">
        <v>9</v>
      </c>
      <c r="G202" s="30" t="s">
        <v>9</v>
      </c>
      <c r="H202" s="29"/>
      <c r="I202" s="30"/>
      <c r="J202" s="31">
        <v>2</v>
      </c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Q202" s="16"/>
    </row>
    <row r="203" spans="1:43">
      <c r="A203" s="28" t="s">
        <v>289</v>
      </c>
      <c r="B203" s="29" t="s">
        <v>51</v>
      </c>
      <c r="C203" s="30" t="s">
        <v>51</v>
      </c>
      <c r="D203" s="29" t="s">
        <v>51</v>
      </c>
      <c r="E203" s="30"/>
      <c r="F203" s="29"/>
      <c r="G203" s="30"/>
      <c r="H203" s="29"/>
      <c r="I203" s="30"/>
      <c r="J203" s="31">
        <v>2</v>
      </c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Q203" s="16"/>
    </row>
    <row r="204" spans="1:43">
      <c r="A204" s="28" t="s">
        <v>290</v>
      </c>
      <c r="B204" s="29" t="s">
        <v>51</v>
      </c>
      <c r="C204" s="30" t="s">
        <v>51</v>
      </c>
      <c r="D204" s="29" t="s">
        <v>51</v>
      </c>
      <c r="E204" s="30" t="s">
        <v>51</v>
      </c>
      <c r="F204" s="29" t="s">
        <v>51</v>
      </c>
      <c r="G204" s="30" t="s">
        <v>3</v>
      </c>
      <c r="H204" s="29" t="s">
        <v>3</v>
      </c>
      <c r="I204" s="30"/>
      <c r="J204" s="31">
        <v>4</v>
      </c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Q204" s="16"/>
    </row>
    <row r="205" spans="1:43">
      <c r="A205" s="28" t="s">
        <v>291</v>
      </c>
      <c r="B205" s="29"/>
      <c r="C205" s="30"/>
      <c r="D205" s="29" t="s">
        <v>3</v>
      </c>
      <c r="E205" s="30" t="s">
        <v>3</v>
      </c>
      <c r="F205" s="29"/>
      <c r="G205" s="30" t="s">
        <v>3</v>
      </c>
      <c r="H205" s="29" t="s">
        <v>3</v>
      </c>
      <c r="I205" s="30"/>
      <c r="J205" s="31">
        <v>2</v>
      </c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Q205" s="16"/>
    </row>
    <row r="206" spans="1:43">
      <c r="A206" s="28" t="s">
        <v>292</v>
      </c>
      <c r="B206" s="29"/>
      <c r="C206" s="30"/>
      <c r="D206" s="29"/>
      <c r="E206" s="30" t="s">
        <v>51</v>
      </c>
      <c r="F206" s="29" t="s">
        <v>51</v>
      </c>
      <c r="G206" s="30"/>
      <c r="H206" s="29"/>
      <c r="I206" s="30"/>
      <c r="J206" s="31">
        <v>2</v>
      </c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Q206" s="16"/>
    </row>
    <row r="207" spans="1:43">
      <c r="A207" s="28" t="s">
        <v>293</v>
      </c>
      <c r="B207" s="29"/>
      <c r="C207" s="30"/>
      <c r="D207" s="29"/>
      <c r="E207" s="30"/>
      <c r="F207" s="29"/>
      <c r="G207" s="30"/>
      <c r="H207" s="29" t="s">
        <v>10</v>
      </c>
      <c r="I207" s="30" t="s">
        <v>10</v>
      </c>
      <c r="J207" s="31">
        <v>2</v>
      </c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Q207" s="16"/>
    </row>
    <row r="208" spans="1:43">
      <c r="A208" s="173" t="s">
        <v>294</v>
      </c>
      <c r="B208" s="173"/>
      <c r="C208" s="173"/>
      <c r="D208" s="173"/>
      <c r="E208" s="173"/>
      <c r="F208" s="173"/>
      <c r="G208" s="173"/>
      <c r="H208" s="173"/>
      <c r="I208" s="173"/>
      <c r="J208" s="173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Q208" s="16"/>
    </row>
    <row r="209" spans="1:43">
      <c r="A209" s="21" t="s">
        <v>49</v>
      </c>
      <c r="B209" s="22">
        <v>1990</v>
      </c>
      <c r="C209" s="22">
        <v>1994</v>
      </c>
      <c r="D209" s="22">
        <v>1998</v>
      </c>
      <c r="E209" s="22">
        <v>2002</v>
      </c>
      <c r="F209" s="22">
        <v>2006</v>
      </c>
      <c r="G209" s="22">
        <v>2010</v>
      </c>
      <c r="H209" s="22">
        <v>2014</v>
      </c>
      <c r="I209" s="22">
        <v>2018</v>
      </c>
      <c r="J209" s="23" t="s">
        <v>1</v>
      </c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Q209" s="16"/>
    </row>
    <row r="210" spans="1:43">
      <c r="A210" s="28" t="s">
        <v>295</v>
      </c>
      <c r="B210" s="29" t="s">
        <v>3</v>
      </c>
      <c r="C210" s="30"/>
      <c r="D210" s="29"/>
      <c r="E210" s="30"/>
      <c r="F210" s="29"/>
      <c r="G210" s="30"/>
      <c r="H210" s="29"/>
      <c r="I210" s="30"/>
      <c r="J210" s="31">
        <v>1</v>
      </c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Q210" s="16"/>
    </row>
    <row r="211" spans="1:43">
      <c r="A211" s="28" t="s">
        <v>296</v>
      </c>
      <c r="B211" s="29" t="s">
        <v>3</v>
      </c>
      <c r="C211" s="30"/>
      <c r="D211" s="29"/>
      <c r="E211" s="30"/>
      <c r="F211" s="29"/>
      <c r="G211" s="30"/>
      <c r="H211" s="29"/>
      <c r="I211" s="30"/>
      <c r="J211" s="31">
        <v>1</v>
      </c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Q211" s="16"/>
    </row>
    <row r="212" spans="1:43">
      <c r="A212" s="28" t="s">
        <v>297</v>
      </c>
      <c r="B212" s="29" t="s">
        <v>51</v>
      </c>
      <c r="C212" s="30" t="s">
        <v>51</v>
      </c>
      <c r="D212" s="29"/>
      <c r="E212" s="30"/>
      <c r="F212" s="29"/>
      <c r="G212" s="30"/>
      <c r="H212" s="29"/>
      <c r="I212" s="30"/>
      <c r="J212" s="31">
        <v>1</v>
      </c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Q212" s="16"/>
    </row>
    <row r="213" spans="1:43">
      <c r="A213" s="28" t="s">
        <v>298</v>
      </c>
      <c r="B213" s="29"/>
      <c r="C213" s="30" t="s">
        <v>3</v>
      </c>
      <c r="D213" s="29" t="s">
        <v>3</v>
      </c>
      <c r="E213" s="30"/>
      <c r="F213" s="29"/>
      <c r="G213" s="30"/>
      <c r="H213" s="29"/>
      <c r="I213" s="30"/>
      <c r="J213" s="31">
        <v>1</v>
      </c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Q213" s="16"/>
    </row>
    <row r="214" spans="1:43">
      <c r="A214" s="28" t="s">
        <v>299</v>
      </c>
      <c r="B214" s="29"/>
      <c r="C214" s="30" t="s">
        <v>3</v>
      </c>
      <c r="D214" s="29" t="s">
        <v>3</v>
      </c>
      <c r="E214" s="30"/>
      <c r="F214" s="29"/>
      <c r="G214" s="30"/>
      <c r="H214" s="29"/>
      <c r="I214" s="30"/>
      <c r="J214" s="31">
        <v>1</v>
      </c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Q214" s="16"/>
    </row>
    <row r="215" spans="1:43">
      <c r="A215" s="28" t="s">
        <v>300</v>
      </c>
      <c r="B215" s="29"/>
      <c r="C215" s="30"/>
      <c r="D215" s="29" t="s">
        <v>3</v>
      </c>
      <c r="E215" s="30" t="s">
        <v>3</v>
      </c>
      <c r="F215" s="29"/>
      <c r="G215" s="30"/>
      <c r="H215" s="29"/>
      <c r="I215" s="30"/>
      <c r="J215" s="31">
        <v>1</v>
      </c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Q215" s="16"/>
    </row>
    <row r="216" spans="1:43">
      <c r="A216" s="28" t="s">
        <v>301</v>
      </c>
      <c r="B216" s="29"/>
      <c r="C216" s="30"/>
      <c r="D216" s="29"/>
      <c r="E216" s="30" t="s">
        <v>51</v>
      </c>
      <c r="F216" s="29" t="s">
        <v>4</v>
      </c>
      <c r="G216" s="30" t="s">
        <v>4</v>
      </c>
      <c r="H216" s="29" t="s">
        <v>4</v>
      </c>
      <c r="I216" s="30"/>
      <c r="J216" s="31">
        <v>2</v>
      </c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Q216" s="16"/>
    </row>
    <row r="217" spans="1:43">
      <c r="A217" s="28" t="s">
        <v>302</v>
      </c>
      <c r="B217" s="29"/>
      <c r="C217" s="30"/>
      <c r="D217" s="29"/>
      <c r="E217" s="30" t="s">
        <v>6</v>
      </c>
      <c r="F217" s="29" t="s">
        <v>6</v>
      </c>
      <c r="G217" s="30" t="s">
        <v>10</v>
      </c>
      <c r="H217" s="29" t="s">
        <v>10</v>
      </c>
      <c r="I217" s="30"/>
      <c r="J217" s="31">
        <v>2</v>
      </c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Q217" s="16"/>
    </row>
    <row r="218" spans="1:43">
      <c r="A218" s="28" t="s">
        <v>303</v>
      </c>
      <c r="B218" s="29"/>
      <c r="C218" s="30"/>
      <c r="D218" s="29"/>
      <c r="E218" s="30"/>
      <c r="F218" s="29" t="s">
        <v>6</v>
      </c>
      <c r="G218" s="30" t="s">
        <v>6</v>
      </c>
      <c r="H218" s="29"/>
      <c r="I218" s="30"/>
      <c r="J218" s="31">
        <v>1</v>
      </c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Q218" s="16"/>
    </row>
    <row r="219" spans="1:43">
      <c r="A219" s="28" t="s">
        <v>304</v>
      </c>
      <c r="B219" s="29"/>
      <c r="C219" s="30"/>
      <c r="D219" s="29"/>
      <c r="E219" s="30"/>
      <c r="F219" s="29"/>
      <c r="G219" s="30"/>
      <c r="H219" s="29" t="s">
        <v>4</v>
      </c>
      <c r="I219" s="30" t="s">
        <v>4</v>
      </c>
      <c r="J219" s="31">
        <v>1</v>
      </c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Q219" s="16"/>
    </row>
    <row r="220" spans="1:43">
      <c r="A220" s="173" t="s">
        <v>305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Q220" s="16"/>
    </row>
    <row r="221" spans="1:43">
      <c r="A221" s="21" t="s">
        <v>49</v>
      </c>
      <c r="B221" s="22">
        <v>1990</v>
      </c>
      <c r="C221" s="22">
        <v>1994</v>
      </c>
      <c r="D221" s="22">
        <v>1998</v>
      </c>
      <c r="E221" s="22">
        <v>2002</v>
      </c>
      <c r="F221" s="22">
        <v>2006</v>
      </c>
      <c r="G221" s="22">
        <v>2010</v>
      </c>
      <c r="H221" s="22">
        <v>2014</v>
      </c>
      <c r="I221" s="22">
        <v>2018</v>
      </c>
      <c r="J221" s="23" t="s">
        <v>1</v>
      </c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Q221" s="16"/>
    </row>
    <row r="222" spans="1:43">
      <c r="A222" s="28" t="s">
        <v>306</v>
      </c>
      <c r="B222" s="29" t="s">
        <v>51</v>
      </c>
      <c r="C222" s="30" t="s">
        <v>51</v>
      </c>
      <c r="D222" s="29"/>
      <c r="E222" s="30"/>
      <c r="F222" s="29"/>
      <c r="G222" s="30"/>
      <c r="H222" s="29"/>
      <c r="I222" s="30"/>
      <c r="J222" s="31">
        <v>1</v>
      </c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Q222" s="16"/>
    </row>
    <row r="223" spans="1:43">
      <c r="A223" s="28" t="s">
        <v>307</v>
      </c>
      <c r="B223" s="29" t="s">
        <v>3</v>
      </c>
      <c r="C223" s="30" t="s">
        <v>3</v>
      </c>
      <c r="D223" s="29" t="s">
        <v>3</v>
      </c>
      <c r="E223" s="30" t="s">
        <v>64</v>
      </c>
      <c r="F223" s="29" t="s">
        <v>64</v>
      </c>
      <c r="G223" s="30"/>
      <c r="H223" s="29"/>
      <c r="I223" s="30"/>
      <c r="J223" s="31">
        <v>3</v>
      </c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Q223" s="16"/>
    </row>
    <row r="224" spans="1:43">
      <c r="A224" s="28" t="s">
        <v>308</v>
      </c>
      <c r="B224" s="29" t="s">
        <v>3</v>
      </c>
      <c r="C224" s="30"/>
      <c r="D224" s="29"/>
      <c r="E224" s="30"/>
      <c r="F224" s="29"/>
      <c r="G224" s="30"/>
      <c r="H224" s="29"/>
      <c r="I224" s="30"/>
      <c r="J224" s="31">
        <v>1</v>
      </c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Q224" s="16"/>
    </row>
    <row r="225" spans="1:43">
      <c r="A225" s="28" t="s">
        <v>309</v>
      </c>
      <c r="B225" s="29"/>
      <c r="C225" s="30" t="s">
        <v>6</v>
      </c>
      <c r="D225" s="29" t="s">
        <v>6</v>
      </c>
      <c r="E225" s="30"/>
      <c r="F225" s="29"/>
      <c r="G225" s="30"/>
      <c r="H225" s="29"/>
      <c r="I225" s="30"/>
      <c r="J225" s="31">
        <v>1</v>
      </c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Q225" s="16"/>
    </row>
    <row r="226" spans="1:43">
      <c r="A226" s="28" t="s">
        <v>310</v>
      </c>
      <c r="B226" s="29"/>
      <c r="C226" s="30"/>
      <c r="D226" s="29" t="s">
        <v>6</v>
      </c>
      <c r="E226" s="30" t="s">
        <v>6</v>
      </c>
      <c r="F226" s="29"/>
      <c r="G226" s="30"/>
      <c r="H226" s="29"/>
      <c r="I226" s="30"/>
      <c r="J226" s="31">
        <v>1</v>
      </c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Q226" s="16"/>
    </row>
    <row r="227" spans="1:43">
      <c r="A227" s="28" t="s">
        <v>311</v>
      </c>
      <c r="B227" s="29"/>
      <c r="C227" s="30"/>
      <c r="D227" s="29"/>
      <c r="E227" s="30" t="s">
        <v>3</v>
      </c>
      <c r="F227" s="29" t="s">
        <v>3</v>
      </c>
      <c r="G227" s="30" t="s">
        <v>13</v>
      </c>
      <c r="H227" s="29" t="s">
        <v>13</v>
      </c>
      <c r="I227" s="30"/>
      <c r="J227" s="31">
        <v>2</v>
      </c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Q227" s="16"/>
    </row>
    <row r="228" spans="1:43">
      <c r="A228" s="28" t="s">
        <v>312</v>
      </c>
      <c r="B228" s="29"/>
      <c r="C228" s="30"/>
      <c r="D228" s="29"/>
      <c r="E228" s="30"/>
      <c r="F228" s="29" t="s">
        <v>10</v>
      </c>
      <c r="G228" s="30" t="s">
        <v>10</v>
      </c>
      <c r="H228" s="29"/>
      <c r="I228" s="30"/>
      <c r="J228" s="31">
        <v>1</v>
      </c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Q228" s="16"/>
    </row>
    <row r="229" spans="1:43">
      <c r="A229" s="28" t="s">
        <v>313</v>
      </c>
      <c r="B229" s="29"/>
      <c r="C229" s="30"/>
      <c r="D229" s="29"/>
      <c r="E229" s="30"/>
      <c r="F229" s="29"/>
      <c r="G229" s="30" t="s">
        <v>3</v>
      </c>
      <c r="H229" s="29" t="s">
        <v>3</v>
      </c>
      <c r="I229" s="30"/>
      <c r="J229" s="31">
        <v>1</v>
      </c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Q229" s="16"/>
    </row>
    <row r="230" spans="1:43">
      <c r="A230" s="28" t="s">
        <v>314</v>
      </c>
      <c r="B230" s="29"/>
      <c r="C230" s="30"/>
      <c r="D230" s="29"/>
      <c r="E230" s="30"/>
      <c r="F230" s="29"/>
      <c r="G230" s="30"/>
      <c r="H230" s="29" t="s">
        <v>3</v>
      </c>
      <c r="I230" s="30" t="s">
        <v>3</v>
      </c>
      <c r="J230" s="31">
        <v>1</v>
      </c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Q230" s="16"/>
    </row>
    <row r="231" spans="1:43">
      <c r="A231" s="173" t="s">
        <v>315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Q231" s="16"/>
    </row>
    <row r="232" spans="1:43">
      <c r="A232" s="21" t="s">
        <v>49</v>
      </c>
      <c r="B232" s="22">
        <v>1990</v>
      </c>
      <c r="C232" s="22">
        <v>1994</v>
      </c>
      <c r="D232" s="22">
        <v>1998</v>
      </c>
      <c r="E232" s="22">
        <v>2002</v>
      </c>
      <c r="F232" s="22">
        <v>2006</v>
      </c>
      <c r="G232" s="22">
        <v>2010</v>
      </c>
      <c r="H232" s="22">
        <v>2014</v>
      </c>
      <c r="I232" s="22">
        <v>2018</v>
      </c>
      <c r="J232" s="23" t="s">
        <v>1</v>
      </c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Q232" s="16"/>
    </row>
    <row r="233" spans="1:43">
      <c r="A233" s="28" t="s">
        <v>316</v>
      </c>
      <c r="B233" s="29" t="s">
        <v>9</v>
      </c>
      <c r="C233" s="30" t="s">
        <v>9</v>
      </c>
      <c r="D233" s="29"/>
      <c r="E233" s="30"/>
      <c r="F233" s="29"/>
      <c r="G233" s="30"/>
      <c r="H233" s="29"/>
      <c r="I233" s="30"/>
      <c r="J233" s="31">
        <v>1</v>
      </c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Q233" s="16"/>
    </row>
    <row r="234" spans="1:43">
      <c r="A234" s="28" t="s">
        <v>317</v>
      </c>
      <c r="B234" s="29" t="s">
        <v>8</v>
      </c>
      <c r="C234" s="30"/>
      <c r="D234" s="29"/>
      <c r="E234" s="30"/>
      <c r="F234" s="29"/>
      <c r="G234" s="30"/>
      <c r="H234" s="29"/>
      <c r="I234" s="30"/>
      <c r="J234" s="31">
        <v>1</v>
      </c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Q234" s="16"/>
    </row>
    <row r="235" spans="1:43">
      <c r="A235" s="28" t="s">
        <v>318</v>
      </c>
      <c r="B235" s="29" t="s">
        <v>3</v>
      </c>
      <c r="C235" s="30"/>
      <c r="D235" s="29"/>
      <c r="E235" s="30"/>
      <c r="F235" s="29"/>
      <c r="G235" s="30"/>
      <c r="H235" s="29"/>
      <c r="I235" s="30"/>
      <c r="J235" s="31">
        <v>1</v>
      </c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Q235" s="16"/>
    </row>
    <row r="236" spans="1:43">
      <c r="A236" s="28" t="s">
        <v>319</v>
      </c>
      <c r="B236" s="29"/>
      <c r="C236" s="30" t="s">
        <v>12</v>
      </c>
      <c r="D236" s="29" t="s">
        <v>12</v>
      </c>
      <c r="E236" s="30"/>
      <c r="F236" s="29"/>
      <c r="G236" s="30"/>
      <c r="H236" s="29"/>
      <c r="I236" s="30"/>
      <c r="J236" s="31">
        <v>1</v>
      </c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Q236" s="16"/>
    </row>
    <row r="237" spans="1:43">
      <c r="A237" s="28" t="s">
        <v>320</v>
      </c>
      <c r="B237" s="29"/>
      <c r="C237" s="30" t="s">
        <v>5</v>
      </c>
      <c r="D237" s="29" t="s">
        <v>5</v>
      </c>
      <c r="E237" s="30"/>
      <c r="F237" s="29"/>
      <c r="G237" s="30"/>
      <c r="H237" s="29"/>
      <c r="I237" s="30"/>
      <c r="J237" s="31">
        <v>1</v>
      </c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Q237" s="16"/>
    </row>
    <row r="238" spans="1:43">
      <c r="A238" s="28" t="s">
        <v>321</v>
      </c>
      <c r="B238" s="29"/>
      <c r="C238" s="30"/>
      <c r="D238" s="29" t="s">
        <v>3</v>
      </c>
      <c r="E238" s="30" t="s">
        <v>3</v>
      </c>
      <c r="F238" s="29"/>
      <c r="G238" s="30"/>
      <c r="H238" s="29"/>
      <c r="I238" s="30"/>
      <c r="J238" s="31">
        <v>1</v>
      </c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Q238" s="16"/>
    </row>
    <row r="239" spans="1:43">
      <c r="A239" s="28" t="s">
        <v>322</v>
      </c>
      <c r="B239" s="29"/>
      <c r="C239" s="30"/>
      <c r="D239" s="29"/>
      <c r="E239" s="30" t="s">
        <v>5</v>
      </c>
      <c r="F239" s="29" t="s">
        <v>5</v>
      </c>
      <c r="G239" s="30" t="s">
        <v>8</v>
      </c>
      <c r="H239" s="29" t="s">
        <v>16</v>
      </c>
      <c r="I239" s="30"/>
      <c r="J239" s="31">
        <v>2</v>
      </c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Q239" s="16"/>
    </row>
    <row r="240" spans="1:43">
      <c r="A240" s="28" t="s">
        <v>323</v>
      </c>
      <c r="B240" s="29"/>
      <c r="C240" s="30"/>
      <c r="D240" s="29"/>
      <c r="E240" s="30" t="s">
        <v>51</v>
      </c>
      <c r="F240" s="29" t="s">
        <v>51</v>
      </c>
      <c r="G240" s="30"/>
      <c r="H240" s="29"/>
      <c r="I240" s="30"/>
      <c r="J240" s="31">
        <v>1</v>
      </c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Q240" s="16"/>
    </row>
    <row r="241" spans="1:43">
      <c r="A241" s="28" t="s">
        <v>324</v>
      </c>
      <c r="B241" s="29"/>
      <c r="C241" s="30"/>
      <c r="D241" s="29"/>
      <c r="E241" s="30"/>
      <c r="F241" s="29" t="s">
        <v>3</v>
      </c>
      <c r="G241" s="30" t="s">
        <v>3</v>
      </c>
      <c r="H241" s="29"/>
      <c r="I241" s="30"/>
      <c r="J241" s="31">
        <v>1</v>
      </c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Q241" s="16"/>
    </row>
    <row r="242" spans="1:43">
      <c r="A242" s="28" t="s">
        <v>325</v>
      </c>
      <c r="B242" s="29"/>
      <c r="C242" s="30"/>
      <c r="D242" s="29"/>
      <c r="E242" s="30"/>
      <c r="F242" s="29"/>
      <c r="G242" s="30" t="s">
        <v>10</v>
      </c>
      <c r="H242" s="29" t="s">
        <v>10</v>
      </c>
      <c r="I242" s="30"/>
      <c r="J242" s="31">
        <v>1</v>
      </c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Q242" s="16"/>
    </row>
    <row r="243" spans="1:43">
      <c r="A243" s="28" t="s">
        <v>326</v>
      </c>
      <c r="B243" s="29"/>
      <c r="C243" s="30"/>
      <c r="D243" s="29"/>
      <c r="E243" s="30"/>
      <c r="F243" s="29"/>
      <c r="G243" s="30"/>
      <c r="H243" s="29" t="s">
        <v>8</v>
      </c>
      <c r="I243" s="30" t="s">
        <v>8</v>
      </c>
      <c r="J243" s="31">
        <v>1</v>
      </c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Q243" s="16"/>
    </row>
    <row r="244" spans="1:43">
      <c r="A244" s="173" t="s">
        <v>327</v>
      </c>
      <c r="B244" s="173"/>
      <c r="C244" s="173"/>
      <c r="D244" s="173"/>
      <c r="E244" s="173"/>
      <c r="F244" s="173"/>
      <c r="G244" s="173"/>
      <c r="H244" s="173"/>
      <c r="I244" s="173"/>
      <c r="J244" s="173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Q244" s="16"/>
    </row>
    <row r="245" spans="1:43">
      <c r="A245" s="21" t="s">
        <v>49</v>
      </c>
      <c r="B245" s="22">
        <v>1990</v>
      </c>
      <c r="C245" s="22">
        <v>1994</v>
      </c>
      <c r="D245" s="22">
        <v>1998</v>
      </c>
      <c r="E245" s="22">
        <v>2002</v>
      </c>
      <c r="F245" s="22">
        <v>2006</v>
      </c>
      <c r="G245" s="22">
        <v>2010</v>
      </c>
      <c r="H245" s="22">
        <v>2014</v>
      </c>
      <c r="I245" s="22">
        <v>2018</v>
      </c>
      <c r="J245" s="23" t="s">
        <v>1</v>
      </c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Q245" s="16"/>
    </row>
    <row r="246" spans="1:43">
      <c r="A246" s="28" t="s">
        <v>328</v>
      </c>
      <c r="B246" s="29" t="s">
        <v>6</v>
      </c>
      <c r="C246" s="30" t="s">
        <v>6</v>
      </c>
      <c r="D246" s="29"/>
      <c r="E246" s="30"/>
      <c r="F246" s="29"/>
      <c r="G246" s="30"/>
      <c r="H246" s="29"/>
      <c r="I246" s="30"/>
      <c r="J246" s="31">
        <v>1</v>
      </c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Q246" s="16"/>
    </row>
    <row r="247" spans="1:43">
      <c r="A247" s="28" t="s">
        <v>329</v>
      </c>
      <c r="B247" s="29" t="s">
        <v>3</v>
      </c>
      <c r="C247" s="30"/>
      <c r="D247" s="29"/>
      <c r="E247" s="30"/>
      <c r="F247" s="29"/>
      <c r="G247" s="30"/>
      <c r="H247" s="29"/>
      <c r="I247" s="30"/>
      <c r="J247" s="31">
        <v>1</v>
      </c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Q247" s="16"/>
    </row>
    <row r="248" spans="1:43">
      <c r="A248" s="28" t="s">
        <v>330</v>
      </c>
      <c r="B248" s="29" t="s">
        <v>3</v>
      </c>
      <c r="C248" s="30"/>
      <c r="D248" s="29"/>
      <c r="E248" s="30"/>
      <c r="F248" s="29"/>
      <c r="G248" s="30"/>
      <c r="H248" s="29"/>
      <c r="I248" s="30"/>
      <c r="J248" s="31">
        <v>1</v>
      </c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Q248" s="16"/>
    </row>
    <row r="249" spans="1:43">
      <c r="A249" s="28" t="s">
        <v>331</v>
      </c>
      <c r="B249" s="29"/>
      <c r="C249" s="30" t="s">
        <v>8</v>
      </c>
      <c r="D249" s="29" t="s">
        <v>8</v>
      </c>
      <c r="E249" s="30"/>
      <c r="F249" s="29"/>
      <c r="G249" s="30"/>
      <c r="H249" s="29"/>
      <c r="I249" s="30"/>
      <c r="J249" s="31">
        <v>1</v>
      </c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Q249" s="16"/>
    </row>
    <row r="250" spans="1:43">
      <c r="A250" s="28" t="s">
        <v>332</v>
      </c>
      <c r="B250" s="29"/>
      <c r="C250" s="30" t="s">
        <v>6</v>
      </c>
      <c r="D250" s="29" t="s">
        <v>6</v>
      </c>
      <c r="E250" s="30"/>
      <c r="F250" s="29"/>
      <c r="G250" s="30"/>
      <c r="H250" s="29"/>
      <c r="I250" s="30"/>
      <c r="J250" s="31">
        <v>1</v>
      </c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Q250" s="16"/>
    </row>
    <row r="251" spans="1:43">
      <c r="A251" s="28" t="s">
        <v>333</v>
      </c>
      <c r="B251" s="29"/>
      <c r="C251" s="30"/>
      <c r="D251" s="29" t="s">
        <v>6</v>
      </c>
      <c r="E251" s="30" t="s">
        <v>6</v>
      </c>
      <c r="F251" s="29"/>
      <c r="G251" s="30"/>
      <c r="H251" s="29"/>
      <c r="I251" s="30"/>
      <c r="J251" s="31">
        <v>1</v>
      </c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Q251" s="16"/>
    </row>
    <row r="252" spans="1:43">
      <c r="A252" s="28" t="s">
        <v>334</v>
      </c>
      <c r="B252" s="29"/>
      <c r="C252" s="30"/>
      <c r="D252" s="29"/>
      <c r="E252" s="30" t="s">
        <v>16</v>
      </c>
      <c r="F252" s="29" t="s">
        <v>16</v>
      </c>
      <c r="G252" s="30"/>
      <c r="H252" s="29"/>
      <c r="I252" s="30"/>
      <c r="J252" s="31">
        <v>1</v>
      </c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Q252" s="16"/>
    </row>
    <row r="253" spans="1:43">
      <c r="A253" s="28" t="s">
        <v>335</v>
      </c>
      <c r="B253" s="29"/>
      <c r="C253" s="30"/>
      <c r="D253" s="29"/>
      <c r="E253" s="30" t="s">
        <v>6</v>
      </c>
      <c r="F253" s="29" t="s">
        <v>6</v>
      </c>
      <c r="G253" s="30"/>
      <c r="H253" s="29" t="s">
        <v>6</v>
      </c>
      <c r="I253" s="30" t="s">
        <v>6</v>
      </c>
      <c r="J253" s="31">
        <v>2</v>
      </c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Q253" s="16"/>
    </row>
    <row r="254" spans="1:43">
      <c r="A254" s="28" t="s">
        <v>336</v>
      </c>
      <c r="B254" s="29"/>
      <c r="C254" s="30"/>
      <c r="D254" s="29"/>
      <c r="E254" s="30"/>
      <c r="F254" s="29" t="s">
        <v>14</v>
      </c>
      <c r="G254" s="30" t="s">
        <v>14</v>
      </c>
      <c r="H254" s="29"/>
      <c r="I254" s="30"/>
      <c r="J254" s="31">
        <v>1</v>
      </c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Q254" s="16"/>
    </row>
    <row r="255" spans="1:43">
      <c r="A255" s="28" t="s">
        <v>337</v>
      </c>
      <c r="B255" s="29"/>
      <c r="C255" s="30"/>
      <c r="D255" s="29"/>
      <c r="E255" s="30"/>
      <c r="F255" s="29"/>
      <c r="G255" s="30" t="s">
        <v>3</v>
      </c>
      <c r="H255" s="29" t="s">
        <v>3</v>
      </c>
      <c r="I255" s="30"/>
      <c r="J255" s="31">
        <v>1</v>
      </c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Q255" s="16"/>
    </row>
    <row r="256" spans="1:43">
      <c r="A256" s="28" t="s">
        <v>338</v>
      </c>
      <c r="B256" s="29"/>
      <c r="C256" s="30"/>
      <c r="D256" s="29"/>
      <c r="E256" s="30"/>
      <c r="F256" s="29"/>
      <c r="G256" s="30" t="s">
        <v>5</v>
      </c>
      <c r="H256" s="29" t="s">
        <v>5</v>
      </c>
      <c r="I256" s="30"/>
      <c r="J256" s="31">
        <v>1</v>
      </c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Q256" s="16"/>
    </row>
    <row r="257" spans="1:43">
      <c r="A257" s="173" t="s">
        <v>339</v>
      </c>
      <c r="B257" s="173"/>
      <c r="C257" s="173"/>
      <c r="D257" s="173"/>
      <c r="E257" s="173"/>
      <c r="F257" s="173"/>
      <c r="G257" s="173"/>
      <c r="H257" s="173"/>
      <c r="I257" s="173"/>
      <c r="J257" s="173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Q257" s="16"/>
    </row>
    <row r="258" spans="1:43">
      <c r="A258" s="21" t="s">
        <v>49</v>
      </c>
      <c r="B258" s="22">
        <v>1990</v>
      </c>
      <c r="C258" s="22">
        <v>1994</v>
      </c>
      <c r="D258" s="22">
        <v>1998</v>
      </c>
      <c r="E258" s="22">
        <v>2002</v>
      </c>
      <c r="F258" s="22">
        <v>2006</v>
      </c>
      <c r="G258" s="22">
        <v>2010</v>
      </c>
      <c r="H258" s="22">
        <v>2014</v>
      </c>
      <c r="I258" s="22">
        <v>2018</v>
      </c>
      <c r="J258" s="23" t="s">
        <v>1</v>
      </c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Q258" s="16"/>
    </row>
    <row r="259" spans="1:43">
      <c r="A259" s="28" t="s">
        <v>340</v>
      </c>
      <c r="B259" s="29" t="s">
        <v>3</v>
      </c>
      <c r="C259" s="30"/>
      <c r="D259" s="29"/>
      <c r="E259" s="30"/>
      <c r="F259" s="29"/>
      <c r="G259" s="30"/>
      <c r="H259" s="29"/>
      <c r="I259" s="30"/>
      <c r="J259" s="31">
        <v>1</v>
      </c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Q259" s="16"/>
    </row>
    <row r="260" spans="1:43">
      <c r="A260" s="28" t="s">
        <v>341</v>
      </c>
      <c r="B260" s="29" t="s">
        <v>3</v>
      </c>
      <c r="C260" s="30"/>
      <c r="D260" s="29"/>
      <c r="E260" s="30"/>
      <c r="F260" s="29"/>
      <c r="G260" s="30"/>
      <c r="H260" s="29"/>
      <c r="I260" s="30"/>
      <c r="J260" s="31">
        <v>1</v>
      </c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Q260" s="16"/>
    </row>
    <row r="261" spans="1:43">
      <c r="A261" s="28" t="s">
        <v>342</v>
      </c>
      <c r="B261" s="29" t="s">
        <v>51</v>
      </c>
      <c r="C261" s="30" t="s">
        <v>51</v>
      </c>
      <c r="D261" s="29"/>
      <c r="E261" s="30"/>
      <c r="F261" s="29"/>
      <c r="G261" s="30"/>
      <c r="H261" s="29"/>
      <c r="I261" s="30"/>
      <c r="J261" s="31">
        <v>1</v>
      </c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Q261" s="16"/>
    </row>
    <row r="262" spans="1:43">
      <c r="A262" s="28" t="s">
        <v>343</v>
      </c>
      <c r="B262" s="29"/>
      <c r="C262" s="30" t="s">
        <v>51</v>
      </c>
      <c r="D262" s="29" t="s">
        <v>51</v>
      </c>
      <c r="E262" s="30" t="s">
        <v>51</v>
      </c>
      <c r="F262" s="29" t="s">
        <v>51</v>
      </c>
      <c r="G262" s="30"/>
      <c r="H262" s="29"/>
      <c r="I262" s="30"/>
      <c r="J262" s="31">
        <v>2</v>
      </c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Q262" s="16"/>
    </row>
    <row r="263" spans="1:43">
      <c r="A263" s="28" t="s">
        <v>344</v>
      </c>
      <c r="B263" s="29"/>
      <c r="C263" s="30" t="s">
        <v>51</v>
      </c>
      <c r="D263" s="29" t="s">
        <v>51</v>
      </c>
      <c r="E263" s="30"/>
      <c r="F263" s="29"/>
      <c r="G263" s="30"/>
      <c r="H263" s="29"/>
      <c r="I263" s="30"/>
      <c r="J263" s="31">
        <v>1</v>
      </c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Q263" s="16"/>
    </row>
    <row r="264" spans="1:43">
      <c r="A264" s="28" t="s">
        <v>345</v>
      </c>
      <c r="B264" s="29"/>
      <c r="C264" s="30"/>
      <c r="D264" s="29" t="s">
        <v>51</v>
      </c>
      <c r="E264" s="30" t="s">
        <v>51</v>
      </c>
      <c r="F264" s="29"/>
      <c r="G264" s="30"/>
      <c r="H264" s="29"/>
      <c r="I264" s="30"/>
      <c r="J264" s="31">
        <v>1</v>
      </c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Q264" s="16"/>
    </row>
    <row r="265" spans="1:43">
      <c r="A265" s="28" t="s">
        <v>346</v>
      </c>
      <c r="B265" s="29"/>
      <c r="C265" s="30"/>
      <c r="D265" s="29"/>
      <c r="E265" s="30" t="s">
        <v>51</v>
      </c>
      <c r="F265" s="29" t="s">
        <v>51</v>
      </c>
      <c r="G265" s="30"/>
      <c r="H265" s="29"/>
      <c r="I265" s="30"/>
      <c r="J265" s="31">
        <v>1</v>
      </c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Q265" s="16"/>
    </row>
    <row r="266" spans="1:43">
      <c r="A266" s="28" t="s">
        <v>347</v>
      </c>
      <c r="B266" s="29"/>
      <c r="C266" s="30"/>
      <c r="D266" s="29"/>
      <c r="E266" s="30"/>
      <c r="F266" s="29" t="s">
        <v>8</v>
      </c>
      <c r="G266" s="30" t="s">
        <v>8</v>
      </c>
      <c r="H266" s="29"/>
      <c r="I266" s="30"/>
      <c r="J266" s="31">
        <v>1</v>
      </c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Q266" s="16"/>
    </row>
    <row r="267" spans="1:43">
      <c r="A267" s="28" t="s">
        <v>348</v>
      </c>
      <c r="B267" s="29"/>
      <c r="C267" s="30"/>
      <c r="D267" s="29"/>
      <c r="E267" s="30"/>
      <c r="F267" s="29"/>
      <c r="G267" s="30" t="s">
        <v>10</v>
      </c>
      <c r="H267" s="29" t="s">
        <v>10</v>
      </c>
      <c r="I267" s="30"/>
      <c r="J267" s="31">
        <v>1</v>
      </c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Q267" s="16"/>
    </row>
    <row r="268" spans="1:43">
      <c r="A268" s="28" t="s">
        <v>349</v>
      </c>
      <c r="B268" s="29"/>
      <c r="C268" s="30"/>
      <c r="D268" s="29"/>
      <c r="E268" s="30"/>
      <c r="F268" s="29"/>
      <c r="G268" s="30" t="s">
        <v>5</v>
      </c>
      <c r="H268" s="29" t="s">
        <v>5</v>
      </c>
      <c r="I268" s="30"/>
      <c r="J268" s="31">
        <v>1</v>
      </c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Q268" s="16"/>
    </row>
    <row r="269" spans="1:43">
      <c r="A269" s="28" t="s">
        <v>350</v>
      </c>
      <c r="B269" s="29"/>
      <c r="C269" s="30"/>
      <c r="D269" s="29"/>
      <c r="E269" s="30"/>
      <c r="F269" s="29"/>
      <c r="G269" s="30"/>
      <c r="H269" s="29" t="s">
        <v>17</v>
      </c>
      <c r="I269" s="30" t="s">
        <v>17</v>
      </c>
      <c r="J269" s="31">
        <v>1</v>
      </c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Q269" s="16"/>
    </row>
    <row r="270" spans="1:43">
      <c r="A270" s="173" t="s">
        <v>351</v>
      </c>
      <c r="B270" s="173"/>
      <c r="C270" s="173"/>
      <c r="D270" s="173"/>
      <c r="E270" s="173"/>
      <c r="F270" s="173"/>
      <c r="G270" s="173"/>
      <c r="H270" s="173"/>
      <c r="I270" s="173"/>
      <c r="J270" s="173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Q270" s="16"/>
    </row>
    <row r="271" spans="1:43">
      <c r="A271" s="21" t="s">
        <v>49</v>
      </c>
      <c r="B271" s="22">
        <v>1990</v>
      </c>
      <c r="C271" s="22">
        <v>1994</v>
      </c>
      <c r="D271" s="22">
        <v>1998</v>
      </c>
      <c r="E271" s="22">
        <v>2002</v>
      </c>
      <c r="F271" s="22">
        <v>2006</v>
      </c>
      <c r="G271" s="22">
        <v>2010</v>
      </c>
      <c r="H271" s="22">
        <v>2014</v>
      </c>
      <c r="I271" s="22">
        <v>2018</v>
      </c>
      <c r="J271" s="23" t="s">
        <v>1</v>
      </c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Q271" s="16"/>
    </row>
    <row r="272" spans="1:43">
      <c r="A272" s="28" t="s">
        <v>352</v>
      </c>
      <c r="B272" s="29" t="s">
        <v>3</v>
      </c>
      <c r="C272" s="30" t="s">
        <v>3</v>
      </c>
      <c r="D272" s="29" t="s">
        <v>3</v>
      </c>
      <c r="E272" s="30" t="s">
        <v>3</v>
      </c>
      <c r="F272" s="29" t="s">
        <v>3</v>
      </c>
      <c r="G272" s="30" t="s">
        <v>3</v>
      </c>
      <c r="H272" s="29"/>
      <c r="I272" s="30"/>
      <c r="J272" s="31">
        <v>3</v>
      </c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Q272" s="16"/>
    </row>
    <row r="273" spans="1:43">
      <c r="A273" s="28" t="s">
        <v>353</v>
      </c>
      <c r="B273" s="29" t="s">
        <v>9</v>
      </c>
      <c r="C273" s="30"/>
      <c r="D273" s="29"/>
      <c r="E273" s="30"/>
      <c r="F273" s="29"/>
      <c r="G273" s="30"/>
      <c r="H273" s="29"/>
      <c r="I273" s="30"/>
      <c r="J273" s="31">
        <v>1</v>
      </c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Q273" s="16"/>
    </row>
    <row r="274" spans="1:43">
      <c r="A274" s="28" t="s">
        <v>354</v>
      </c>
      <c r="B274" s="29" t="s">
        <v>51</v>
      </c>
      <c r="C274" s="30"/>
      <c r="D274" s="29"/>
      <c r="E274" s="30"/>
      <c r="F274" s="29"/>
      <c r="G274" s="30"/>
      <c r="H274" s="29"/>
      <c r="I274" s="30"/>
      <c r="J274" s="31">
        <v>1</v>
      </c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Q274" s="16"/>
    </row>
    <row r="275" spans="1:43">
      <c r="A275" s="28" t="s">
        <v>355</v>
      </c>
      <c r="B275" s="29"/>
      <c r="C275" s="30" t="s">
        <v>8</v>
      </c>
      <c r="D275" s="29" t="s">
        <v>8</v>
      </c>
      <c r="E275" s="30"/>
      <c r="F275" s="29"/>
      <c r="G275" s="30"/>
      <c r="H275" s="29"/>
      <c r="I275" s="30"/>
      <c r="J275" s="31">
        <v>1</v>
      </c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Q275" s="16"/>
    </row>
    <row r="276" spans="1:43">
      <c r="A276" s="28" t="s">
        <v>356</v>
      </c>
      <c r="B276" s="29"/>
      <c r="C276" s="30" t="s">
        <v>3</v>
      </c>
      <c r="D276" s="29" t="s">
        <v>3</v>
      </c>
      <c r="E276" s="30"/>
      <c r="F276" s="29"/>
      <c r="G276" s="30" t="s">
        <v>3</v>
      </c>
      <c r="H276" s="29" t="s">
        <v>3</v>
      </c>
      <c r="I276" s="30"/>
      <c r="J276" s="31">
        <v>2</v>
      </c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Q276" s="16"/>
    </row>
    <row r="277" spans="1:43">
      <c r="A277" s="28" t="s">
        <v>357</v>
      </c>
      <c r="B277" s="29"/>
      <c r="C277" s="30"/>
      <c r="D277" s="29"/>
      <c r="E277" s="30" t="s">
        <v>6</v>
      </c>
      <c r="F277" s="29" t="s">
        <v>6</v>
      </c>
      <c r="G277" s="30"/>
      <c r="H277" s="29"/>
      <c r="I277" s="30"/>
      <c r="J277" s="31">
        <v>1</v>
      </c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Q277" s="16"/>
    </row>
    <row r="278" spans="1:43">
      <c r="A278" s="28" t="s">
        <v>358</v>
      </c>
      <c r="B278" s="29"/>
      <c r="C278" s="30"/>
      <c r="D278" s="29"/>
      <c r="E278" s="30" t="s">
        <v>10</v>
      </c>
      <c r="F278" s="29" t="s">
        <v>10</v>
      </c>
      <c r="G278" s="30"/>
      <c r="H278" s="29"/>
      <c r="I278" s="30"/>
      <c r="J278" s="31">
        <v>1</v>
      </c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Q278" s="16"/>
    </row>
    <row r="279" spans="1:43">
      <c r="A279" s="28" t="s">
        <v>359</v>
      </c>
      <c r="B279" s="29"/>
      <c r="C279" s="30"/>
      <c r="D279" s="29"/>
      <c r="E279" s="30"/>
      <c r="F279" s="29"/>
      <c r="G279" s="30" t="s">
        <v>26</v>
      </c>
      <c r="H279" s="29" t="s">
        <v>26</v>
      </c>
      <c r="I279" s="30"/>
      <c r="J279" s="31">
        <v>1</v>
      </c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Q279" s="16"/>
    </row>
    <row r="280" spans="1:43">
      <c r="A280" s="28" t="s">
        <v>360</v>
      </c>
      <c r="B280" s="29"/>
      <c r="C280" s="30"/>
      <c r="D280" s="29"/>
      <c r="E280" s="30"/>
      <c r="F280" s="29"/>
      <c r="G280" s="30"/>
      <c r="H280" s="29" t="s">
        <v>4</v>
      </c>
      <c r="I280" s="30" t="s">
        <v>4</v>
      </c>
      <c r="J280" s="31">
        <v>1</v>
      </c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Q280" s="16"/>
    </row>
    <row r="281" spans="1:43">
      <c r="A281" s="173" t="s">
        <v>361</v>
      </c>
      <c r="B281" s="173"/>
      <c r="C281" s="173"/>
      <c r="D281" s="173"/>
      <c r="E281" s="173"/>
      <c r="F281" s="173"/>
      <c r="G281" s="173"/>
      <c r="H281" s="173"/>
      <c r="I281" s="173"/>
      <c r="J281" s="173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Q281" s="16"/>
    </row>
    <row r="282" spans="1:43">
      <c r="A282" s="21" t="s">
        <v>49</v>
      </c>
      <c r="B282" s="22">
        <v>1990</v>
      </c>
      <c r="C282" s="22">
        <v>1994</v>
      </c>
      <c r="D282" s="22">
        <v>1998</v>
      </c>
      <c r="E282" s="22">
        <v>2002</v>
      </c>
      <c r="F282" s="22">
        <v>2006</v>
      </c>
      <c r="G282" s="22">
        <v>2010</v>
      </c>
      <c r="H282" s="22">
        <v>2014</v>
      </c>
      <c r="I282" s="22">
        <v>2018</v>
      </c>
      <c r="J282" s="23" t="s">
        <v>1</v>
      </c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16"/>
    </row>
    <row r="283" spans="1:43">
      <c r="A283" s="28" t="s">
        <v>362</v>
      </c>
      <c r="B283" s="29" t="s">
        <v>22</v>
      </c>
      <c r="C283" s="30" t="s">
        <v>22</v>
      </c>
      <c r="D283" s="29"/>
      <c r="E283" s="30"/>
      <c r="F283" s="29"/>
      <c r="G283" s="30"/>
      <c r="H283" s="29"/>
      <c r="I283" s="30"/>
      <c r="J283" s="31">
        <v>1</v>
      </c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16"/>
    </row>
    <row r="284" spans="1:43">
      <c r="A284" s="28" t="s">
        <v>363</v>
      </c>
      <c r="B284" s="29" t="s">
        <v>3</v>
      </c>
      <c r="C284" s="30"/>
      <c r="D284" s="29"/>
      <c r="E284" s="30"/>
      <c r="F284" s="29"/>
      <c r="G284" s="30"/>
      <c r="H284" s="29"/>
      <c r="I284" s="30"/>
      <c r="J284" s="31">
        <v>1</v>
      </c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16"/>
    </row>
    <row r="285" spans="1:43">
      <c r="A285" s="28" t="s">
        <v>364</v>
      </c>
      <c r="B285" s="29" t="s">
        <v>3</v>
      </c>
      <c r="C285" s="30"/>
      <c r="D285" s="29"/>
      <c r="E285" s="30"/>
      <c r="F285" s="29"/>
      <c r="G285" s="30"/>
      <c r="H285" s="29"/>
      <c r="I285" s="30"/>
      <c r="J285" s="31">
        <v>1</v>
      </c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16"/>
    </row>
    <row r="286" spans="1:43">
      <c r="A286" s="28" t="s">
        <v>365</v>
      </c>
      <c r="B286" s="29"/>
      <c r="C286" s="30" t="s">
        <v>12</v>
      </c>
      <c r="D286" s="29" t="s">
        <v>12</v>
      </c>
      <c r="E286" s="30"/>
      <c r="F286" s="29"/>
      <c r="G286" s="30"/>
      <c r="H286" s="29"/>
      <c r="I286" s="30"/>
      <c r="J286" s="31">
        <v>1</v>
      </c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16"/>
    </row>
    <row r="287" spans="1:43">
      <c r="A287" s="28" t="s">
        <v>366</v>
      </c>
      <c r="B287" s="29"/>
      <c r="C287" s="30" t="s">
        <v>6</v>
      </c>
      <c r="D287" s="29" t="s">
        <v>6</v>
      </c>
      <c r="E287" s="30" t="s">
        <v>8</v>
      </c>
      <c r="F287" s="29" t="s">
        <v>8</v>
      </c>
      <c r="G287" s="30"/>
      <c r="H287" s="29"/>
      <c r="I287" s="30"/>
      <c r="J287" s="31">
        <v>2</v>
      </c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16"/>
    </row>
    <row r="288" spans="1:43">
      <c r="A288" s="28" t="s">
        <v>367</v>
      </c>
      <c r="B288" s="29"/>
      <c r="C288" s="30"/>
      <c r="D288" s="29" t="s">
        <v>3</v>
      </c>
      <c r="E288" s="30" t="s">
        <v>3</v>
      </c>
      <c r="F288" s="29"/>
      <c r="G288" s="30"/>
      <c r="H288" s="29"/>
      <c r="I288" s="30"/>
      <c r="J288" s="31">
        <v>1</v>
      </c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16"/>
    </row>
    <row r="289" spans="1:43">
      <c r="A289" s="28" t="s">
        <v>368</v>
      </c>
      <c r="B289" s="29"/>
      <c r="C289" s="30"/>
      <c r="D289" s="29"/>
      <c r="E289" s="30" t="s">
        <v>6</v>
      </c>
      <c r="F289" s="29" t="s">
        <v>6</v>
      </c>
      <c r="G289" s="30"/>
      <c r="H289" s="29"/>
      <c r="I289" s="30"/>
      <c r="J289" s="31">
        <v>1</v>
      </c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16"/>
    </row>
    <row r="290" spans="1:43">
      <c r="A290" s="28" t="s">
        <v>369</v>
      </c>
      <c r="B290" s="29"/>
      <c r="C290" s="30"/>
      <c r="D290" s="29"/>
      <c r="E290" s="30"/>
      <c r="F290" s="29" t="s">
        <v>64</v>
      </c>
      <c r="G290" s="30" t="s">
        <v>64</v>
      </c>
      <c r="H290" s="29"/>
      <c r="I290" s="30"/>
      <c r="J290" s="31">
        <v>1</v>
      </c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16"/>
    </row>
    <row r="291" spans="1:43">
      <c r="A291" s="28" t="s">
        <v>370</v>
      </c>
      <c r="B291" s="29"/>
      <c r="C291" s="30"/>
      <c r="D291" s="29"/>
      <c r="E291" s="30"/>
      <c r="F291" s="29"/>
      <c r="G291" s="30" t="s">
        <v>14</v>
      </c>
      <c r="H291" s="29" t="s">
        <v>14</v>
      </c>
      <c r="I291" s="30"/>
      <c r="J291" s="31">
        <v>1</v>
      </c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16"/>
    </row>
    <row r="292" spans="1:43">
      <c r="A292" s="28" t="s">
        <v>371</v>
      </c>
      <c r="B292" s="29"/>
      <c r="C292" s="30"/>
      <c r="D292" s="29"/>
      <c r="E292" s="30"/>
      <c r="F292" s="29"/>
      <c r="G292" s="30" t="s">
        <v>3</v>
      </c>
      <c r="H292" s="29" t="s">
        <v>3</v>
      </c>
      <c r="I292" s="30"/>
      <c r="J292" s="31">
        <v>1</v>
      </c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16"/>
    </row>
    <row r="293" spans="1:43">
      <c r="A293" s="49" t="s">
        <v>372</v>
      </c>
      <c r="B293" s="50"/>
      <c r="C293" s="49"/>
      <c r="D293" s="50"/>
      <c r="E293" s="49"/>
      <c r="F293" s="50"/>
      <c r="G293" s="49"/>
      <c r="H293" s="50" t="s">
        <v>17</v>
      </c>
      <c r="I293" s="49" t="s">
        <v>17</v>
      </c>
      <c r="J293" s="36">
        <v>1</v>
      </c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16"/>
    </row>
    <row r="294" spans="1:43">
      <c r="A294" s="173" t="s">
        <v>373</v>
      </c>
      <c r="B294" s="173"/>
      <c r="C294" s="173"/>
      <c r="D294" s="173"/>
      <c r="E294" s="173"/>
      <c r="F294" s="173"/>
      <c r="G294" s="173"/>
      <c r="H294" s="173"/>
      <c r="I294" s="173"/>
      <c r="J294" s="173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16"/>
    </row>
    <row r="295" spans="1:43">
      <c r="A295" s="51" t="s">
        <v>49</v>
      </c>
      <c r="B295" s="51">
        <v>1990</v>
      </c>
      <c r="C295" s="51">
        <v>1994</v>
      </c>
      <c r="D295" s="51">
        <v>1998</v>
      </c>
      <c r="E295" s="51">
        <v>2002</v>
      </c>
      <c r="F295" s="51">
        <v>2006</v>
      </c>
      <c r="G295" s="51">
        <v>2010</v>
      </c>
      <c r="H295" s="51">
        <v>2014</v>
      </c>
      <c r="I295" s="51">
        <v>2018</v>
      </c>
      <c r="J295" s="52" t="s">
        <v>1</v>
      </c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16"/>
    </row>
    <row r="296" spans="1:43">
      <c r="A296" s="53" t="s">
        <v>374</v>
      </c>
      <c r="B296" s="54" t="s">
        <v>51</v>
      </c>
      <c r="C296" s="53" t="s">
        <v>51</v>
      </c>
      <c r="D296" s="54"/>
      <c r="E296" s="53"/>
      <c r="F296" s="54"/>
      <c r="G296" s="53"/>
      <c r="H296" s="54"/>
      <c r="I296" s="53"/>
      <c r="J296" s="9">
        <v>2</v>
      </c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16"/>
    </row>
    <row r="297" spans="1:43">
      <c r="A297" s="53" t="s">
        <v>375</v>
      </c>
      <c r="B297" s="54" t="s">
        <v>51</v>
      </c>
      <c r="C297" s="53"/>
      <c r="D297" s="54"/>
      <c r="E297" s="53"/>
      <c r="F297" s="54"/>
      <c r="G297" s="53"/>
      <c r="H297" s="54"/>
      <c r="I297" s="53"/>
      <c r="J297" s="9">
        <v>1</v>
      </c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16"/>
    </row>
    <row r="298" spans="1:43">
      <c r="A298" s="53" t="s">
        <v>376</v>
      </c>
      <c r="B298" s="54" t="s">
        <v>3</v>
      </c>
      <c r="C298" s="53" t="s">
        <v>6</v>
      </c>
      <c r="D298" s="54" t="s">
        <v>6</v>
      </c>
      <c r="E298" s="53" t="s">
        <v>6</v>
      </c>
      <c r="F298" s="54" t="s">
        <v>6</v>
      </c>
      <c r="G298" s="53"/>
      <c r="H298" s="54"/>
      <c r="I298" s="53"/>
      <c r="J298" s="9">
        <v>3</v>
      </c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</row>
    <row r="299" spans="1:43">
      <c r="A299" s="53" t="s">
        <v>377</v>
      </c>
      <c r="B299" s="54"/>
      <c r="C299" s="53" t="s">
        <v>3</v>
      </c>
      <c r="D299" s="54" t="s">
        <v>3</v>
      </c>
      <c r="E299" s="53" t="s">
        <v>3</v>
      </c>
      <c r="F299" s="54" t="s">
        <v>3</v>
      </c>
      <c r="G299" s="53" t="s">
        <v>3</v>
      </c>
      <c r="H299" s="54" t="s">
        <v>3</v>
      </c>
      <c r="I299" s="53"/>
      <c r="J299" s="9">
        <v>3</v>
      </c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</row>
    <row r="300" spans="1:43">
      <c r="A300" s="53" t="s">
        <v>378</v>
      </c>
      <c r="B300" s="54"/>
      <c r="C300" s="53"/>
      <c r="D300" s="54" t="s">
        <v>5</v>
      </c>
      <c r="E300" s="53" t="s">
        <v>5</v>
      </c>
      <c r="F300" s="54"/>
      <c r="G300" s="53"/>
      <c r="H300" s="54"/>
      <c r="I300" s="53"/>
      <c r="J300" s="9">
        <v>1</v>
      </c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</row>
    <row r="301" spans="1:43">
      <c r="A301" s="53" t="s">
        <v>379</v>
      </c>
      <c r="B301" s="54"/>
      <c r="C301" s="53"/>
      <c r="D301" s="54"/>
      <c r="E301" s="53"/>
      <c r="F301" s="54" t="s">
        <v>9</v>
      </c>
      <c r="G301" s="53" t="s">
        <v>9</v>
      </c>
      <c r="H301" s="54" t="s">
        <v>9</v>
      </c>
      <c r="I301" s="53" t="s">
        <v>9</v>
      </c>
      <c r="J301" s="9">
        <v>2</v>
      </c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</row>
    <row r="302" spans="1:43">
      <c r="A302" s="53" t="s">
        <v>380</v>
      </c>
      <c r="B302" s="54"/>
      <c r="C302" s="53"/>
      <c r="D302" s="54"/>
      <c r="E302" s="53"/>
      <c r="F302" s="54"/>
      <c r="G302" s="53" t="s">
        <v>12</v>
      </c>
      <c r="H302" s="54" t="s">
        <v>12</v>
      </c>
      <c r="I302" s="53"/>
      <c r="J302" s="9">
        <v>1</v>
      </c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</row>
    <row r="303" spans="1:43">
      <c r="A303" s="173" t="s">
        <v>381</v>
      </c>
      <c r="B303" s="173"/>
      <c r="C303" s="173"/>
      <c r="D303" s="173"/>
      <c r="E303" s="173"/>
      <c r="F303" s="173"/>
      <c r="G303" s="173"/>
      <c r="H303" s="173"/>
      <c r="I303" s="173"/>
      <c r="J303" s="173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</row>
    <row r="304" spans="1:43">
      <c r="A304" s="51" t="s">
        <v>49</v>
      </c>
      <c r="B304" s="51">
        <v>1990</v>
      </c>
      <c r="C304" s="51">
        <v>1994</v>
      </c>
      <c r="D304" s="51">
        <v>1998</v>
      </c>
      <c r="E304" s="51">
        <v>2002</v>
      </c>
      <c r="F304" s="51">
        <v>2006</v>
      </c>
      <c r="G304" s="51">
        <v>2010</v>
      </c>
      <c r="H304" s="51">
        <v>2014</v>
      </c>
      <c r="I304" s="51">
        <v>2018</v>
      </c>
      <c r="J304" s="52" t="s">
        <v>1</v>
      </c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</row>
    <row r="305" spans="1:43">
      <c r="A305" s="53" t="s">
        <v>382</v>
      </c>
      <c r="B305" s="54" t="s">
        <v>3</v>
      </c>
      <c r="C305" s="53"/>
      <c r="D305" s="54"/>
      <c r="E305" s="53"/>
      <c r="F305" s="54"/>
      <c r="G305" s="53"/>
      <c r="H305" s="54"/>
      <c r="I305" s="53"/>
      <c r="J305" s="9">
        <v>1</v>
      </c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</row>
    <row r="306" spans="1:43">
      <c r="A306" s="53" t="s">
        <v>383</v>
      </c>
      <c r="B306" s="54" t="s">
        <v>3</v>
      </c>
      <c r="C306" s="53" t="s">
        <v>3</v>
      </c>
      <c r="D306" s="54" t="s">
        <v>3</v>
      </c>
      <c r="E306" s="53"/>
      <c r="F306" s="54"/>
      <c r="G306" s="53"/>
      <c r="H306" s="54"/>
      <c r="I306" s="53"/>
      <c r="J306" s="9">
        <v>2</v>
      </c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</row>
    <row r="307" spans="1:43">
      <c r="A307" s="53" t="s">
        <v>384</v>
      </c>
      <c r="B307" s="54" t="s">
        <v>3</v>
      </c>
      <c r="C307" s="53" t="s">
        <v>3</v>
      </c>
      <c r="D307" s="54"/>
      <c r="E307" s="53"/>
      <c r="F307" s="54"/>
      <c r="G307" s="53"/>
      <c r="H307" s="54"/>
      <c r="I307" s="53"/>
      <c r="J307" s="9">
        <v>1</v>
      </c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</row>
    <row r="308" spans="1:43">
      <c r="A308" s="53" t="s">
        <v>385</v>
      </c>
      <c r="B308" s="54"/>
      <c r="C308" s="53" t="s">
        <v>5</v>
      </c>
      <c r="D308" s="54" t="s">
        <v>5</v>
      </c>
      <c r="E308" s="53" t="s">
        <v>5</v>
      </c>
      <c r="F308" s="54" t="s">
        <v>5</v>
      </c>
      <c r="G308" s="53"/>
      <c r="H308" s="54"/>
      <c r="I308" s="53"/>
      <c r="J308" s="9">
        <v>2</v>
      </c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</row>
    <row r="309" spans="1:43">
      <c r="A309" s="53" t="s">
        <v>386</v>
      </c>
      <c r="B309" s="54"/>
      <c r="C309" s="53"/>
      <c r="D309" s="54" t="s">
        <v>5</v>
      </c>
      <c r="E309" s="53" t="s">
        <v>5</v>
      </c>
      <c r="F309" s="54" t="s">
        <v>5</v>
      </c>
      <c r="G309" s="53" t="s">
        <v>5</v>
      </c>
      <c r="H309" s="54"/>
      <c r="I309" s="53"/>
      <c r="J309" s="9">
        <v>2</v>
      </c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</row>
    <row r="310" spans="1:43">
      <c r="A310" s="53" t="s">
        <v>387</v>
      </c>
      <c r="B310" s="54"/>
      <c r="C310" s="53"/>
      <c r="D310" s="54"/>
      <c r="E310" s="53" t="s">
        <v>10</v>
      </c>
      <c r="F310" s="54" t="s">
        <v>10</v>
      </c>
      <c r="G310" s="53"/>
      <c r="H310" s="54"/>
      <c r="I310" s="53"/>
      <c r="J310" s="9">
        <v>1</v>
      </c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</row>
    <row r="311" spans="1:43">
      <c r="A311" s="53" t="s">
        <v>388</v>
      </c>
      <c r="B311" s="54"/>
      <c r="C311" s="53"/>
      <c r="D311" s="54"/>
      <c r="E311" s="53"/>
      <c r="F311" s="54"/>
      <c r="G311" s="53" t="s">
        <v>5</v>
      </c>
      <c r="H311" s="54" t="s">
        <v>5</v>
      </c>
      <c r="I311" s="53"/>
      <c r="J311" s="9">
        <v>1</v>
      </c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</row>
    <row r="312" spans="1:43">
      <c r="A312" s="53" t="s">
        <v>389</v>
      </c>
      <c r="B312" s="54"/>
      <c r="C312" s="53"/>
      <c r="D312" s="54"/>
      <c r="E312" s="53"/>
      <c r="F312" s="54"/>
      <c r="G312" s="53" t="s">
        <v>24</v>
      </c>
      <c r="H312" s="54" t="s">
        <v>24</v>
      </c>
      <c r="I312" s="53"/>
      <c r="J312" s="9">
        <v>1</v>
      </c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</row>
    <row r="313" spans="1:43">
      <c r="A313" s="53" t="s">
        <v>390</v>
      </c>
      <c r="B313" s="54"/>
      <c r="C313" s="53"/>
      <c r="D313" s="54"/>
      <c r="E313" s="53"/>
      <c r="F313" s="54"/>
      <c r="G313" s="53"/>
      <c r="H313" s="54" t="s">
        <v>12</v>
      </c>
      <c r="I313" s="53" t="s">
        <v>12</v>
      </c>
      <c r="J313" s="9">
        <v>1</v>
      </c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</row>
    <row r="314" spans="1:43">
      <c r="J314" s="55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</row>
    <row r="315" spans="1:43">
      <c r="J315" s="55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</row>
    <row r="316" spans="1:43">
      <c r="J316" s="55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</row>
    <row r="317" spans="1:43">
      <c r="J317" s="55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</row>
    <row r="318" spans="1:43">
      <c r="J318" s="55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</row>
    <row r="319" spans="1:43">
      <c r="J319" s="55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</row>
    <row r="320" spans="1:43">
      <c r="J320" s="55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</row>
    <row r="321" spans="10:43">
      <c r="J321" s="55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</row>
    <row r="322" spans="10:43">
      <c r="J322" s="55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</row>
    <row r="323" spans="10:43">
      <c r="J323" s="55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</row>
    <row r="324" spans="10:43">
      <c r="J324" s="55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</row>
    <row r="325" spans="10:43">
      <c r="J325" s="55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</row>
    <row r="326" spans="10:43">
      <c r="J326" s="55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</row>
    <row r="327" spans="10:43">
      <c r="J327" s="55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</row>
    <row r="328" spans="10:43">
      <c r="J328" s="55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</row>
    <row r="329" spans="10:43">
      <c r="J329" s="55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</row>
    <row r="330" spans="10:43">
      <c r="J330" s="55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</row>
    <row r="331" spans="10:43">
      <c r="J331" s="55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</row>
    <row r="332" spans="10:43">
      <c r="J332" s="55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</row>
    <row r="333" spans="10:43">
      <c r="J333" s="55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</row>
    <row r="334" spans="10:43">
      <c r="J334" s="55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</row>
    <row r="335" spans="10:43">
      <c r="J335" s="55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</row>
    <row r="336" spans="10:43">
      <c r="J336" s="55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</row>
    <row r="337" spans="10:43">
      <c r="J337" s="55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</row>
    <row r="338" spans="10:43">
      <c r="J338" s="55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</row>
    <row r="339" spans="10:43">
      <c r="J339" s="55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</row>
    <row r="340" spans="10:43">
      <c r="J340" s="55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</row>
    <row r="341" spans="10:43">
      <c r="J341" s="55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</row>
    <row r="342" spans="10:43">
      <c r="J342" s="55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</row>
    <row r="343" spans="10:43">
      <c r="J343" s="55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</row>
    <row r="344" spans="10:43">
      <c r="J344" s="55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</row>
    <row r="345" spans="10:43">
      <c r="J345" s="55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</row>
    <row r="346" spans="10:43">
      <c r="J346" s="55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</row>
    <row r="347" spans="10:43">
      <c r="J347" s="55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</row>
    <row r="348" spans="10:43">
      <c r="J348" s="55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</row>
    <row r="349" spans="10:43">
      <c r="J349" s="55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</row>
    <row r="350" spans="10:43">
      <c r="J350" s="55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</row>
    <row r="351" spans="10:43">
      <c r="J351" s="55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</row>
    <row r="352" spans="10:43">
      <c r="J352" s="55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</row>
    <row r="353" spans="10:43">
      <c r="J353" s="55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</row>
    <row r="354" spans="10:43">
      <c r="J354" s="55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</row>
    <row r="355" spans="10:43">
      <c r="J355" s="55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</row>
    <row r="356" spans="10:43">
      <c r="J356" s="55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</row>
    <row r="357" spans="10:43">
      <c r="J357" s="55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</row>
    <row r="358" spans="10:43">
      <c r="J358" s="55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</row>
    <row r="359" spans="10:43">
      <c r="J359" s="55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</row>
    <row r="360" spans="10:43">
      <c r="J360" s="55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</row>
    <row r="361" spans="10:43">
      <c r="J361" s="55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</row>
    <row r="362" spans="10:43">
      <c r="J362" s="55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</row>
    <row r="363" spans="10:43">
      <c r="J363" s="55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</row>
    <row r="364" spans="10:43">
      <c r="J364" s="55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</row>
    <row r="365" spans="10:43">
      <c r="J365" s="55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</row>
    <row r="366" spans="10:43">
      <c r="J366" s="55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</row>
    <row r="367" spans="10:43">
      <c r="J367" s="55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</row>
    <row r="368" spans="10:43">
      <c r="J368" s="55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</row>
    <row r="369" spans="10:43">
      <c r="J369" s="55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</row>
    <row r="370" spans="10:43">
      <c r="J370" s="55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</row>
    <row r="371" spans="10:43">
      <c r="J371" s="55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</row>
    <row r="372" spans="10:43">
      <c r="J372" s="55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</row>
    <row r="373" spans="10:43">
      <c r="J373" s="55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</row>
    <row r="374" spans="10:43">
      <c r="J374" s="55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</row>
    <row r="375" spans="10:43">
      <c r="J375" s="55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</row>
    <row r="376" spans="10:43">
      <c r="J376" s="55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</row>
    <row r="377" spans="10:43">
      <c r="J377" s="55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</row>
    <row r="378" spans="10:43">
      <c r="J378" s="55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</row>
    <row r="379" spans="10:43">
      <c r="J379" s="55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</row>
    <row r="380" spans="10:43">
      <c r="J380" s="55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</row>
    <row r="381" spans="10:43">
      <c r="J381" s="55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</row>
    <row r="382" spans="10:43">
      <c r="J382" s="55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</row>
    <row r="383" spans="10:43">
      <c r="J383" s="55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</row>
    <row r="384" spans="10:43">
      <c r="J384" s="55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</row>
    <row r="385" spans="10:43">
      <c r="J385" s="55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</row>
    <row r="386" spans="10:43">
      <c r="J386" s="55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</row>
  </sheetData>
  <autoFilter ref="R34:W61" xr:uid="{00000000-0009-0000-0000-000001000000}"/>
  <mergeCells count="56">
    <mergeCell ref="A294:J294"/>
    <mergeCell ref="A303:J303"/>
    <mergeCell ref="A220:J220"/>
    <mergeCell ref="A231:J231"/>
    <mergeCell ref="A244:J244"/>
    <mergeCell ref="A257:J257"/>
    <mergeCell ref="A270:J270"/>
    <mergeCell ref="A281:J281"/>
    <mergeCell ref="A208:J208"/>
    <mergeCell ref="L116:O116"/>
    <mergeCell ref="L121:O121"/>
    <mergeCell ref="A123:J123"/>
    <mergeCell ref="L126:O126"/>
    <mergeCell ref="L131:O131"/>
    <mergeCell ref="A136:J136"/>
    <mergeCell ref="A148:J148"/>
    <mergeCell ref="A161:J161"/>
    <mergeCell ref="A174:J174"/>
    <mergeCell ref="A186:J186"/>
    <mergeCell ref="A200:J200"/>
    <mergeCell ref="L111:O111"/>
    <mergeCell ref="L76:O76"/>
    <mergeCell ref="A78:J78"/>
    <mergeCell ref="L81:O81"/>
    <mergeCell ref="L86:O86"/>
    <mergeCell ref="A87:J87"/>
    <mergeCell ref="L91:O91"/>
    <mergeCell ref="L96:O96"/>
    <mergeCell ref="A100:J100"/>
    <mergeCell ref="L101:O101"/>
    <mergeCell ref="L106:O106"/>
    <mergeCell ref="A110:J110"/>
    <mergeCell ref="L71:O71"/>
    <mergeCell ref="R33:W33"/>
    <mergeCell ref="L36:O36"/>
    <mergeCell ref="L41:O41"/>
    <mergeCell ref="A45:J45"/>
    <mergeCell ref="L46:O46"/>
    <mergeCell ref="L51:O51"/>
    <mergeCell ref="A55:J55"/>
    <mergeCell ref="L56:O56"/>
    <mergeCell ref="L61:O61"/>
    <mergeCell ref="A65:J65"/>
    <mergeCell ref="L66:O66"/>
    <mergeCell ref="L16:O16"/>
    <mergeCell ref="A21:J21"/>
    <mergeCell ref="L21:O21"/>
    <mergeCell ref="L26:O26"/>
    <mergeCell ref="A31:J31"/>
    <mergeCell ref="L31:O31"/>
    <mergeCell ref="A1:J1"/>
    <mergeCell ref="L1:O1"/>
    <mergeCell ref="R1:W1"/>
    <mergeCell ref="L6:O6"/>
    <mergeCell ref="A11:J11"/>
    <mergeCell ref="L11:O11"/>
  </mergeCells>
  <conditionalFormatting sqref="AA2:AA24">
    <cfRule type="cellIs" dxfId="380" priority="13" operator="lessThan">
      <formula>0</formula>
    </cfRule>
    <cfRule type="cellIs" dxfId="379" priority="14" operator="greaterThan">
      <formula>0</formula>
    </cfRule>
  </conditionalFormatting>
  <conditionalFormatting sqref="AC2:AC24">
    <cfRule type="cellIs" dxfId="378" priority="11" operator="lessThan">
      <formula>0</formula>
    </cfRule>
    <cfRule type="cellIs" dxfId="377" priority="12" operator="greaterThan">
      <formula>0</formula>
    </cfRule>
  </conditionalFormatting>
  <conditionalFormatting sqref="AE2:AE24">
    <cfRule type="cellIs" dxfId="376" priority="9" operator="lessThan">
      <formula>0</formula>
    </cfRule>
    <cfRule type="cellIs" dxfId="375" priority="10" operator="greaterThan">
      <formula>0</formula>
    </cfRule>
  </conditionalFormatting>
  <conditionalFormatting sqref="AG2:AG24">
    <cfRule type="cellIs" dxfId="374" priority="7" operator="lessThan">
      <formula>0</formula>
    </cfRule>
    <cfRule type="cellIs" dxfId="373" priority="8" operator="greaterThan">
      <formula>0</formula>
    </cfRule>
  </conditionalFormatting>
  <conditionalFormatting sqref="AI2:AI24">
    <cfRule type="cellIs" dxfId="372" priority="5" operator="lessThan">
      <formula>0</formula>
    </cfRule>
    <cfRule type="cellIs" dxfId="371" priority="6" operator="greaterThan">
      <formula>0</formula>
    </cfRule>
  </conditionalFormatting>
  <conditionalFormatting sqref="AK2:AK24">
    <cfRule type="cellIs" dxfId="370" priority="3" operator="lessThan">
      <formula>0</formula>
    </cfRule>
    <cfRule type="cellIs" dxfId="369" priority="4" operator="greaterThan">
      <formula>0</formula>
    </cfRule>
  </conditionalFormatting>
  <conditionalFormatting sqref="AM2:AM24">
    <cfRule type="cellIs" dxfId="368" priority="1" operator="lessThan">
      <formula>0</formula>
    </cfRule>
    <cfRule type="cellIs" dxfId="367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4"/>
  <sheetViews>
    <sheetView tabSelected="1" workbookViewId="0">
      <selection activeCell="W43" sqref="W43"/>
    </sheetView>
  </sheetViews>
  <sheetFormatPr baseColWidth="10" defaultRowHeight="16"/>
  <cols>
    <col min="1" max="1" width="18.1640625" customWidth="1"/>
    <col min="17" max="18" width="23.1640625" customWidth="1"/>
  </cols>
  <sheetData>
    <row r="1" spans="1:24" ht="19">
      <c r="A1" s="179" t="s">
        <v>4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1"/>
      <c r="T1" s="178" t="s">
        <v>391</v>
      </c>
      <c r="U1" s="178"/>
      <c r="V1" s="178"/>
      <c r="W1" s="178"/>
      <c r="X1" s="178"/>
    </row>
    <row r="2" spans="1:24" ht="19">
      <c r="A2" s="168" t="s">
        <v>392</v>
      </c>
      <c r="B2" s="168" t="s">
        <v>393</v>
      </c>
      <c r="C2" s="168" t="s">
        <v>394</v>
      </c>
      <c r="D2" s="168" t="s">
        <v>395</v>
      </c>
      <c r="E2" s="168" t="s">
        <v>396</v>
      </c>
      <c r="F2" s="168" t="s">
        <v>397</v>
      </c>
      <c r="G2" s="168" t="s">
        <v>398</v>
      </c>
      <c r="H2" s="168" t="s">
        <v>399</v>
      </c>
      <c r="I2" s="168" t="s">
        <v>400</v>
      </c>
      <c r="J2" s="168" t="s">
        <v>401</v>
      </c>
      <c r="K2" s="168" t="s">
        <v>402</v>
      </c>
      <c r="L2" s="168" t="s">
        <v>403</v>
      </c>
      <c r="M2" s="168" t="s">
        <v>404</v>
      </c>
      <c r="N2" s="168" t="s">
        <v>405</v>
      </c>
      <c r="O2" s="168" t="s">
        <v>406</v>
      </c>
      <c r="P2" s="168" t="s">
        <v>407</v>
      </c>
      <c r="Q2" s="169" t="s">
        <v>426</v>
      </c>
      <c r="R2" s="169" t="s">
        <v>427</v>
      </c>
      <c r="T2" s="65" t="s">
        <v>410</v>
      </c>
      <c r="U2" s="66" t="s">
        <v>411</v>
      </c>
      <c r="V2" s="67" t="s">
        <v>412</v>
      </c>
      <c r="W2" s="68" t="s">
        <v>413</v>
      </c>
      <c r="X2" s="69" t="s">
        <v>414</v>
      </c>
    </row>
    <row r="3" spans="1:24" ht="19">
      <c r="A3" s="70" t="s">
        <v>110</v>
      </c>
      <c r="B3" s="71">
        <v>1</v>
      </c>
      <c r="C3" s="72">
        <f>Table410016115911211318110[[#This Row],[1990]]-Table410016115911211318110[[#This Row],[1986]]</f>
        <v>-1</v>
      </c>
      <c r="D3" s="71"/>
      <c r="E3" s="72">
        <f>Table410016115911211318110[[#This Row],[1994]]-Table410016115911211318110[[#This Row],[1990]]</f>
        <v>0</v>
      </c>
      <c r="F3" s="71"/>
      <c r="G3" s="72">
        <f>Table410016115911211318110[[#This Row],[1998]]-Table410016115911211318110[[#This Row],[1994]]</f>
        <v>3</v>
      </c>
      <c r="H3" s="71">
        <v>3</v>
      </c>
      <c r="I3" s="72">
        <f>Table410016115911211318110[[#This Row],[2002]]-Table410016115911211318110[[#This Row],[1998]]</f>
        <v>-3</v>
      </c>
      <c r="J3" s="71"/>
      <c r="K3" s="72">
        <f>Table410016115911211318110[[#This Row],[2006]]-Table410016115911211318110[[#This Row],[2002]]</f>
        <v>0</v>
      </c>
      <c r="L3" s="71"/>
      <c r="M3" s="72">
        <f>Table410016115911211318110[[#This Row],[2010]]-Table410016115911211318110[[#This Row],[2006]]</f>
        <v>0</v>
      </c>
      <c r="N3" s="71"/>
      <c r="O3" s="72">
        <f>Table410016115911211318110[[#This Row],[2014]]-Table410016115911211318110[[#This Row],[2010]]</f>
        <v>0</v>
      </c>
      <c r="P3" s="71"/>
      <c r="Q3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4</v>
      </c>
      <c r="R3" s="74">
        <v>8</v>
      </c>
      <c r="T3" s="9">
        <f>R9*8</f>
        <v>456</v>
      </c>
      <c r="U3" s="9">
        <f>R19*8</f>
        <v>1208</v>
      </c>
      <c r="V3" s="9">
        <f>R25*8</f>
        <v>392</v>
      </c>
      <c r="W3" s="9">
        <f>R30*8</f>
        <v>1432</v>
      </c>
      <c r="X3" s="9">
        <f>R34*8</f>
        <v>616</v>
      </c>
    </row>
    <row r="4" spans="1:24" ht="19">
      <c r="A4" s="70" t="s">
        <v>106</v>
      </c>
      <c r="B4" s="71">
        <v>3</v>
      </c>
      <c r="C4" s="72">
        <f>Table410016115911211318110[[#This Row],[1990]]-Table410016115911211318110[[#This Row],[1986]]</f>
        <v>-1</v>
      </c>
      <c r="D4" s="71">
        <v>2</v>
      </c>
      <c r="E4" s="72">
        <f>Table410016115911211318110[[#This Row],[1994]]-Table410016115911211318110[[#This Row],[1990]]</f>
        <v>-1</v>
      </c>
      <c r="F4" s="71">
        <v>1</v>
      </c>
      <c r="G4" s="72">
        <f>Table410016115911211318110[[#This Row],[1998]]-Table410016115911211318110[[#This Row],[1994]]</f>
        <v>3</v>
      </c>
      <c r="H4" s="71">
        <v>4</v>
      </c>
      <c r="I4" s="72">
        <f>Table410016115911211318110[[#This Row],[2002]]-Table410016115911211318110[[#This Row],[1998]]</f>
        <v>-1</v>
      </c>
      <c r="J4" s="71">
        <v>3</v>
      </c>
      <c r="K4" s="72">
        <f>Table410016115911211318110[[#This Row],[2006]]-Table410016115911211318110[[#This Row],[2002]]</f>
        <v>-3</v>
      </c>
      <c r="L4" s="71"/>
      <c r="M4" s="72">
        <f>Table410016115911211318110[[#This Row],[2010]]-Table410016115911211318110[[#This Row],[2006]]</f>
        <v>1</v>
      </c>
      <c r="N4" s="71">
        <v>1</v>
      </c>
      <c r="O4" s="72">
        <f>Table410016115911211318110[[#This Row],[2014]]-Table410016115911211318110[[#This Row],[2010]]</f>
        <v>0</v>
      </c>
      <c r="P4" s="71">
        <v>1</v>
      </c>
      <c r="Q4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15</v>
      </c>
      <c r="R4" s="75">
        <v>8</v>
      </c>
      <c r="T4" s="44">
        <f>(Q9/T3)*100</f>
        <v>13.596491228070176</v>
      </c>
      <c r="U4" s="44">
        <f>(Q19/U3)*100</f>
        <v>24.503311258278146</v>
      </c>
      <c r="V4" s="44">
        <f>(Q25/V3)*100</f>
        <v>14.030612244897958</v>
      </c>
      <c r="W4" s="44">
        <f>(Q30/W3)*100</f>
        <v>9.4972067039106136</v>
      </c>
      <c r="X4" s="76">
        <f>(Q34/X3)*100</f>
        <v>10.064935064935066</v>
      </c>
    </row>
    <row r="5" spans="1:24" ht="19">
      <c r="A5" s="70" t="s">
        <v>104</v>
      </c>
      <c r="B5" s="71">
        <v>3</v>
      </c>
      <c r="C5" s="72">
        <f>Table410016115911211318110[[#This Row],[1990]]-Table410016115911211318110[[#This Row],[1986]]</f>
        <v>1</v>
      </c>
      <c r="D5" s="71">
        <v>4</v>
      </c>
      <c r="E5" s="72">
        <f>Table410016115911211318110[[#This Row],[1994]]-Table410016115911211318110[[#This Row],[1990]]</f>
        <v>-1</v>
      </c>
      <c r="F5" s="71">
        <v>3</v>
      </c>
      <c r="G5" s="72">
        <f>Table410016115911211318110[[#This Row],[1998]]-Table410016115911211318110[[#This Row],[1994]]</f>
        <v>-1</v>
      </c>
      <c r="H5" s="71">
        <v>2</v>
      </c>
      <c r="I5" s="72">
        <f>Table410016115911211318110[[#This Row],[2002]]-Table410016115911211318110[[#This Row],[1998]]</f>
        <v>-2</v>
      </c>
      <c r="J5" s="71"/>
      <c r="K5" s="72">
        <f>Table410016115911211318110[[#This Row],[2006]]-Table410016115911211318110[[#This Row],[2002]]</f>
        <v>1</v>
      </c>
      <c r="L5" s="71">
        <v>1</v>
      </c>
      <c r="M5" s="72">
        <f>Table410016115911211318110[[#This Row],[2010]]-Table410016115911211318110[[#This Row],[2006]]</f>
        <v>0</v>
      </c>
      <c r="N5" s="71">
        <v>1</v>
      </c>
      <c r="O5" s="72">
        <f>Table410016115911211318110[[#This Row],[2014]]-Table410016115911211318110[[#This Row],[2010]]</f>
        <v>-1</v>
      </c>
      <c r="P5" s="71"/>
      <c r="Q5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14</v>
      </c>
      <c r="R5" s="75">
        <v>8</v>
      </c>
    </row>
    <row r="6" spans="1:24" ht="19">
      <c r="A6" s="70" t="s">
        <v>73</v>
      </c>
      <c r="B6" s="71">
        <v>2</v>
      </c>
      <c r="C6" s="72">
        <f>Table410016115911211318110[[#This Row],[1990]]-Table410016115911211318110[[#This Row],[1986]]</f>
        <v>-1</v>
      </c>
      <c r="D6" s="71">
        <v>1</v>
      </c>
      <c r="E6" s="72">
        <f>Table410016115911211318110[[#This Row],[1994]]-Table410016115911211318110[[#This Row],[1990]]</f>
        <v>0</v>
      </c>
      <c r="F6" s="71">
        <v>1</v>
      </c>
      <c r="G6" s="72">
        <f>Table410016115911211318110[[#This Row],[1998]]-Table410016115911211318110[[#This Row],[1994]]</f>
        <v>2</v>
      </c>
      <c r="H6" s="71">
        <v>3</v>
      </c>
      <c r="I6" s="72">
        <f>Table410016115911211318110[[#This Row],[2002]]-Table410016115911211318110[[#This Row],[1998]]</f>
        <v>-2</v>
      </c>
      <c r="J6" s="71">
        <v>1</v>
      </c>
      <c r="K6" s="72">
        <f>Table410016115911211318110[[#This Row],[2006]]-Table410016115911211318110[[#This Row],[2002]]</f>
        <v>1</v>
      </c>
      <c r="L6" s="71">
        <v>2</v>
      </c>
      <c r="M6" s="72">
        <f>Table410016115911211318110[[#This Row],[2010]]-Table410016115911211318110[[#This Row],[2006]]</f>
        <v>-1</v>
      </c>
      <c r="N6" s="71">
        <v>1</v>
      </c>
      <c r="O6" s="72">
        <f>Table410016115911211318110[[#This Row],[2014]]-Table410016115911211318110[[#This Row],[2010]]</f>
        <v>0</v>
      </c>
      <c r="P6" s="71">
        <v>1</v>
      </c>
      <c r="Q6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12</v>
      </c>
      <c r="R6" s="75">
        <v>17</v>
      </c>
      <c r="T6" s="178" t="s">
        <v>415</v>
      </c>
      <c r="U6" s="178"/>
      <c r="V6" s="178"/>
      <c r="W6" s="178"/>
      <c r="X6" s="178"/>
    </row>
    <row r="7" spans="1:24" ht="19">
      <c r="A7" s="70" t="s">
        <v>67</v>
      </c>
      <c r="B7" s="77">
        <v>3</v>
      </c>
      <c r="C7" s="72">
        <f>Table410016115911211318110[[#This Row],[1990]]-Table410016115911211318110[[#This Row],[1986]]</f>
        <v>-1</v>
      </c>
      <c r="D7" s="77">
        <v>2</v>
      </c>
      <c r="E7" s="72">
        <f>Table410016115911211318110[[#This Row],[1994]]-Table410016115911211318110[[#This Row],[1990]]</f>
        <v>-2</v>
      </c>
      <c r="F7" s="77"/>
      <c r="G7" s="72">
        <f>Table410016115911211318110[[#This Row],[1998]]-Table410016115911211318110[[#This Row],[1994]]</f>
        <v>2</v>
      </c>
      <c r="H7" s="77">
        <v>2</v>
      </c>
      <c r="I7" s="72">
        <f>Table410016115911211318110[[#This Row],[2002]]-Table410016115911211318110[[#This Row],[1998]]</f>
        <v>-1</v>
      </c>
      <c r="J7" s="77">
        <v>1</v>
      </c>
      <c r="K7" s="72">
        <f>Table410016115911211318110[[#This Row],[2006]]-Table410016115911211318110[[#This Row],[2002]]</f>
        <v>-1</v>
      </c>
      <c r="L7" s="77"/>
      <c r="M7" s="72">
        <f>Table410016115911211318110[[#This Row],[2010]]-Table410016115911211318110[[#This Row],[2006]]</f>
        <v>0</v>
      </c>
      <c r="N7" s="77"/>
      <c r="O7" s="72">
        <f>Table410016115911211318110[[#This Row],[2014]]-Table410016115911211318110[[#This Row],[2010]]</f>
        <v>0</v>
      </c>
      <c r="P7" s="77"/>
      <c r="Q7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8</v>
      </c>
      <c r="R7" s="75">
        <v>8</v>
      </c>
      <c r="T7" s="65" t="s">
        <v>410</v>
      </c>
      <c r="U7" s="66" t="s">
        <v>411</v>
      </c>
      <c r="V7" s="67" t="s">
        <v>412</v>
      </c>
      <c r="W7" s="68" t="s">
        <v>413</v>
      </c>
      <c r="X7" s="69" t="s">
        <v>414</v>
      </c>
    </row>
    <row r="8" spans="1:24" ht="19">
      <c r="A8" s="70" t="s">
        <v>65</v>
      </c>
      <c r="B8" s="71">
        <v>2</v>
      </c>
      <c r="C8" s="72">
        <f>Table410016115911211318110[[#This Row],[1990]]-Table410016115911211318110[[#This Row],[1986]]</f>
        <v>-1</v>
      </c>
      <c r="D8" s="71">
        <v>1</v>
      </c>
      <c r="E8" s="72">
        <f>Table410016115911211318110[[#This Row],[1994]]-Table410016115911211318110[[#This Row],[1990]]</f>
        <v>0</v>
      </c>
      <c r="F8" s="71">
        <v>1</v>
      </c>
      <c r="G8" s="72">
        <f>Table410016115911211318110[[#This Row],[1998]]-Table410016115911211318110[[#This Row],[1994]]</f>
        <v>-1</v>
      </c>
      <c r="H8" s="71"/>
      <c r="I8" s="72">
        <f>Table410016115911211318110[[#This Row],[2002]]-Table410016115911211318110[[#This Row],[1998]]</f>
        <v>2</v>
      </c>
      <c r="J8" s="71">
        <v>2</v>
      </c>
      <c r="K8" s="72">
        <f>Table410016115911211318110[[#This Row],[2006]]-Table410016115911211318110[[#This Row],[2002]]</f>
        <v>0</v>
      </c>
      <c r="L8" s="71">
        <v>2</v>
      </c>
      <c r="M8" s="72">
        <f>Table410016115911211318110[[#This Row],[2010]]-Table410016115911211318110[[#This Row],[2006]]</f>
        <v>-1</v>
      </c>
      <c r="N8" s="71">
        <v>1</v>
      </c>
      <c r="O8" s="72">
        <f>Table410016115911211318110[[#This Row],[2014]]-Table410016115911211318110[[#This Row],[2010]]</f>
        <v>-1</v>
      </c>
      <c r="P8" s="71"/>
      <c r="Q8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9</v>
      </c>
      <c r="R8" s="75">
        <v>8</v>
      </c>
      <c r="T8" s="9">
        <f>R9</f>
        <v>57</v>
      </c>
      <c r="U8" s="9">
        <f>R19</f>
        <v>151</v>
      </c>
      <c r="V8" s="9">
        <f>R25</f>
        <v>49</v>
      </c>
      <c r="W8" s="9">
        <f>R30</f>
        <v>179</v>
      </c>
      <c r="X8" s="9">
        <f>R34</f>
        <v>77</v>
      </c>
    </row>
    <row r="9" spans="1:24" ht="19">
      <c r="A9" s="78" t="s">
        <v>410</v>
      </c>
      <c r="B9" s="79">
        <f>SUM(B3:B8)</f>
        <v>14</v>
      </c>
      <c r="C9" s="79">
        <f>Table410016115911211318110[[#This Row],[1990]]-Table410016115911211318110[[#This Row],[1986]]</f>
        <v>-4</v>
      </c>
      <c r="D9" s="79">
        <f>SUM(D3:D8)</f>
        <v>10</v>
      </c>
      <c r="E9" s="80">
        <f>SUM(E3:E8)</f>
        <v>-4</v>
      </c>
      <c r="F9" s="79">
        <f>SUM(F3:F8)</f>
        <v>6</v>
      </c>
      <c r="G9" s="80">
        <f>Table410016115911211318110[[#This Row],[1998]]-Table410016115911211318110[[#This Row],[1994]]</f>
        <v>8</v>
      </c>
      <c r="H9" s="79">
        <f>SUM(H3:H8)</f>
        <v>14</v>
      </c>
      <c r="I9" s="80">
        <f>Table410016115911211318110[[#This Row],[2002]]-Table410016115911211318110[[#This Row],[1998]]</f>
        <v>-7</v>
      </c>
      <c r="J9" s="79">
        <f>SUM(J3:J8)</f>
        <v>7</v>
      </c>
      <c r="K9" s="80">
        <f>Table410016115911211318110[[#This Row],[2006]]-Table410016115911211318110[[#This Row],[2002]]</f>
        <v>-2</v>
      </c>
      <c r="L9" s="79">
        <f>SUM(L3:L8)</f>
        <v>5</v>
      </c>
      <c r="M9" s="80">
        <f>Table410016115911211318110[[#This Row],[2010]]-Table410016115911211318110[[#This Row],[2006]]</f>
        <v>-1</v>
      </c>
      <c r="N9" s="79">
        <f>SUM(N3:N8)</f>
        <v>4</v>
      </c>
      <c r="O9" s="80">
        <f>Table410016115911211318110[[#This Row],[2014]]-Table410016115911211318110[[#This Row],[2010]]</f>
        <v>-2</v>
      </c>
      <c r="P9" s="79">
        <f>SUM(P3:P8)</f>
        <v>2</v>
      </c>
      <c r="Q9" s="81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62</v>
      </c>
      <c r="R9" s="82">
        <v>57</v>
      </c>
      <c r="T9" s="44" t="e">
        <f>([1]!Table410016115911211512019293032122[[#This Row],[2014]]/T8)*100</f>
        <v>#REF!</v>
      </c>
      <c r="U9" s="44">
        <f>(P19/U8)*100</f>
        <v>5.298013245033113</v>
      </c>
      <c r="V9" s="44">
        <f>(P25/V8)*100</f>
        <v>6.1224489795918364</v>
      </c>
      <c r="W9" s="44">
        <f>(P30/W8)*100</f>
        <v>5.5865921787709496</v>
      </c>
      <c r="X9" s="44">
        <f>(P34/X8)*100</f>
        <v>1.2987012987012987</v>
      </c>
    </row>
    <row r="10" spans="1:24" ht="19">
      <c r="A10" s="70" t="s">
        <v>108</v>
      </c>
      <c r="B10" s="71">
        <v>4</v>
      </c>
      <c r="C10" s="72">
        <f>Table410016115911211318110[[#This Row],[1990]]-Table410016115911211318110[[#This Row],[1986]]</f>
        <v>-4</v>
      </c>
      <c r="D10" s="71"/>
      <c r="E10" s="72">
        <f>Table410016115911211318110[[#This Row],[1994]]-Table410016115911211318110[[#This Row],[1990]]</f>
        <v>1</v>
      </c>
      <c r="F10" s="71">
        <v>1</v>
      </c>
      <c r="G10" s="72">
        <f>Table410016115911211318110[[#This Row],[1998]]-Table410016115911211318110[[#This Row],[1994]]</f>
        <v>0</v>
      </c>
      <c r="H10" s="71">
        <v>1</v>
      </c>
      <c r="I10" s="72">
        <f>Table410016115911211318110[[#This Row],[2002]]-Table410016115911211318110[[#This Row],[1998]]</f>
        <v>1</v>
      </c>
      <c r="J10" s="71">
        <v>2</v>
      </c>
      <c r="K10" s="72">
        <f>Table410016115911211318110[[#This Row],[2006]]-Table410016115911211318110[[#This Row],[2002]]</f>
        <v>-2</v>
      </c>
      <c r="L10" s="71"/>
      <c r="M10" s="72">
        <f>Table410016115911211318110[[#This Row],[2010]]-Table410016115911211318110[[#This Row],[2006]]</f>
        <v>0</v>
      </c>
      <c r="N10" s="71"/>
      <c r="O10" s="72">
        <f>Table410016115911211318110[[#This Row],[2014]]-Table410016115911211318110[[#This Row],[2010]]</f>
        <v>0</v>
      </c>
      <c r="P10" s="71"/>
      <c r="Q10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8</v>
      </c>
      <c r="R10" s="75">
        <v>9</v>
      </c>
    </row>
    <row r="11" spans="1:24" ht="19">
      <c r="A11" s="70" t="s">
        <v>101</v>
      </c>
      <c r="B11" s="71">
        <v>14</v>
      </c>
      <c r="C11" s="72">
        <f>Table410016115911211318110[[#This Row],[1990]]-Table410016115911211318110[[#This Row],[1986]]</f>
        <v>-3</v>
      </c>
      <c r="D11" s="71">
        <v>11</v>
      </c>
      <c r="E11" s="72">
        <f>Table410016115911211318110[[#This Row],[1994]]-Table410016115911211318110[[#This Row],[1990]]</f>
        <v>5</v>
      </c>
      <c r="F11" s="71">
        <v>16</v>
      </c>
      <c r="G11" s="72">
        <f>Table410016115911211318110[[#This Row],[1998]]-Table410016115911211318110[[#This Row],[1994]]</f>
        <v>4</v>
      </c>
      <c r="H11" s="71">
        <v>20</v>
      </c>
      <c r="I11" s="72">
        <f>Table410016115911211318110[[#This Row],[2002]]-Table410016115911211318110[[#This Row],[1998]]</f>
        <v>-1</v>
      </c>
      <c r="J11" s="71">
        <v>19</v>
      </c>
      <c r="K11" s="72">
        <f>Table410016115911211318110[[#This Row],[2006]]-Table410016115911211318110[[#This Row],[2002]]</f>
        <v>-6</v>
      </c>
      <c r="L11" s="71">
        <v>13</v>
      </c>
      <c r="M11" s="72">
        <f>Table410016115911211318110[[#This Row],[2010]]-Table410016115911211318110[[#This Row],[2006]]</f>
        <v>-7</v>
      </c>
      <c r="N11" s="71">
        <v>6</v>
      </c>
      <c r="O11" s="72">
        <f>Table410016115911211318110[[#This Row],[2014]]-Table410016115911211318110[[#This Row],[2010]]</f>
        <v>-2</v>
      </c>
      <c r="P11" s="71">
        <v>4</v>
      </c>
      <c r="Q11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103</v>
      </c>
      <c r="R11" s="75">
        <v>39</v>
      </c>
      <c r="T11" s="178" t="s">
        <v>416</v>
      </c>
      <c r="U11" s="178"/>
      <c r="V11" s="178"/>
      <c r="W11" s="178"/>
      <c r="X11" s="178"/>
    </row>
    <row r="12" spans="1:24" ht="19">
      <c r="A12" s="70" t="s">
        <v>99</v>
      </c>
      <c r="B12" s="71">
        <v>6</v>
      </c>
      <c r="C12" s="72">
        <f>Table410016115911211318110[[#This Row],[1990]]-Table410016115911211318110[[#This Row],[1986]]</f>
        <v>-1</v>
      </c>
      <c r="D12" s="71">
        <v>5</v>
      </c>
      <c r="E12" s="72">
        <f>Table410016115911211318110[[#This Row],[1994]]-Table410016115911211318110[[#This Row],[1990]]</f>
        <v>-3</v>
      </c>
      <c r="F12" s="71">
        <v>2</v>
      </c>
      <c r="G12" s="72">
        <f>Table410016115911211318110[[#This Row],[1998]]-Table410016115911211318110[[#This Row],[1994]]</f>
        <v>-1</v>
      </c>
      <c r="H12" s="71">
        <v>1</v>
      </c>
      <c r="I12" s="72">
        <f>Table410016115911211318110[[#This Row],[2002]]-Table410016115911211318110[[#This Row],[1998]]</f>
        <v>1</v>
      </c>
      <c r="J12" s="71">
        <v>2</v>
      </c>
      <c r="K12" s="72">
        <f>Table410016115911211318110[[#This Row],[2006]]-Table410016115911211318110[[#This Row],[2002]]</f>
        <v>-2</v>
      </c>
      <c r="L12" s="71"/>
      <c r="M12" s="72">
        <f>Table410016115911211318110[[#This Row],[2010]]-Table410016115911211318110[[#This Row],[2006]]</f>
        <v>0</v>
      </c>
      <c r="N12" s="71"/>
      <c r="O12" s="72">
        <f>Table410016115911211318110[[#This Row],[2014]]-Table410016115911211318110[[#This Row],[2010]]</f>
        <v>0</v>
      </c>
      <c r="P12" s="71"/>
      <c r="Q12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16</v>
      </c>
      <c r="R12" s="75">
        <v>22</v>
      </c>
      <c r="T12" s="65" t="s">
        <v>410</v>
      </c>
      <c r="U12" s="66" t="s">
        <v>411</v>
      </c>
      <c r="V12" s="67" t="s">
        <v>412</v>
      </c>
      <c r="W12" s="68" t="s">
        <v>413</v>
      </c>
      <c r="X12" s="69" t="s">
        <v>414</v>
      </c>
    </row>
    <row r="13" spans="1:24" ht="19">
      <c r="A13" s="70" t="s">
        <v>90</v>
      </c>
      <c r="B13" s="71">
        <v>8</v>
      </c>
      <c r="C13" s="72">
        <f>Table410016115911211318110[[#This Row],[1990]]-Table410016115911211318110[[#This Row],[1986]]</f>
        <v>-3</v>
      </c>
      <c r="D13" s="71">
        <v>5</v>
      </c>
      <c r="E13" s="72">
        <f>Table410016115911211318110[[#This Row],[1994]]-Table410016115911211318110[[#This Row],[1990]]</f>
        <v>2</v>
      </c>
      <c r="F13" s="71">
        <v>7</v>
      </c>
      <c r="G13" s="72">
        <f>Table410016115911211318110[[#This Row],[1998]]-Table410016115911211318110[[#This Row],[1994]]</f>
        <v>-1</v>
      </c>
      <c r="H13" s="71">
        <v>6</v>
      </c>
      <c r="I13" s="72">
        <f>Table410016115911211318110[[#This Row],[2002]]-Table410016115911211318110[[#This Row],[1998]]</f>
        <v>0</v>
      </c>
      <c r="J13" s="71">
        <v>6</v>
      </c>
      <c r="K13" s="72">
        <f>Table410016115911211318110[[#This Row],[2006]]-Table410016115911211318110[[#This Row],[2002]]</f>
        <v>-4</v>
      </c>
      <c r="L13" s="71">
        <v>2</v>
      </c>
      <c r="M13" s="72">
        <f>Table410016115911211318110[[#This Row],[2010]]-Table410016115911211318110[[#This Row],[2006]]</f>
        <v>-1</v>
      </c>
      <c r="N13" s="71">
        <v>1</v>
      </c>
      <c r="O13" s="72">
        <f>Table410016115911211318110[[#This Row],[2014]]-Table410016115911211318110[[#This Row],[2010]]</f>
        <v>0</v>
      </c>
      <c r="P13" s="71">
        <v>1</v>
      </c>
      <c r="Q13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36</v>
      </c>
      <c r="R13" s="75">
        <v>18</v>
      </c>
      <c r="T13" s="9">
        <f>R9</f>
        <v>57</v>
      </c>
      <c r="U13" s="9">
        <f>R19</f>
        <v>151</v>
      </c>
      <c r="V13" s="9">
        <f>R25</f>
        <v>49</v>
      </c>
      <c r="W13" s="9">
        <f>R30</f>
        <v>179</v>
      </c>
      <c r="X13" s="9">
        <f>R34</f>
        <v>77</v>
      </c>
    </row>
    <row r="14" spans="1:24" ht="19">
      <c r="A14" s="70" t="s">
        <v>79</v>
      </c>
      <c r="B14" s="71">
        <v>4</v>
      </c>
      <c r="C14" s="72">
        <f>Table410016115911211318110[[#This Row],[1990]]-Table410016115911211318110[[#This Row],[1986]]</f>
        <v>0</v>
      </c>
      <c r="D14" s="71">
        <v>4</v>
      </c>
      <c r="E14" s="72">
        <f>Table410016115911211318110[[#This Row],[1994]]-Table410016115911211318110[[#This Row],[1990]]</f>
        <v>-1</v>
      </c>
      <c r="F14" s="71">
        <v>3</v>
      </c>
      <c r="G14" s="72">
        <f>Table410016115911211318110[[#This Row],[1998]]-Table410016115911211318110[[#This Row],[1994]]</f>
        <v>0</v>
      </c>
      <c r="H14" s="71">
        <v>3</v>
      </c>
      <c r="I14" s="72">
        <f>Table410016115911211318110[[#This Row],[2002]]-Table410016115911211318110[[#This Row],[1998]]</f>
        <v>-2</v>
      </c>
      <c r="J14" s="71">
        <v>1</v>
      </c>
      <c r="K14" s="72">
        <f>Table410016115911211318110[[#This Row],[2006]]-Table410016115911211318110[[#This Row],[2002]]</f>
        <v>1</v>
      </c>
      <c r="L14" s="71">
        <v>2</v>
      </c>
      <c r="M14" s="72">
        <f>Table410016115911211318110[[#This Row],[2010]]-Table410016115911211318110[[#This Row],[2006]]</f>
        <v>-1</v>
      </c>
      <c r="N14" s="71">
        <v>1</v>
      </c>
      <c r="O14" s="72">
        <f>Table410016115911211318110[[#This Row],[2014]]-Table410016115911211318110[[#This Row],[2010]]</f>
        <v>0</v>
      </c>
      <c r="P14" s="71">
        <v>1</v>
      </c>
      <c r="Q14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19</v>
      </c>
      <c r="R14" s="75">
        <v>12</v>
      </c>
      <c r="T14" s="44">
        <f>(N9/T13)*100</f>
        <v>7.0175438596491224</v>
      </c>
      <c r="U14" s="44">
        <f>(N19/U13)*100</f>
        <v>9.9337748344370862</v>
      </c>
      <c r="V14" s="44">
        <f>(N25/V13)*100</f>
        <v>14.285714285714285</v>
      </c>
      <c r="W14" s="44">
        <f>(N30/W13)*100</f>
        <v>6.1452513966480442</v>
      </c>
      <c r="X14" s="44">
        <f>(N34/X13)*100</f>
        <v>7.7922077922077921</v>
      </c>
    </row>
    <row r="15" spans="1:24" ht="19">
      <c r="A15" s="70" t="s">
        <v>77</v>
      </c>
      <c r="B15" s="71">
        <v>11</v>
      </c>
      <c r="C15" s="72">
        <f>Table410016115911211318110[[#This Row],[1990]]-Table410016115911211318110[[#This Row],[1986]]</f>
        <v>-1</v>
      </c>
      <c r="D15" s="71">
        <v>10</v>
      </c>
      <c r="E15" s="72">
        <f>Table410016115911211318110[[#This Row],[1994]]-Table410016115911211318110[[#This Row],[1990]]</f>
        <v>1</v>
      </c>
      <c r="F15" s="71">
        <v>11</v>
      </c>
      <c r="G15" s="72">
        <f>Table410016115911211318110[[#This Row],[1998]]-Table410016115911211318110[[#This Row],[1994]]</f>
        <v>-3</v>
      </c>
      <c r="H15" s="71">
        <v>8</v>
      </c>
      <c r="I15" s="72">
        <f>Table410016115911211318110[[#This Row],[2002]]-Table410016115911211318110[[#This Row],[1998]]</f>
        <v>-3</v>
      </c>
      <c r="J15" s="71">
        <v>5</v>
      </c>
      <c r="K15" s="72">
        <f>Table410016115911211318110[[#This Row],[2006]]-Table410016115911211318110[[#This Row],[2002]]</f>
        <v>-2</v>
      </c>
      <c r="L15" s="71">
        <v>3</v>
      </c>
      <c r="M15" s="72">
        <f>Table410016115911211318110[[#This Row],[2010]]-Table410016115911211318110[[#This Row],[2006]]</f>
        <v>-1</v>
      </c>
      <c r="N15" s="71">
        <v>2</v>
      </c>
      <c r="O15" s="72">
        <f>Table410016115911211318110[[#This Row],[2014]]-Table410016115911211318110[[#This Row],[2010]]</f>
        <v>-1</v>
      </c>
      <c r="P15" s="71">
        <v>1</v>
      </c>
      <c r="Q15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51</v>
      </c>
      <c r="R15" s="75">
        <v>25</v>
      </c>
    </row>
    <row r="16" spans="1:24" ht="19">
      <c r="A16" s="70" t="s">
        <v>75</v>
      </c>
      <c r="B16" s="72">
        <v>5</v>
      </c>
      <c r="C16" s="72">
        <f>Table410016115911211318110[[#This Row],[1990]]-Table410016115911211318110[[#This Row],[1986]]</f>
        <v>-1</v>
      </c>
      <c r="D16" s="72">
        <v>4</v>
      </c>
      <c r="E16" s="72">
        <f>Table410016115911211318110[[#This Row],[1994]]-Table410016115911211318110[[#This Row],[1990]]</f>
        <v>1</v>
      </c>
      <c r="F16" s="72">
        <v>5</v>
      </c>
      <c r="G16" s="72">
        <f>Table410016115911211318110[[#This Row],[1998]]-Table410016115911211318110[[#This Row],[1994]]</f>
        <v>0</v>
      </c>
      <c r="H16" s="72">
        <v>5</v>
      </c>
      <c r="I16" s="72">
        <f>Table410016115911211318110[[#This Row],[2002]]-Table410016115911211318110[[#This Row],[1998]]</f>
        <v>-1</v>
      </c>
      <c r="J16" s="72">
        <v>4</v>
      </c>
      <c r="K16" s="72">
        <f>Table410016115911211318110[[#This Row],[2006]]-Table410016115911211318110[[#This Row],[2002]]</f>
        <v>-2</v>
      </c>
      <c r="L16" s="72">
        <v>2</v>
      </c>
      <c r="M16" s="72">
        <f>Table410016115911211318110[[#This Row],[2010]]-Table410016115911211318110[[#This Row],[2006]]</f>
        <v>0</v>
      </c>
      <c r="N16" s="72">
        <v>2</v>
      </c>
      <c r="O16" s="72">
        <f>Table410016115911211318110[[#This Row],[2014]]-Table410016115911211318110[[#This Row],[2010]]</f>
        <v>-2</v>
      </c>
      <c r="P16" s="72"/>
      <c r="Q16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27</v>
      </c>
      <c r="R16" s="75">
        <v>10</v>
      </c>
      <c r="T16" s="178" t="s">
        <v>417</v>
      </c>
      <c r="U16" s="178"/>
      <c r="V16" s="178"/>
      <c r="W16" s="178"/>
      <c r="X16" s="178"/>
    </row>
    <row r="17" spans="1:24" ht="19">
      <c r="A17" s="70" t="s">
        <v>69</v>
      </c>
      <c r="B17" s="71">
        <v>3</v>
      </c>
      <c r="C17" s="72">
        <f>Table410016115911211318110[[#This Row],[1990]]-Table410016115911211318110[[#This Row],[1986]]</f>
        <v>0</v>
      </c>
      <c r="D17" s="71">
        <v>3</v>
      </c>
      <c r="E17" s="72">
        <f>Table410016115911211318110[[#This Row],[1994]]-Table410016115911211318110[[#This Row],[1990]]</f>
        <v>2</v>
      </c>
      <c r="F17" s="71">
        <v>5</v>
      </c>
      <c r="G17" s="72">
        <f>Table410016115911211318110[[#This Row],[1998]]-Table410016115911211318110[[#This Row],[1994]]</f>
        <v>-2</v>
      </c>
      <c r="H17" s="71">
        <v>3</v>
      </c>
      <c r="I17" s="72">
        <f>Table410016115911211318110[[#This Row],[2002]]-Table410016115911211318110[[#This Row],[1998]]</f>
        <v>-1</v>
      </c>
      <c r="J17" s="71">
        <v>2</v>
      </c>
      <c r="K17" s="72">
        <f>Table410016115911211318110[[#This Row],[2006]]-Table410016115911211318110[[#This Row],[2002]]</f>
        <v>0</v>
      </c>
      <c r="L17" s="71">
        <v>2</v>
      </c>
      <c r="M17" s="72">
        <f>Table410016115911211318110[[#This Row],[2010]]-Table410016115911211318110[[#This Row],[2006]]</f>
        <v>0</v>
      </c>
      <c r="N17" s="71">
        <v>2</v>
      </c>
      <c r="O17" s="72">
        <f>Table410016115911211318110[[#This Row],[2014]]-Table410016115911211318110[[#This Row],[2010]]</f>
        <v>-1</v>
      </c>
      <c r="P17" s="71">
        <v>1</v>
      </c>
      <c r="Q17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21</v>
      </c>
      <c r="R17" s="75">
        <v>8</v>
      </c>
      <c r="T17" s="65" t="s">
        <v>410</v>
      </c>
      <c r="U17" s="66" t="s">
        <v>411</v>
      </c>
      <c r="V17" s="67" t="s">
        <v>412</v>
      </c>
      <c r="W17" s="68" t="s">
        <v>413</v>
      </c>
      <c r="X17" s="69" t="s">
        <v>414</v>
      </c>
    </row>
    <row r="18" spans="1:24" ht="19">
      <c r="A18" s="70" t="s">
        <v>56</v>
      </c>
      <c r="B18" s="71">
        <v>4</v>
      </c>
      <c r="C18" s="72">
        <f>Table410016115911211318110[[#This Row],[1990]]-Table410016115911211318110[[#This Row],[1986]]</f>
        <v>0</v>
      </c>
      <c r="D18" s="71">
        <v>4</v>
      </c>
      <c r="E18" s="72">
        <f>Table410016115911211318110[[#This Row],[1994]]-Table410016115911211318110[[#This Row],[1990]]</f>
        <v>-3</v>
      </c>
      <c r="F18" s="71">
        <v>1</v>
      </c>
      <c r="G18" s="72">
        <f>Table410016115911211318110[[#This Row],[1998]]-Table410016115911211318110[[#This Row],[1994]]</f>
        <v>-1</v>
      </c>
      <c r="H18" s="71"/>
      <c r="I18" s="72">
        <f>Table410016115911211318110[[#This Row],[2002]]-Table410016115911211318110[[#This Row],[1998]]</f>
        <v>2</v>
      </c>
      <c r="J18" s="71">
        <v>2</v>
      </c>
      <c r="K18" s="72">
        <f>Table410016115911211318110[[#This Row],[2006]]-Table410016115911211318110[[#This Row],[2002]]</f>
        <v>1</v>
      </c>
      <c r="L18" s="71">
        <v>3</v>
      </c>
      <c r="M18" s="72">
        <f>Table410016115911211318110[[#This Row],[2010]]-Table410016115911211318110[[#This Row],[2006]]</f>
        <v>-2</v>
      </c>
      <c r="N18" s="71">
        <v>1</v>
      </c>
      <c r="O18" s="72">
        <f>Table410016115911211318110[[#This Row],[2014]]-Table410016115911211318110[[#This Row],[2010]]</f>
        <v>-1</v>
      </c>
      <c r="P18" s="71"/>
      <c r="Q18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15</v>
      </c>
      <c r="R18" s="75">
        <v>8</v>
      </c>
      <c r="T18" s="9">
        <f>R9</f>
        <v>57</v>
      </c>
      <c r="U18" s="9">
        <f>R19</f>
        <v>151</v>
      </c>
      <c r="V18" s="9">
        <f>R25</f>
        <v>49</v>
      </c>
      <c r="W18" s="9">
        <f>R30</f>
        <v>179</v>
      </c>
      <c r="X18" s="9">
        <f>R34</f>
        <v>77</v>
      </c>
    </row>
    <row r="19" spans="1:24" ht="19">
      <c r="A19" s="83" t="s">
        <v>411</v>
      </c>
      <c r="B19" s="84">
        <f>SUM(B10:B18)</f>
        <v>59</v>
      </c>
      <c r="C19" s="84">
        <f>Table410016115911211318110[[#This Row],[1990]]-Table410016115911211318110[[#This Row],[1986]]</f>
        <v>-13</v>
      </c>
      <c r="D19" s="84">
        <f>SUM(D10:D18)</f>
        <v>46</v>
      </c>
      <c r="E19" s="80">
        <f>SUM(E13:E18)</f>
        <v>2</v>
      </c>
      <c r="F19" s="84">
        <f>SUM(F10:F18)</f>
        <v>51</v>
      </c>
      <c r="G19" s="80">
        <f>Table410016115911211318110[[#This Row],[1998]]-Table410016115911211318110[[#This Row],[1994]]</f>
        <v>-4</v>
      </c>
      <c r="H19" s="84">
        <f>SUM(H10:H18)</f>
        <v>47</v>
      </c>
      <c r="I19" s="80">
        <f>Table410016115911211318110[[#This Row],[2002]]-Table410016115911211318110[[#This Row],[1998]]</f>
        <v>-4</v>
      </c>
      <c r="J19" s="84">
        <f>SUM(J10:J18)</f>
        <v>43</v>
      </c>
      <c r="K19" s="80">
        <f>Table410016115911211318110[[#This Row],[2006]]-Table410016115911211318110[[#This Row],[2002]]</f>
        <v>-16</v>
      </c>
      <c r="L19" s="84">
        <f>SUM(L10:L18)</f>
        <v>27</v>
      </c>
      <c r="M19" s="80">
        <f>Table410016115911211318110[[#This Row],[2010]]-Table410016115911211318110[[#This Row],[2006]]</f>
        <v>-12</v>
      </c>
      <c r="N19" s="84">
        <f>SUM(N10:N18)</f>
        <v>15</v>
      </c>
      <c r="O19" s="80">
        <f>Table410016115911211318110[[#This Row],[2014]]-Table410016115911211318110[[#This Row],[2010]]</f>
        <v>-7</v>
      </c>
      <c r="P19" s="84">
        <f>SUM(P10:P18)</f>
        <v>8</v>
      </c>
      <c r="Q19" s="85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296</v>
      </c>
      <c r="R19" s="43">
        <v>151</v>
      </c>
      <c r="T19" s="44">
        <f>(L9/T18)*100</f>
        <v>8.7719298245614024</v>
      </c>
      <c r="U19" s="44">
        <f>(L19/U18)*100</f>
        <v>17.880794701986755</v>
      </c>
      <c r="V19" s="44">
        <f>(L25/V18)*100</f>
        <v>10.204081632653061</v>
      </c>
      <c r="W19" s="44">
        <f>(L30/W18)*100</f>
        <v>8.938547486033519</v>
      </c>
      <c r="X19" s="44">
        <f>(L34/X18)*100</f>
        <v>12.987012987012985</v>
      </c>
    </row>
    <row r="20" spans="1:24" ht="19">
      <c r="A20" s="70" t="s">
        <v>97</v>
      </c>
      <c r="B20" s="71">
        <v>3</v>
      </c>
      <c r="C20" s="72">
        <f>Table410016115911211318110[[#This Row],[1990]]-Table410016115911211318110[[#This Row],[1986]]</f>
        <v>-2</v>
      </c>
      <c r="D20" s="71">
        <v>1</v>
      </c>
      <c r="E20" s="72">
        <f>Table410016115911211318110[[#This Row],[1994]]-Table410016115911211318110[[#This Row],[1990]]</f>
        <v>0</v>
      </c>
      <c r="F20" s="71">
        <v>1</v>
      </c>
      <c r="G20" s="72">
        <f>Table410016115911211318110[[#This Row],[1998]]-Table410016115911211318110[[#This Row],[1994]]</f>
        <v>0</v>
      </c>
      <c r="H20" s="71">
        <v>1</v>
      </c>
      <c r="I20" s="72">
        <f>Table410016115911211318110[[#This Row],[2002]]-Table410016115911211318110[[#This Row],[1998]]</f>
        <v>0</v>
      </c>
      <c r="J20" s="71">
        <v>1</v>
      </c>
      <c r="K20" s="72">
        <f>Table410016115911211318110[[#This Row],[2006]]-Table410016115911211318110[[#This Row],[2002]]</f>
        <v>1</v>
      </c>
      <c r="L20" s="71">
        <v>2</v>
      </c>
      <c r="M20" s="72">
        <f>Table410016115911211318110[[#This Row],[2010]]-Table410016115911211318110[[#This Row],[2006]]</f>
        <v>-2</v>
      </c>
      <c r="N20" s="71"/>
      <c r="O20" s="72">
        <f>Table410016115911211318110[[#This Row],[2014]]-Table410016115911211318110[[#This Row],[2010]]</f>
        <v>1</v>
      </c>
      <c r="P20" s="71">
        <v>1</v>
      </c>
      <c r="Q20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10</v>
      </c>
      <c r="R20" s="75">
        <v>8</v>
      </c>
    </row>
    <row r="21" spans="1:24" ht="19">
      <c r="A21" s="86" t="s">
        <v>94</v>
      </c>
      <c r="B21" s="87">
        <v>2</v>
      </c>
      <c r="C21" s="72">
        <f>Table410016115911211318110[[#This Row],[1990]]-Table410016115911211318110[[#This Row],[1986]]</f>
        <v>0</v>
      </c>
      <c r="D21" s="87">
        <v>2</v>
      </c>
      <c r="E21" s="72">
        <f>Table410016115911211318110[[#This Row],[1994]]-Table410016115911211318110[[#This Row],[1990]]</f>
        <v>-1</v>
      </c>
      <c r="F21" s="87">
        <v>1</v>
      </c>
      <c r="G21" s="72">
        <f>Table410016115911211318110[[#This Row],[1998]]-Table410016115911211318110[[#This Row],[1994]]</f>
        <v>1</v>
      </c>
      <c r="H21" s="87">
        <v>2</v>
      </c>
      <c r="I21" s="72">
        <f>Table410016115911211318110[[#This Row],[2002]]-Table410016115911211318110[[#This Row],[1998]]</f>
        <v>1</v>
      </c>
      <c r="J21" s="87">
        <v>3</v>
      </c>
      <c r="K21" s="72">
        <f>Table410016115911211318110[[#This Row],[2006]]-Table410016115911211318110[[#This Row],[2002]]</f>
        <v>-2</v>
      </c>
      <c r="L21" s="87">
        <v>1</v>
      </c>
      <c r="M21" s="72">
        <f>Table410016115911211318110[[#This Row],[2010]]-Table410016115911211318110[[#This Row],[2006]]</f>
        <v>2</v>
      </c>
      <c r="N21" s="87">
        <v>3</v>
      </c>
      <c r="O21" s="72">
        <f>Table410016115911211318110[[#This Row],[2014]]-Table410016115911211318110[[#This Row],[2010]]</f>
        <v>-3</v>
      </c>
      <c r="P21" s="87"/>
      <c r="Q21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14</v>
      </c>
      <c r="R21" s="75">
        <v>17</v>
      </c>
      <c r="T21" s="178" t="s">
        <v>418</v>
      </c>
      <c r="U21" s="178"/>
      <c r="V21" s="178"/>
      <c r="W21" s="178"/>
      <c r="X21" s="178"/>
    </row>
    <row r="22" spans="1:24" ht="19">
      <c r="A22" s="88" t="s">
        <v>85</v>
      </c>
      <c r="B22" s="87">
        <v>3</v>
      </c>
      <c r="C22" s="72">
        <f>Table410016115911211318110[[#This Row],[1990]]-Table410016115911211318110[[#This Row],[1986]]</f>
        <v>1</v>
      </c>
      <c r="D22" s="87">
        <v>4</v>
      </c>
      <c r="E22" s="72">
        <f>Table410016115911211318110[[#This Row],[1994]]-Table410016115911211318110[[#This Row],[1990]]</f>
        <v>-3</v>
      </c>
      <c r="F22" s="87">
        <v>1</v>
      </c>
      <c r="G22" s="72">
        <f>Table410016115911211318110[[#This Row],[1998]]-Table410016115911211318110[[#This Row],[1994]]</f>
        <v>0</v>
      </c>
      <c r="H22" s="87">
        <v>1</v>
      </c>
      <c r="I22" s="72">
        <f>Table410016115911211318110[[#This Row],[2002]]-Table410016115911211318110[[#This Row],[1998]]</f>
        <v>0</v>
      </c>
      <c r="J22" s="87">
        <v>1</v>
      </c>
      <c r="K22" s="72">
        <f>Table410016115911211318110[[#This Row],[2006]]-Table410016115911211318110[[#This Row],[2002]]</f>
        <v>-1</v>
      </c>
      <c r="L22" s="87"/>
      <c r="M22" s="72">
        <f>Table410016115911211318110[[#This Row],[2010]]-Table410016115911211318110[[#This Row],[2006]]</f>
        <v>1</v>
      </c>
      <c r="N22" s="87">
        <v>1</v>
      </c>
      <c r="O22" s="72">
        <f>Table410016115911211318110[[#This Row],[2014]]-Table410016115911211318110[[#This Row],[2010]]</f>
        <v>0</v>
      </c>
      <c r="P22" s="87">
        <v>1</v>
      </c>
      <c r="Q22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12</v>
      </c>
      <c r="R22" s="75">
        <v>8</v>
      </c>
      <c r="T22" s="65" t="s">
        <v>410</v>
      </c>
      <c r="U22" s="66" t="s">
        <v>411</v>
      </c>
      <c r="V22" s="67" t="s">
        <v>412</v>
      </c>
      <c r="W22" s="68" t="s">
        <v>413</v>
      </c>
      <c r="X22" s="69" t="s">
        <v>414</v>
      </c>
    </row>
    <row r="23" spans="1:24" ht="19">
      <c r="A23" s="88" t="s">
        <v>83</v>
      </c>
      <c r="B23" s="87">
        <v>2</v>
      </c>
      <c r="C23" s="72">
        <f>Table410016115911211318110[[#This Row],[1990]]-Table410016115911211318110[[#This Row],[1986]]</f>
        <v>-1</v>
      </c>
      <c r="D23" s="87">
        <v>1</v>
      </c>
      <c r="E23" s="72">
        <f>Table410016115911211318110[[#This Row],[1994]]-Table410016115911211318110[[#This Row],[1990]]</f>
        <v>-1</v>
      </c>
      <c r="F23" s="87"/>
      <c r="G23" s="72">
        <f>Table410016115911211318110[[#This Row],[1998]]-Table410016115911211318110[[#This Row],[1994]]</f>
        <v>1</v>
      </c>
      <c r="H23" s="87">
        <v>1</v>
      </c>
      <c r="I23" s="72">
        <f>Table410016115911211318110[[#This Row],[2002]]-Table410016115911211318110[[#This Row],[1998]]</f>
        <v>0</v>
      </c>
      <c r="J23" s="87">
        <v>1</v>
      </c>
      <c r="K23" s="72">
        <f>Table410016115911211318110[[#This Row],[2006]]-Table410016115911211318110[[#This Row],[2002]]</f>
        <v>-1</v>
      </c>
      <c r="L23" s="87"/>
      <c r="M23" s="72">
        <f>Table410016115911211318110[[#This Row],[2010]]-Table410016115911211318110[[#This Row],[2006]]</f>
        <v>1</v>
      </c>
      <c r="N23" s="87">
        <v>1</v>
      </c>
      <c r="O23" s="72">
        <f>Table410016115911211318110[[#This Row],[2014]]-Table410016115911211318110[[#This Row],[2010]]</f>
        <v>-1</v>
      </c>
      <c r="P23" s="87"/>
      <c r="Q23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6</v>
      </c>
      <c r="R23" s="75">
        <v>8</v>
      </c>
      <c r="T23" s="9">
        <f>R9</f>
        <v>57</v>
      </c>
      <c r="U23" s="9">
        <f>R19</f>
        <v>151</v>
      </c>
      <c r="V23" s="9">
        <f>R25</f>
        <v>49</v>
      </c>
      <c r="W23" s="9">
        <f>R30</f>
        <v>179</v>
      </c>
      <c r="X23" s="9">
        <f>R34</f>
        <v>77</v>
      </c>
    </row>
    <row r="24" spans="1:24" ht="19">
      <c r="A24" s="88" t="s">
        <v>52</v>
      </c>
      <c r="B24" s="71"/>
      <c r="C24" s="72">
        <f>Table410016115911211318110[[#This Row],[1990]]-Table410016115911211318110[[#This Row],[1986]]</f>
        <v>0</v>
      </c>
      <c r="D24" s="71"/>
      <c r="E24" s="72">
        <f>Table410016115911211318110[[#This Row],[1994]]-Table410016115911211318110[[#This Row],[1990]]</f>
        <v>2</v>
      </c>
      <c r="F24" s="71">
        <v>2</v>
      </c>
      <c r="G24" s="72">
        <f>Table410016115911211318110[[#This Row],[1998]]-Table410016115911211318110[[#This Row],[1994]]</f>
        <v>1</v>
      </c>
      <c r="H24" s="71">
        <v>3</v>
      </c>
      <c r="I24" s="72">
        <f>Table410016115911211318110[[#This Row],[2002]]-Table410016115911211318110[[#This Row],[1998]]</f>
        <v>0</v>
      </c>
      <c r="J24" s="71">
        <v>3</v>
      </c>
      <c r="K24" s="72">
        <f>Table410016115911211318110[[#This Row],[2006]]-Table410016115911211318110[[#This Row],[2002]]</f>
        <v>-1</v>
      </c>
      <c r="L24" s="71">
        <v>2</v>
      </c>
      <c r="M24" s="72">
        <f>Table410016115911211318110[[#This Row],[2010]]-Table410016115911211318110[[#This Row],[2006]]</f>
        <v>0</v>
      </c>
      <c r="N24" s="71">
        <v>2</v>
      </c>
      <c r="O24" s="72">
        <f>Table410016115911211318110[[#This Row],[2014]]-Table410016115911211318110[[#This Row],[2010]]</f>
        <v>-1</v>
      </c>
      <c r="P24" s="71">
        <v>1</v>
      </c>
      <c r="Q24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13</v>
      </c>
      <c r="R24" s="75">
        <v>8</v>
      </c>
      <c r="T24" s="44">
        <f>(J9/T23)*100</f>
        <v>12.280701754385964</v>
      </c>
      <c r="U24" s="44">
        <f>(J19/U23)*100</f>
        <v>28.476821192052981</v>
      </c>
      <c r="V24" s="44">
        <f>(J25/V23)*100</f>
        <v>18.367346938775512</v>
      </c>
      <c r="W24" s="44">
        <f>(J30/W23)*100</f>
        <v>10.05586592178771</v>
      </c>
      <c r="X24" s="44">
        <f>(J34/X23)*100</f>
        <v>6.4935064935064926</v>
      </c>
    </row>
    <row r="25" spans="1:24" ht="19">
      <c r="A25" s="89" t="s">
        <v>412</v>
      </c>
      <c r="B25" s="79">
        <f>SUM(B20:B24)</f>
        <v>10</v>
      </c>
      <c r="C25" s="79">
        <f>Table410016115911211318110[[#This Row],[1990]]-Table410016115911211318110[[#This Row],[1986]]</f>
        <v>-2</v>
      </c>
      <c r="D25" s="79">
        <f>SUM(D20:D24)</f>
        <v>8</v>
      </c>
      <c r="E25" s="80">
        <f>SUM(E19:E24)</f>
        <v>-1</v>
      </c>
      <c r="F25" s="79">
        <f>SUM(F20:F24)</f>
        <v>5</v>
      </c>
      <c r="G25" s="80">
        <f>Table410016115911211318110[[#This Row],[1998]]-Table410016115911211318110[[#This Row],[1994]]</f>
        <v>3</v>
      </c>
      <c r="H25" s="79">
        <f>SUM(H20:H24)</f>
        <v>8</v>
      </c>
      <c r="I25" s="80">
        <f>Table410016115911211318110[[#This Row],[2002]]-Table410016115911211318110[[#This Row],[1998]]</f>
        <v>1</v>
      </c>
      <c r="J25" s="79">
        <f>SUM(J20:J24)</f>
        <v>9</v>
      </c>
      <c r="K25" s="80">
        <f>Table410016115911211318110[[#This Row],[2006]]-Table410016115911211318110[[#This Row],[2002]]</f>
        <v>-4</v>
      </c>
      <c r="L25" s="79">
        <f>SUM(L20:L24)</f>
        <v>5</v>
      </c>
      <c r="M25" s="80">
        <f>Table410016115911211318110[[#This Row],[2010]]-Table410016115911211318110[[#This Row],[2006]]</f>
        <v>2</v>
      </c>
      <c r="N25" s="79">
        <f>SUM(N20:N24)</f>
        <v>7</v>
      </c>
      <c r="O25" s="80">
        <f>Table410016115911211318110[[#This Row],[2014]]-Table410016115911211318110[[#This Row],[2010]]</f>
        <v>-4</v>
      </c>
      <c r="P25" s="79">
        <f>SUM(P20:P24)</f>
        <v>3</v>
      </c>
      <c r="Q25" s="90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55</v>
      </c>
      <c r="R25" s="91">
        <v>49</v>
      </c>
    </row>
    <row r="26" spans="1:24" ht="19">
      <c r="A26" s="88" t="s">
        <v>95</v>
      </c>
      <c r="B26" s="71">
        <v>2</v>
      </c>
      <c r="C26" s="72">
        <f>Table410016115911211318110[[#This Row],[1990]]-Table410016115911211318110[[#This Row],[1986]]</f>
        <v>-2</v>
      </c>
      <c r="D26" s="71"/>
      <c r="E26" s="92">
        <v>2</v>
      </c>
      <c r="F26" s="71"/>
      <c r="G26" s="72">
        <f>Table410016115911211318110[[#This Row],[1998]]-Table410016115911211318110[[#This Row],[1994]]</f>
        <v>1</v>
      </c>
      <c r="H26" s="71">
        <v>1</v>
      </c>
      <c r="I26" s="72">
        <f>Table410016115911211318110[[#This Row],[2002]]-Table410016115911211318110[[#This Row],[1998]]</f>
        <v>-1</v>
      </c>
      <c r="J26" s="71"/>
      <c r="K26" s="72">
        <f>Table410016115911211318110[[#This Row],[2006]]-Table410016115911211318110[[#This Row],[2002]]</f>
        <v>0</v>
      </c>
      <c r="L26" s="71"/>
      <c r="M26" s="72">
        <f>Table410016115911211318110[[#This Row],[2010]]-Table410016115911211318110[[#This Row],[2006]]</f>
        <v>0</v>
      </c>
      <c r="N26" s="71"/>
      <c r="O26" s="72">
        <f>Table410016115911211318110[[#This Row],[2014]]-Table410016115911211318110[[#This Row],[2010]]</f>
        <v>1</v>
      </c>
      <c r="P26" s="71">
        <v>1</v>
      </c>
      <c r="Q26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4</v>
      </c>
      <c r="R26" s="75">
        <v>10</v>
      </c>
      <c r="T26" s="178" t="s">
        <v>419</v>
      </c>
      <c r="U26" s="178"/>
      <c r="V26" s="178"/>
      <c r="W26" s="178"/>
      <c r="X26" s="178"/>
    </row>
    <row r="27" spans="1:24" ht="19">
      <c r="A27" s="88" t="s">
        <v>88</v>
      </c>
      <c r="B27" s="71">
        <v>10</v>
      </c>
      <c r="C27" s="72">
        <f>Table410016115911211318110[[#This Row],[1990]]-Table410016115911211318110[[#This Row],[1986]]</f>
        <v>-5</v>
      </c>
      <c r="D27" s="71">
        <v>5</v>
      </c>
      <c r="E27" s="92">
        <v>2</v>
      </c>
      <c r="F27" s="71">
        <v>10</v>
      </c>
      <c r="G27" s="72">
        <f>Table410016115911211318110[[#This Row],[1998]]-Table410016115911211318110[[#This Row],[1994]]</f>
        <v>-2</v>
      </c>
      <c r="H27" s="71">
        <v>8</v>
      </c>
      <c r="I27" s="72">
        <f>Table410016115911211318110[[#This Row],[2002]]-Table410016115911211318110[[#This Row],[1998]]</f>
        <v>-1</v>
      </c>
      <c r="J27" s="71">
        <v>7</v>
      </c>
      <c r="K27" s="72">
        <f>Table410016115911211318110[[#This Row],[2006]]-Table410016115911211318110[[#This Row],[2002]]</f>
        <v>-1</v>
      </c>
      <c r="L27" s="71">
        <v>6</v>
      </c>
      <c r="M27" s="72">
        <f>Table410016115911211318110[[#This Row],[2010]]-Table410016115911211318110[[#This Row],[2006]]</f>
        <v>-3</v>
      </c>
      <c r="N27" s="71">
        <v>3</v>
      </c>
      <c r="O27" s="72">
        <f>Table410016115911211318110[[#This Row],[2014]]-Table410016115911211318110[[#This Row],[2010]]</f>
        <v>-1</v>
      </c>
      <c r="P27" s="71">
        <v>2</v>
      </c>
      <c r="Q27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51</v>
      </c>
      <c r="R27" s="75">
        <v>53</v>
      </c>
      <c r="T27" s="65" t="s">
        <v>410</v>
      </c>
      <c r="U27" s="66" t="s">
        <v>411</v>
      </c>
      <c r="V27" s="67" t="s">
        <v>412</v>
      </c>
      <c r="W27" s="68" t="s">
        <v>413</v>
      </c>
      <c r="X27" s="69" t="s">
        <v>414</v>
      </c>
    </row>
    <row r="28" spans="1:24" ht="19">
      <c r="A28" s="88" t="s">
        <v>72</v>
      </c>
      <c r="B28" s="71">
        <v>7</v>
      </c>
      <c r="C28" s="72">
        <f>Table410016115911211318110[[#This Row],[1990]]-Table410016115911211318110[[#This Row],[1986]]</f>
        <v>-1</v>
      </c>
      <c r="D28" s="71">
        <v>6</v>
      </c>
      <c r="E28" s="92">
        <v>2</v>
      </c>
      <c r="F28" s="71">
        <v>4</v>
      </c>
      <c r="G28" s="72">
        <f>Table410016115911211318110[[#This Row],[1998]]-Table410016115911211318110[[#This Row],[1994]]</f>
        <v>5</v>
      </c>
      <c r="H28" s="71">
        <v>9</v>
      </c>
      <c r="I28" s="72">
        <f>Table410016115911211318110[[#This Row],[2002]]-Table410016115911211318110[[#This Row],[1998]]</f>
        <v>-5</v>
      </c>
      <c r="J28" s="71">
        <v>4</v>
      </c>
      <c r="K28" s="72">
        <f>Table410016115911211318110[[#This Row],[2006]]-Table410016115911211318110[[#This Row],[2002]]</f>
        <v>1</v>
      </c>
      <c r="L28" s="71">
        <v>5</v>
      </c>
      <c r="M28" s="72">
        <f>Table410016115911211318110[[#This Row],[2010]]-Table410016115911211318110[[#This Row],[2006]]</f>
        <v>-3</v>
      </c>
      <c r="N28" s="71">
        <v>2</v>
      </c>
      <c r="O28" s="72">
        <f>Table410016115911211318110[[#This Row],[2014]]-Table410016115911211318110[[#This Row],[2010]]</f>
        <v>1</v>
      </c>
      <c r="P28" s="71">
        <v>3</v>
      </c>
      <c r="Q28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40</v>
      </c>
      <c r="R28" s="75">
        <v>46</v>
      </c>
      <c r="T28" s="9">
        <f>R9</f>
        <v>57</v>
      </c>
      <c r="U28" s="9">
        <f>R19</f>
        <v>151</v>
      </c>
      <c r="V28" s="9">
        <f>R25</f>
        <v>49</v>
      </c>
      <c r="W28" s="9">
        <f>R30</f>
        <v>179</v>
      </c>
      <c r="X28" s="9">
        <f>R34</f>
        <v>77</v>
      </c>
    </row>
    <row r="29" spans="1:24" ht="19">
      <c r="A29" s="88" t="s">
        <v>54</v>
      </c>
      <c r="B29" s="71">
        <v>6</v>
      </c>
      <c r="C29" s="72">
        <f>Table410016115911211318110[[#This Row],[1990]]-Table410016115911211318110[[#This Row],[1986]]</f>
        <v>-4</v>
      </c>
      <c r="D29" s="71">
        <v>2</v>
      </c>
      <c r="E29" s="92">
        <v>2</v>
      </c>
      <c r="F29" s="71">
        <v>3</v>
      </c>
      <c r="G29" s="72">
        <f>Table410016115911211318110[[#This Row],[1998]]-Table410016115911211318110[[#This Row],[1994]]</f>
        <v>5</v>
      </c>
      <c r="H29" s="71">
        <v>8</v>
      </c>
      <c r="I29" s="72">
        <f>Table410016115911211318110[[#This Row],[2002]]-Table410016115911211318110[[#This Row],[1998]]</f>
        <v>-1</v>
      </c>
      <c r="J29" s="71">
        <v>7</v>
      </c>
      <c r="K29" s="72">
        <f>Table410016115911211318110[[#This Row],[2006]]-Table410016115911211318110[[#This Row],[2002]]</f>
        <v>-2</v>
      </c>
      <c r="L29" s="71">
        <v>5</v>
      </c>
      <c r="M29" s="72">
        <f>Table410016115911211318110[[#This Row],[2010]]-Table410016115911211318110[[#This Row],[2006]]</f>
        <v>1</v>
      </c>
      <c r="N29" s="71">
        <v>6</v>
      </c>
      <c r="O29" s="72">
        <f>Table410016115911211318110[[#This Row],[2014]]-Table410016115911211318110[[#This Row],[2010]]</f>
        <v>-2</v>
      </c>
      <c r="P29" s="71">
        <v>4</v>
      </c>
      <c r="Q29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41</v>
      </c>
      <c r="R29" s="75">
        <v>70</v>
      </c>
      <c r="T29" s="44">
        <f>(H9/T28)*100</f>
        <v>24.561403508771928</v>
      </c>
      <c r="U29" s="44">
        <f>(H19/U28)*100</f>
        <v>31.125827814569533</v>
      </c>
      <c r="V29" s="44">
        <f>(H25/V28)*100</f>
        <v>16.326530612244898</v>
      </c>
      <c r="W29" s="44">
        <f>(H30/W28)*100</f>
        <v>14.52513966480447</v>
      </c>
      <c r="X29" s="44">
        <f>(H34/X28)*100</f>
        <v>12.987012987012985</v>
      </c>
    </row>
    <row r="30" spans="1:24" ht="19">
      <c r="A30" s="93" t="s">
        <v>413</v>
      </c>
      <c r="B30" s="79">
        <f>SUM(B26:B29)</f>
        <v>25</v>
      </c>
      <c r="C30" s="79">
        <f>Table410016115911211318110[[#This Row],[1990]]-Table410016115911211318110[[#This Row],[1986]]</f>
        <v>-12</v>
      </c>
      <c r="D30" s="79">
        <f>SUM(D26:D29)</f>
        <v>13</v>
      </c>
      <c r="E30" s="80">
        <f>SUM(E24:E29)</f>
        <v>9</v>
      </c>
      <c r="F30" s="79">
        <f>SUM(F26:F29)</f>
        <v>17</v>
      </c>
      <c r="G30" s="80">
        <f>Table410016115911211318110[[#This Row],[1998]]-Table410016115911211318110[[#This Row],[1994]]</f>
        <v>9</v>
      </c>
      <c r="H30" s="79">
        <f>SUM(H26:H29)</f>
        <v>26</v>
      </c>
      <c r="I30" s="80">
        <f>Table410016115911211318110[[#This Row],[2002]]-Table410016115911211318110[[#This Row],[1998]]</f>
        <v>-8</v>
      </c>
      <c r="J30" s="79">
        <f>SUM(J26:J29)</f>
        <v>18</v>
      </c>
      <c r="K30" s="80">
        <f>Table410016115911211318110[[#This Row],[2006]]-Table410016115911211318110[[#This Row],[2002]]</f>
        <v>-2</v>
      </c>
      <c r="L30" s="79">
        <f>SUM(L26:L29)</f>
        <v>16</v>
      </c>
      <c r="M30" s="80">
        <f>Table410016115911211318110[[#This Row],[2010]]-Table410016115911211318110[[#This Row],[2006]]</f>
        <v>-5</v>
      </c>
      <c r="N30" s="79">
        <f>SUM(N26:N29)</f>
        <v>11</v>
      </c>
      <c r="O30" s="80">
        <f>Table410016115911211318110[[#This Row],[2014]]-Table410016115911211318110[[#This Row],[2010]]</f>
        <v>-1</v>
      </c>
      <c r="P30" s="79">
        <f>SUM(P26:P29)</f>
        <v>10</v>
      </c>
      <c r="Q30" s="94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136</v>
      </c>
      <c r="R30" s="95">
        <v>179</v>
      </c>
    </row>
    <row r="31" spans="1:24" ht="19">
      <c r="A31" s="88" t="s">
        <v>13</v>
      </c>
      <c r="B31" s="71">
        <v>5</v>
      </c>
      <c r="C31" s="72">
        <f>Table410016115911211318110[[#This Row],[1990]]-Table410016115911211318110[[#This Row],[1986]]</f>
        <v>1</v>
      </c>
      <c r="D31" s="71">
        <v>6</v>
      </c>
      <c r="E31" s="92">
        <v>2</v>
      </c>
      <c r="F31" s="71">
        <v>6</v>
      </c>
      <c r="G31" s="72">
        <f>Table410016115911211318110[[#This Row],[1998]]-Table410016115911211318110[[#This Row],[1994]]</f>
        <v>0</v>
      </c>
      <c r="H31" s="71">
        <v>6</v>
      </c>
      <c r="I31" s="72">
        <f>Table410016115911211318110[[#This Row],[2002]]-Table410016115911211318110[[#This Row],[1998]]</f>
        <v>-4</v>
      </c>
      <c r="J31" s="71">
        <v>2</v>
      </c>
      <c r="K31" s="72">
        <f>Table410016115911211318110[[#This Row],[2006]]-Table410016115911211318110[[#This Row],[2002]]</f>
        <v>2</v>
      </c>
      <c r="L31" s="71">
        <v>4</v>
      </c>
      <c r="M31" s="72">
        <f>Table410016115911211318110[[#This Row],[2010]]-Table410016115911211318110[[#This Row],[2006]]</f>
        <v>-2</v>
      </c>
      <c r="N31" s="71">
        <v>2</v>
      </c>
      <c r="O31" s="72">
        <f>Table410016115911211318110[[#This Row],[2014]]-Table410016115911211318110[[#This Row],[2010]]</f>
        <v>-2</v>
      </c>
      <c r="P31" s="71"/>
      <c r="Q31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31</v>
      </c>
      <c r="R31" s="75">
        <v>30</v>
      </c>
      <c r="T31" s="178" t="s">
        <v>421</v>
      </c>
      <c r="U31" s="178"/>
      <c r="V31" s="178"/>
      <c r="W31" s="178"/>
      <c r="X31" s="178"/>
    </row>
    <row r="32" spans="1:24" ht="19">
      <c r="A32" s="88" t="s">
        <v>62</v>
      </c>
      <c r="B32" s="72">
        <v>2</v>
      </c>
      <c r="C32" s="72">
        <f>Table410016115911211318110[[#This Row],[1990]]-Table410016115911211318110[[#This Row],[1986]]</f>
        <v>-1</v>
      </c>
      <c r="D32" s="72">
        <v>1</v>
      </c>
      <c r="E32" s="92">
        <v>2</v>
      </c>
      <c r="F32" s="72">
        <v>1</v>
      </c>
      <c r="G32" s="72">
        <f>Table410016115911211318110[[#This Row],[1998]]-Table410016115911211318110[[#This Row],[1994]]</f>
        <v>0</v>
      </c>
      <c r="H32" s="72">
        <v>1</v>
      </c>
      <c r="I32" s="72">
        <f>Table410016115911211318110[[#This Row],[2002]]-Table410016115911211318110[[#This Row],[1998]]</f>
        <v>0</v>
      </c>
      <c r="J32" s="72">
        <v>1</v>
      </c>
      <c r="K32" s="72">
        <f>Table410016115911211318110[[#This Row],[2006]]-Table410016115911211318110[[#This Row],[2002]]</f>
        <v>2</v>
      </c>
      <c r="L32" s="72">
        <v>3</v>
      </c>
      <c r="M32" s="72">
        <f>Table410016115911211318110[[#This Row],[2010]]-Table410016115911211318110[[#This Row],[2006]]</f>
        <v>-2</v>
      </c>
      <c r="N32" s="72">
        <v>1</v>
      </c>
      <c r="O32" s="72">
        <f>Table410016115911211318110[[#This Row],[2014]]-Table410016115911211318110[[#This Row],[2010]]</f>
        <v>0</v>
      </c>
      <c r="P32" s="72">
        <v>1</v>
      </c>
      <c r="Q32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11</v>
      </c>
      <c r="R32" s="75">
        <v>31</v>
      </c>
      <c r="T32" s="65" t="s">
        <v>410</v>
      </c>
      <c r="U32" s="66" t="s">
        <v>411</v>
      </c>
      <c r="V32" s="67" t="s">
        <v>412</v>
      </c>
      <c r="W32" s="68" t="s">
        <v>413</v>
      </c>
      <c r="X32" s="69" t="s">
        <v>414</v>
      </c>
    </row>
    <row r="33" spans="1:24" ht="19">
      <c r="A33" s="88" t="s">
        <v>60</v>
      </c>
      <c r="B33" s="71">
        <v>3</v>
      </c>
      <c r="C33" s="72">
        <f>Table410016115911211318110[[#This Row],[1990]]-Table410016115911211318110[[#This Row],[1986]]</f>
        <v>0</v>
      </c>
      <c r="D33" s="71">
        <v>3</v>
      </c>
      <c r="E33" s="92">
        <v>2</v>
      </c>
      <c r="F33" s="71">
        <v>3</v>
      </c>
      <c r="G33" s="72">
        <f>Table410016115911211318110[[#This Row],[1998]]-Table410016115911211318110[[#This Row],[1994]]</f>
        <v>0</v>
      </c>
      <c r="H33" s="71">
        <v>3</v>
      </c>
      <c r="I33" s="72">
        <f>Table410016115911211318110[[#This Row],[2002]]-Table410016115911211318110[[#This Row],[1998]]</f>
        <v>-1</v>
      </c>
      <c r="J33" s="71">
        <v>2</v>
      </c>
      <c r="K33" s="72">
        <f>Table410016115911211318110[[#This Row],[2006]]-Table410016115911211318110[[#This Row],[2002]]</f>
        <v>1</v>
      </c>
      <c r="L33" s="71">
        <v>3</v>
      </c>
      <c r="M33" s="72">
        <f>Table410016115911211318110[[#This Row],[2010]]-Table410016115911211318110[[#This Row],[2006]]</f>
        <v>0</v>
      </c>
      <c r="N33" s="71">
        <v>3</v>
      </c>
      <c r="O33" s="72">
        <f>Table410016115911211318110[[#This Row],[2014]]-Table410016115911211318110[[#This Row],[2010]]</f>
        <v>-3</v>
      </c>
      <c r="P33" s="71"/>
      <c r="Q33" s="73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20</v>
      </c>
      <c r="R33" s="75">
        <v>16</v>
      </c>
      <c r="T33" s="9">
        <f>R9</f>
        <v>57</v>
      </c>
      <c r="U33" s="9">
        <f>R19</f>
        <v>151</v>
      </c>
      <c r="V33" s="9">
        <f>R25</f>
        <v>49</v>
      </c>
      <c r="W33" s="9">
        <f>R30</f>
        <v>179</v>
      </c>
      <c r="X33" s="9">
        <f>R34</f>
        <v>77</v>
      </c>
    </row>
    <row r="34" spans="1:24" ht="19">
      <c r="A34" s="96" t="s">
        <v>414</v>
      </c>
      <c r="B34" s="97">
        <f>SUM(B31:B33)</f>
        <v>10</v>
      </c>
      <c r="C34" s="97">
        <f>Table410016115911211318110[[#This Row],[1990]]-Table410016115911211318110[[#This Row],[1986]]</f>
        <v>0</v>
      </c>
      <c r="D34" s="97">
        <f>SUM(D31:D33)</f>
        <v>10</v>
      </c>
      <c r="E34" s="80">
        <f>SUM(E28:E33)</f>
        <v>19</v>
      </c>
      <c r="F34" s="97">
        <f>SUM(F31:F33)</f>
        <v>10</v>
      </c>
      <c r="G34" s="80">
        <f>Table410016115911211318110[[#This Row],[1998]]-Table410016115911211318110[[#This Row],[1994]]</f>
        <v>0</v>
      </c>
      <c r="H34" s="97">
        <f>SUM(H31:H33)</f>
        <v>10</v>
      </c>
      <c r="I34" s="80">
        <f>Table410016115911211318110[[#This Row],[2002]]-Table410016115911211318110[[#This Row],[1998]]</f>
        <v>-5</v>
      </c>
      <c r="J34" s="97">
        <f>SUM(J31:J33)</f>
        <v>5</v>
      </c>
      <c r="K34" s="80">
        <f>Table410016115911211318110[[#This Row],[2006]]-Table410016115911211318110[[#This Row],[2002]]</f>
        <v>5</v>
      </c>
      <c r="L34" s="97">
        <f>SUM(L31:L33)</f>
        <v>10</v>
      </c>
      <c r="M34" s="80">
        <f>Table410016115911211318110[[#This Row],[2010]]-Table410016115911211318110[[#This Row],[2006]]</f>
        <v>-4</v>
      </c>
      <c r="N34" s="97">
        <f>SUM(N31:N33)</f>
        <v>6</v>
      </c>
      <c r="O34" s="80">
        <f>Table410016115911211318110[[#This Row],[2014]]-Table410016115911211318110[[#This Row],[2010]]</f>
        <v>-5</v>
      </c>
      <c r="P34" s="97">
        <f>SUM(P31:P33)</f>
        <v>1</v>
      </c>
      <c r="Q34" s="98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62</v>
      </c>
      <c r="R34" s="99">
        <v>77</v>
      </c>
      <c r="T34" s="44">
        <f>(F9/T33)*100</f>
        <v>10.526315789473683</v>
      </c>
      <c r="U34" s="44">
        <f>(F19/U33)*100</f>
        <v>33.774834437086092</v>
      </c>
      <c r="V34" s="44">
        <f>(F25/V33)*100</f>
        <v>10.204081632653061</v>
      </c>
      <c r="W34" s="44">
        <f>(F30/W33)*100</f>
        <v>9.4972067039106136</v>
      </c>
      <c r="X34" s="44">
        <f>(F34/X33)*100</f>
        <v>12.987012987012985</v>
      </c>
    </row>
    <row r="35" spans="1:24" ht="19">
      <c r="A35" s="100" t="s">
        <v>420</v>
      </c>
      <c r="B35" s="101">
        <f>SUM(B9,B19,B25,B30,B34)</f>
        <v>118</v>
      </c>
      <c r="C35" s="101">
        <f>Table410016115911211318110[[#This Row],[1990]]-Table410016115911211318110[[#This Row],[1986]]</f>
        <v>-31</v>
      </c>
      <c r="D35" s="101">
        <f>SUM(D9,D19,D25,D30,D34)</f>
        <v>87</v>
      </c>
      <c r="E35" s="80">
        <f>SUM(E29:E34)</f>
        <v>36</v>
      </c>
      <c r="F35" s="101">
        <f>SUM(F9,F19,F25,F30,F34)</f>
        <v>89</v>
      </c>
      <c r="G35" s="80">
        <f>Table410016115911211318110[[#This Row],[1998]]-Table410016115911211318110[[#This Row],[1994]]</f>
        <v>16</v>
      </c>
      <c r="H35" s="101">
        <f>SUM(H9,H19,H25,H30,H34)</f>
        <v>105</v>
      </c>
      <c r="I35" s="80">
        <f>Table410016115911211318110[[#This Row],[2002]]-Table410016115911211318110[[#This Row],[1998]]</f>
        <v>-23</v>
      </c>
      <c r="J35" s="101">
        <f>SUM(J9,J19,J25,J30,J34)</f>
        <v>82</v>
      </c>
      <c r="K35" s="80">
        <f>Table410016115911211318110[[#This Row],[2006]]-Table410016115911211318110[[#This Row],[2002]]</f>
        <v>-19</v>
      </c>
      <c r="L35" s="101">
        <f>SUM(L9,L19,L25,L30,L34)</f>
        <v>63</v>
      </c>
      <c r="M35" s="80">
        <f>Table410016115911211318110[[#This Row],[2010]]-Table410016115911211318110[[#This Row],[2006]]</f>
        <v>-20</v>
      </c>
      <c r="N35" s="101">
        <f>SUM(N9,N19,N25,N30,N34)</f>
        <v>43</v>
      </c>
      <c r="O35" s="80">
        <f>Table410016115911211318110[[#This Row],[2014]]-Table410016115911211318110[[#This Row],[2010]]</f>
        <v>-19</v>
      </c>
      <c r="P35" s="101">
        <f>SUM(P9,P19,P25,P30,P34)</f>
        <v>24</v>
      </c>
      <c r="Q35" s="102">
        <f>SUM(Table410016115911211318110[[#This Row],[1986]],Table410016115911211318110[[#This Row],[1990]],Table410016115911211318110[[#This Row],[1994]],Table410016115911211318110[[#This Row],[1998]],Table410016115911211318110[[#This Row],[2002]],Table410016115911211318110[[#This Row],[2006]],Table410016115911211318110[[#This Row],[2010]],Table410016115911211318110[[#This Row],[2014]])</f>
        <v>611</v>
      </c>
      <c r="R35" s="75">
        <v>513</v>
      </c>
    </row>
    <row r="36" spans="1:24">
      <c r="T36" s="178" t="s">
        <v>422</v>
      </c>
      <c r="U36" s="178"/>
      <c r="V36" s="178"/>
      <c r="W36" s="178"/>
      <c r="X36" s="178"/>
    </row>
    <row r="37" spans="1:24">
      <c r="T37" s="65" t="s">
        <v>410</v>
      </c>
      <c r="U37" s="66" t="s">
        <v>411</v>
      </c>
      <c r="V37" s="67" t="s">
        <v>412</v>
      </c>
      <c r="W37" s="68" t="s">
        <v>413</v>
      </c>
      <c r="X37" s="69" t="s">
        <v>414</v>
      </c>
    </row>
    <row r="38" spans="1:24">
      <c r="T38" s="9">
        <f>R9</f>
        <v>57</v>
      </c>
      <c r="U38" s="9">
        <f>R19</f>
        <v>151</v>
      </c>
      <c r="V38" s="9">
        <f>R25</f>
        <v>49</v>
      </c>
      <c r="W38" s="9">
        <f>(R30-10)</f>
        <v>169</v>
      </c>
      <c r="X38" s="9">
        <f>R34</f>
        <v>77</v>
      </c>
    </row>
    <row r="39" spans="1:24">
      <c r="T39" s="44">
        <f>(D9/T38)*100</f>
        <v>17.543859649122805</v>
      </c>
      <c r="U39" s="44">
        <f>(D19/U38)*100</f>
        <v>30.463576158940398</v>
      </c>
      <c r="V39" s="44">
        <f>(D25/V38)*100</f>
        <v>16.326530612244898</v>
      </c>
      <c r="W39" s="44">
        <f>(D30/W38)*100</f>
        <v>7.6923076923076925</v>
      </c>
      <c r="X39" s="44">
        <f>(D34/X38)*100</f>
        <v>12.987012987012985</v>
      </c>
    </row>
    <row r="41" spans="1:24">
      <c r="T41" s="178" t="s">
        <v>428</v>
      </c>
      <c r="U41" s="178"/>
      <c r="V41" s="178"/>
      <c r="W41" s="178"/>
      <c r="X41" s="178"/>
    </row>
    <row r="42" spans="1:24">
      <c r="T42" s="65" t="s">
        <v>410</v>
      </c>
      <c r="U42" s="66" t="s">
        <v>411</v>
      </c>
      <c r="V42" s="67" t="s">
        <v>412</v>
      </c>
      <c r="W42" s="68" t="s">
        <v>413</v>
      </c>
      <c r="X42" s="69" t="s">
        <v>414</v>
      </c>
    </row>
    <row r="43" spans="1:24">
      <c r="T43" s="9">
        <f>R9</f>
        <v>57</v>
      </c>
      <c r="U43" s="9">
        <f>R19</f>
        <v>151</v>
      </c>
      <c r="V43" s="9">
        <f>R25</f>
        <v>49</v>
      </c>
      <c r="W43" s="17">
        <f>(R30-19)</f>
        <v>160</v>
      </c>
      <c r="X43" s="9">
        <f>R34</f>
        <v>77</v>
      </c>
    </row>
    <row r="44" spans="1:24">
      <c r="T44" s="44">
        <f>(B9/T43)*100</f>
        <v>24.561403508771928</v>
      </c>
      <c r="U44" s="44">
        <f>(B19/U43)*100</f>
        <v>39.072847682119203</v>
      </c>
      <c r="V44" s="44">
        <f>(B25/V43)*100</f>
        <v>20.408163265306122</v>
      </c>
      <c r="W44" s="44">
        <f>(B30/W43)*100</f>
        <v>15.625</v>
      </c>
      <c r="X44" s="44">
        <f>(B34/X43)*100</f>
        <v>12.987012987012985</v>
      </c>
    </row>
  </sheetData>
  <mergeCells count="10">
    <mergeCell ref="T26:X26"/>
    <mergeCell ref="T31:X31"/>
    <mergeCell ref="T36:X36"/>
    <mergeCell ref="T41:X41"/>
    <mergeCell ref="A1:Q1"/>
    <mergeCell ref="T1:X1"/>
    <mergeCell ref="T6:X6"/>
    <mergeCell ref="T11:X11"/>
    <mergeCell ref="T16:X16"/>
    <mergeCell ref="T21:X21"/>
  </mergeCells>
  <conditionalFormatting sqref="C3:C35 I3:I35 K3:K35 M3:M35 O3:O35 E3:E25 E30 E34:E35 G3:G35">
    <cfRule type="cellIs" dxfId="366" priority="2" operator="greaterThan">
      <formula>0</formula>
    </cfRule>
  </conditionalFormatting>
  <conditionalFormatting sqref="C3:C35 I3:I35 K3:K35 M3:M35 O3:O35 E3:E25 E30 E34:E35 G3:G35">
    <cfRule type="cellIs" dxfId="365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4"/>
  <sheetViews>
    <sheetView topLeftCell="J19" workbookViewId="0">
      <selection activeCell="W43" sqref="W43"/>
    </sheetView>
  </sheetViews>
  <sheetFormatPr baseColWidth="10" defaultRowHeight="16"/>
  <cols>
    <col min="1" max="1" width="18.5" customWidth="1"/>
    <col min="17" max="17" width="19.5" customWidth="1"/>
    <col min="18" max="18" width="22.1640625" customWidth="1"/>
  </cols>
  <sheetData>
    <row r="1" spans="1:24" ht="19">
      <c r="A1" s="179" t="s">
        <v>423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T1" s="178" t="s">
        <v>391</v>
      </c>
      <c r="U1" s="178"/>
      <c r="V1" s="178"/>
      <c r="W1" s="178"/>
      <c r="X1" s="178"/>
    </row>
    <row r="2" spans="1:24" ht="19">
      <c r="A2" s="63" t="s">
        <v>392</v>
      </c>
      <c r="B2" s="63" t="s">
        <v>393</v>
      </c>
      <c r="C2" s="63" t="s">
        <v>394</v>
      </c>
      <c r="D2" s="63" t="s">
        <v>395</v>
      </c>
      <c r="E2" s="63" t="s">
        <v>396</v>
      </c>
      <c r="F2" s="63" t="s">
        <v>397</v>
      </c>
      <c r="G2" s="63" t="s">
        <v>398</v>
      </c>
      <c r="H2" s="63" t="s">
        <v>399</v>
      </c>
      <c r="I2" s="63" t="s">
        <v>400</v>
      </c>
      <c r="J2" s="63" t="s">
        <v>401</v>
      </c>
      <c r="K2" s="63" t="s">
        <v>402</v>
      </c>
      <c r="L2" s="63" t="s">
        <v>403</v>
      </c>
      <c r="M2" s="63" t="s">
        <v>404</v>
      </c>
      <c r="N2" s="63" t="s">
        <v>405</v>
      </c>
      <c r="O2" s="63" t="s">
        <v>406</v>
      </c>
      <c r="P2" s="63" t="s">
        <v>407</v>
      </c>
      <c r="Q2" s="64" t="s">
        <v>408</v>
      </c>
      <c r="R2" s="64" t="s">
        <v>427</v>
      </c>
      <c r="T2" s="65" t="s">
        <v>410</v>
      </c>
      <c r="U2" s="66" t="s">
        <v>411</v>
      </c>
      <c r="V2" s="67" t="s">
        <v>412</v>
      </c>
      <c r="W2" s="68" t="s">
        <v>413</v>
      </c>
      <c r="X2" s="69" t="s">
        <v>414</v>
      </c>
    </row>
    <row r="3" spans="1:24" ht="19">
      <c r="A3" s="70" t="s">
        <v>110</v>
      </c>
      <c r="B3" s="71">
        <v>5</v>
      </c>
      <c r="C3" s="72">
        <f>Table4100161159112161100[[#This Row],[1990]]-Table4100161159112161100[[#This Row],[1986]]</f>
        <v>-2</v>
      </c>
      <c r="D3" s="71">
        <v>3</v>
      </c>
      <c r="E3" s="72">
        <f>Table4100161159112161100[[#This Row],[1994]]-Table4100161159112161100[[#This Row],[1990]]</f>
        <v>1</v>
      </c>
      <c r="F3" s="71">
        <v>4</v>
      </c>
      <c r="G3" s="72">
        <f>Table4100161159112161100[[#This Row],[1998]]-Table4100161159112161100[[#This Row],[1994]]</f>
        <v>-3</v>
      </c>
      <c r="H3" s="71">
        <v>1</v>
      </c>
      <c r="I3" s="72">
        <f>Table4100161159112161100[[#This Row],[2002]]-Table4100161159112161100[[#This Row],[1998]]</f>
        <v>0</v>
      </c>
      <c r="J3" s="71">
        <v>1</v>
      </c>
      <c r="K3" s="72">
        <f>Table4100161159112161100[[#This Row],[2006]]-Table4100161159112161100[[#This Row],[2002]]</f>
        <v>0</v>
      </c>
      <c r="L3" s="71">
        <v>1</v>
      </c>
      <c r="M3" s="72">
        <f>Table4100161159112161100[[#This Row],[2010]]-Table4100161159112161100[[#This Row],[2006]]</f>
        <v>0</v>
      </c>
      <c r="N3" s="71">
        <v>1</v>
      </c>
      <c r="O3" s="72">
        <f>Table4100161159112161100[[#This Row],[2014]]-Table4100161159112161100[[#This Row],[2010]]</f>
        <v>1</v>
      </c>
      <c r="P3" s="71">
        <v>2</v>
      </c>
      <c r="Q3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18</v>
      </c>
      <c r="R3" s="74">
        <v>8</v>
      </c>
      <c r="T3" s="9">
        <f>R9*8</f>
        <v>456</v>
      </c>
      <c r="U3" s="9">
        <f>R19*8</f>
        <v>1208</v>
      </c>
      <c r="V3" s="9">
        <f>R25*8</f>
        <v>392</v>
      </c>
      <c r="W3" s="9">
        <f>R30*8</f>
        <v>1432</v>
      </c>
      <c r="X3" s="9">
        <f>R34*8</f>
        <v>616</v>
      </c>
    </row>
    <row r="4" spans="1:24" ht="19">
      <c r="A4" s="70" t="s">
        <v>106</v>
      </c>
      <c r="B4" s="71">
        <v>3</v>
      </c>
      <c r="C4" s="72">
        <f>Table4100161159112161100[[#This Row],[1990]]-Table4100161159112161100[[#This Row],[1986]]</f>
        <v>-1</v>
      </c>
      <c r="D4" s="71">
        <v>2</v>
      </c>
      <c r="E4" s="72">
        <f>Table4100161159112161100[[#This Row],[1994]]-Table4100161159112161100[[#This Row],[1990]]</f>
        <v>1</v>
      </c>
      <c r="F4" s="71">
        <v>3</v>
      </c>
      <c r="G4" s="72">
        <f>Table4100161159112161100[[#This Row],[1998]]-Table4100161159112161100[[#This Row],[1994]]</f>
        <v>-3</v>
      </c>
      <c r="H4" s="71"/>
      <c r="I4" s="72">
        <f>Table4100161159112161100[[#This Row],[2002]]-Table4100161159112161100[[#This Row],[1998]]</f>
        <v>0</v>
      </c>
      <c r="J4" s="71"/>
      <c r="K4" s="72">
        <f>Table4100161159112161100[[#This Row],[2006]]-Table4100161159112161100[[#This Row],[2002]]</f>
        <v>1</v>
      </c>
      <c r="L4" s="71">
        <v>1</v>
      </c>
      <c r="M4" s="72">
        <f>Table4100161159112161100[[#This Row],[2010]]-Table4100161159112161100[[#This Row],[2006]]</f>
        <v>0</v>
      </c>
      <c r="N4" s="71">
        <v>1</v>
      </c>
      <c r="O4" s="72">
        <f>Table4100161159112161100[[#This Row],[2014]]-Table4100161159112161100[[#This Row],[2010]]</f>
        <v>-1</v>
      </c>
      <c r="P4" s="71"/>
      <c r="Q4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10</v>
      </c>
      <c r="R4" s="75">
        <v>8</v>
      </c>
      <c r="T4" s="44">
        <f>(Q9/T3)*100</f>
        <v>22.807017543859647</v>
      </c>
      <c r="U4" s="44">
        <f>(Q19/U3)*100</f>
        <v>20.695364238410598</v>
      </c>
      <c r="V4" s="44">
        <f>(Q25/V3)*100</f>
        <v>26.020408163265309</v>
      </c>
      <c r="W4" s="44">
        <f>(Q30/W3)*100</f>
        <v>16.899441340782122</v>
      </c>
      <c r="X4" s="76">
        <f>(Q34/X3)*100</f>
        <v>25.487012987012985</v>
      </c>
    </row>
    <row r="5" spans="1:24" ht="19">
      <c r="A5" s="70" t="s">
        <v>104</v>
      </c>
      <c r="B5" s="71">
        <v>1</v>
      </c>
      <c r="C5" s="72">
        <f>Table4100161159112161100[[#This Row],[1990]]-Table4100161159112161100[[#This Row],[1986]]</f>
        <v>0</v>
      </c>
      <c r="D5" s="71">
        <v>1</v>
      </c>
      <c r="E5" s="72">
        <f>Table4100161159112161100[[#This Row],[1994]]-Table4100161159112161100[[#This Row],[1990]]</f>
        <v>-1</v>
      </c>
      <c r="F5" s="71"/>
      <c r="G5" s="72">
        <f>Table4100161159112161100[[#This Row],[1998]]-Table4100161159112161100[[#This Row],[1994]]</f>
        <v>1</v>
      </c>
      <c r="H5" s="71">
        <v>1</v>
      </c>
      <c r="I5" s="72">
        <f>Table4100161159112161100[[#This Row],[2002]]-Table4100161159112161100[[#This Row],[1998]]</f>
        <v>-1</v>
      </c>
      <c r="J5" s="71"/>
      <c r="K5" s="72">
        <f>Table4100161159112161100[[#This Row],[2006]]-Table4100161159112161100[[#This Row],[2002]]</f>
        <v>2</v>
      </c>
      <c r="L5" s="71">
        <v>2</v>
      </c>
      <c r="M5" s="72">
        <f>Table4100161159112161100[[#This Row],[2010]]-Table4100161159112161100[[#This Row],[2006]]</f>
        <v>-1</v>
      </c>
      <c r="N5" s="71">
        <v>1</v>
      </c>
      <c r="O5" s="72">
        <f>Table4100161159112161100[[#This Row],[2014]]-Table4100161159112161100[[#This Row],[2010]]</f>
        <v>0</v>
      </c>
      <c r="P5" s="71">
        <v>1</v>
      </c>
      <c r="Q5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7</v>
      </c>
      <c r="R5" s="75">
        <v>8</v>
      </c>
    </row>
    <row r="6" spans="1:24" ht="19">
      <c r="A6" s="70" t="s">
        <v>73</v>
      </c>
      <c r="B6" s="71">
        <v>13</v>
      </c>
      <c r="C6" s="72">
        <f>Table4100161159112161100[[#This Row],[1990]]-Table4100161159112161100[[#This Row],[1986]]</f>
        <v>-7</v>
      </c>
      <c r="D6" s="71">
        <v>6</v>
      </c>
      <c r="E6" s="72">
        <f>Table4100161159112161100[[#This Row],[1994]]-Table4100161159112161100[[#This Row],[1990]]</f>
        <v>1</v>
      </c>
      <c r="F6" s="71">
        <v>7</v>
      </c>
      <c r="G6" s="72">
        <f>Table4100161159112161100[[#This Row],[1998]]-Table4100161159112161100[[#This Row],[1994]]</f>
        <v>-3</v>
      </c>
      <c r="H6" s="71">
        <v>4</v>
      </c>
      <c r="I6" s="72">
        <f>Table4100161159112161100[[#This Row],[2002]]-Table4100161159112161100[[#This Row],[1998]]</f>
        <v>1</v>
      </c>
      <c r="J6" s="71">
        <v>5</v>
      </c>
      <c r="K6" s="72">
        <f>Table4100161159112161100[[#This Row],[2006]]-Table4100161159112161100[[#This Row],[2002]]</f>
        <v>0</v>
      </c>
      <c r="L6" s="71">
        <v>5</v>
      </c>
      <c r="M6" s="72">
        <f>Table4100161159112161100[[#This Row],[2010]]-Table4100161159112161100[[#This Row],[2006]]</f>
        <v>-1</v>
      </c>
      <c r="N6" s="71">
        <v>4</v>
      </c>
      <c r="O6" s="72">
        <f>Table4100161159112161100[[#This Row],[2014]]-Table4100161159112161100[[#This Row],[2010]]</f>
        <v>-1</v>
      </c>
      <c r="P6" s="71">
        <v>3</v>
      </c>
      <c r="Q6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47</v>
      </c>
      <c r="R6" s="75">
        <v>17</v>
      </c>
      <c r="T6" s="178" t="s">
        <v>415</v>
      </c>
      <c r="U6" s="178"/>
      <c r="V6" s="178"/>
      <c r="W6" s="178"/>
      <c r="X6" s="178"/>
    </row>
    <row r="7" spans="1:24" ht="19">
      <c r="A7" s="70" t="s">
        <v>67</v>
      </c>
      <c r="B7" s="77">
        <v>5</v>
      </c>
      <c r="C7" s="72">
        <f>Table4100161159112161100[[#This Row],[1990]]-Table4100161159112161100[[#This Row],[1986]]</f>
        <v>-5</v>
      </c>
      <c r="D7" s="77"/>
      <c r="E7" s="72">
        <f>Table4100161159112161100[[#This Row],[1994]]-Table4100161159112161100[[#This Row],[1990]]</f>
        <v>1</v>
      </c>
      <c r="F7" s="77">
        <v>1</v>
      </c>
      <c r="G7" s="72">
        <f>Table4100161159112161100[[#This Row],[1998]]-Table4100161159112161100[[#This Row],[1994]]</f>
        <v>0</v>
      </c>
      <c r="H7" s="77">
        <v>1</v>
      </c>
      <c r="I7" s="72">
        <f>Table4100161159112161100[[#This Row],[2002]]-Table4100161159112161100[[#This Row],[1998]]</f>
        <v>1</v>
      </c>
      <c r="J7" s="77">
        <v>2</v>
      </c>
      <c r="K7" s="72">
        <f>Table4100161159112161100[[#This Row],[2006]]-Table4100161159112161100[[#This Row],[2002]]</f>
        <v>0</v>
      </c>
      <c r="L7" s="77">
        <v>2</v>
      </c>
      <c r="M7" s="72">
        <f>Table4100161159112161100[[#This Row],[2010]]-Table4100161159112161100[[#This Row],[2006]]</f>
        <v>0</v>
      </c>
      <c r="N7" s="77">
        <v>2</v>
      </c>
      <c r="O7" s="72">
        <f>Table4100161159112161100[[#This Row],[2014]]-Table4100161159112161100[[#This Row],[2010]]</f>
        <v>1</v>
      </c>
      <c r="P7" s="77">
        <v>3</v>
      </c>
      <c r="Q7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16</v>
      </c>
      <c r="R7" s="75">
        <v>8</v>
      </c>
      <c r="T7" s="65" t="s">
        <v>410</v>
      </c>
      <c r="U7" s="66" t="s">
        <v>411</v>
      </c>
      <c r="V7" s="67" t="s">
        <v>412</v>
      </c>
      <c r="W7" s="68" t="s">
        <v>413</v>
      </c>
      <c r="X7" s="69" t="s">
        <v>414</v>
      </c>
    </row>
    <row r="8" spans="1:24" ht="19">
      <c r="A8" s="70" t="s">
        <v>65</v>
      </c>
      <c r="B8" s="71"/>
      <c r="C8" s="72">
        <f>Table4100161159112161100[[#This Row],[1990]]-Table4100161159112161100[[#This Row],[1986]]</f>
        <v>1</v>
      </c>
      <c r="D8" s="71">
        <v>1</v>
      </c>
      <c r="E8" s="72">
        <f>Table4100161159112161100[[#This Row],[1994]]-Table4100161159112161100[[#This Row],[1990]]</f>
        <v>-1</v>
      </c>
      <c r="F8" s="71"/>
      <c r="G8" s="72">
        <f>Table4100161159112161100[[#This Row],[1998]]-Table4100161159112161100[[#This Row],[1994]]</f>
        <v>1</v>
      </c>
      <c r="H8" s="71">
        <v>1</v>
      </c>
      <c r="I8" s="72">
        <f>Table4100161159112161100[[#This Row],[2002]]-Table4100161159112161100[[#This Row],[1998]]</f>
        <v>-1</v>
      </c>
      <c r="J8" s="71"/>
      <c r="K8" s="72">
        <f>Table4100161159112161100[[#This Row],[2006]]-Table4100161159112161100[[#This Row],[2002]]</f>
        <v>1</v>
      </c>
      <c r="L8" s="71">
        <v>1</v>
      </c>
      <c r="M8" s="72">
        <f>Table4100161159112161100[[#This Row],[2010]]-Table4100161159112161100[[#This Row],[2006]]</f>
        <v>1</v>
      </c>
      <c r="N8" s="71">
        <v>2</v>
      </c>
      <c r="O8" s="72">
        <f>Table4100161159112161100[[#This Row],[2014]]-Table4100161159112161100[[#This Row],[2010]]</f>
        <v>-1</v>
      </c>
      <c r="P8" s="71">
        <v>1</v>
      </c>
      <c r="Q8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6</v>
      </c>
      <c r="R8" s="75">
        <v>8</v>
      </c>
      <c r="T8" s="9">
        <f>R9</f>
        <v>57</v>
      </c>
      <c r="U8" s="9">
        <f>R19</f>
        <v>151</v>
      </c>
      <c r="V8" s="9">
        <f>R25</f>
        <v>49</v>
      </c>
      <c r="W8" s="9">
        <f>R30</f>
        <v>179</v>
      </c>
      <c r="X8" s="9">
        <f>R34</f>
        <v>77</v>
      </c>
    </row>
    <row r="9" spans="1:24" ht="19">
      <c r="A9" s="78" t="s">
        <v>410</v>
      </c>
      <c r="B9" s="79">
        <f>SUM(B3:B8)</f>
        <v>27</v>
      </c>
      <c r="C9" s="79">
        <f>Table4100161159112161100[[#This Row],[1990]]-Table4100161159112161100[[#This Row],[1986]]</f>
        <v>-14</v>
      </c>
      <c r="D9" s="79">
        <f>SUM(D3:D8)</f>
        <v>13</v>
      </c>
      <c r="E9" s="80">
        <f>Table4100161159112161100[[#This Row],[1994]]-Table4100161159112161100[[#This Row],[1990]]</f>
        <v>2</v>
      </c>
      <c r="F9" s="79">
        <f>SUM(F3:F8)</f>
        <v>15</v>
      </c>
      <c r="G9" s="80">
        <f>Table4100161159112161100[[#This Row],[1998]]-Table4100161159112161100[[#This Row],[1994]]</f>
        <v>-7</v>
      </c>
      <c r="H9" s="79">
        <f>SUM(H3:H8)</f>
        <v>8</v>
      </c>
      <c r="I9" s="80">
        <f>Table4100161159112161100[[#This Row],[2002]]-Table4100161159112161100[[#This Row],[1998]]</f>
        <v>0</v>
      </c>
      <c r="J9" s="79">
        <f>SUM(J3:J8)</f>
        <v>8</v>
      </c>
      <c r="K9" s="80">
        <f>Table4100161159112161100[[#This Row],[2006]]-Table4100161159112161100[[#This Row],[2002]]</f>
        <v>4</v>
      </c>
      <c r="L9" s="79">
        <f>SUM(L3:L8)</f>
        <v>12</v>
      </c>
      <c r="M9" s="80">
        <f>Table4100161159112161100[[#This Row],[2010]]-Table4100161159112161100[[#This Row],[2006]]</f>
        <v>-1</v>
      </c>
      <c r="N9" s="79">
        <f>SUM(N3:N8)</f>
        <v>11</v>
      </c>
      <c r="O9" s="80">
        <f>Table4100161159112161100[[#This Row],[2014]]-Table4100161159112161100[[#This Row],[2010]]</f>
        <v>-1</v>
      </c>
      <c r="P9" s="79">
        <f>SUM(P3:P8)</f>
        <v>10</v>
      </c>
      <c r="Q9" s="81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104</v>
      </c>
      <c r="R9" s="82">
        <v>57</v>
      </c>
      <c r="T9" s="44" t="e">
        <f>([1]!Table410016115911211512019293032122[[#This Row],[2014]]/T8)*100</f>
        <v>#REF!</v>
      </c>
      <c r="U9" s="44">
        <f>(P19/U8)*100</f>
        <v>9.9337748344370862</v>
      </c>
      <c r="V9" s="44">
        <f>(P25/V8)*100</f>
        <v>16.326530612244898</v>
      </c>
      <c r="W9" s="44">
        <f>(P30/W8)*100</f>
        <v>8.938547486033519</v>
      </c>
      <c r="X9" s="44">
        <f>(P34/X8)*100</f>
        <v>16.883116883116884</v>
      </c>
    </row>
    <row r="10" spans="1:24" ht="19">
      <c r="A10" s="70" t="s">
        <v>108</v>
      </c>
      <c r="B10" s="71">
        <v>4</v>
      </c>
      <c r="C10" s="72">
        <f>Table4100161159112161100[[#This Row],[1990]]-Table4100161159112161100[[#This Row],[1986]]</f>
        <v>-2</v>
      </c>
      <c r="D10" s="71">
        <v>2</v>
      </c>
      <c r="E10" s="72">
        <f>Table4100161159112161100[[#This Row],[1994]]-Table4100161159112161100[[#This Row],[1990]]</f>
        <v>-1</v>
      </c>
      <c r="F10" s="71">
        <v>1</v>
      </c>
      <c r="G10" s="72">
        <f>Table4100161159112161100[[#This Row],[1998]]-Table4100161159112161100[[#This Row],[1994]]</f>
        <v>1</v>
      </c>
      <c r="H10" s="71">
        <v>2</v>
      </c>
      <c r="I10" s="72">
        <f>Table4100161159112161100[[#This Row],[2002]]-Table4100161159112161100[[#This Row],[1998]]</f>
        <v>-1</v>
      </c>
      <c r="J10" s="71">
        <v>1</v>
      </c>
      <c r="K10" s="72">
        <f>Table4100161159112161100[[#This Row],[2006]]-Table4100161159112161100[[#This Row],[2002]]</f>
        <v>2</v>
      </c>
      <c r="L10" s="71">
        <v>3</v>
      </c>
      <c r="M10" s="72">
        <f>Table4100161159112161100[[#This Row],[2010]]-Table4100161159112161100[[#This Row],[2006]]</f>
        <v>-1</v>
      </c>
      <c r="N10" s="71">
        <v>2</v>
      </c>
      <c r="O10" s="72">
        <f>Table4100161159112161100[[#This Row],[2014]]-Table4100161159112161100[[#This Row],[2010]]</f>
        <v>-1</v>
      </c>
      <c r="P10" s="71">
        <v>1</v>
      </c>
      <c r="Q10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16</v>
      </c>
      <c r="R10" s="75">
        <v>9</v>
      </c>
    </row>
    <row r="11" spans="1:24" ht="19">
      <c r="A11" s="70" t="s">
        <v>101</v>
      </c>
      <c r="B11" s="71">
        <v>22</v>
      </c>
      <c r="C11" s="72">
        <f>Table4100161159112161100[[#This Row],[1990]]-Table4100161159112161100[[#This Row],[1986]]</f>
        <v>-16</v>
      </c>
      <c r="D11" s="71">
        <v>6</v>
      </c>
      <c r="E11" s="72">
        <f>Table4100161159112161100[[#This Row],[1994]]-Table4100161159112161100[[#This Row],[1990]]</f>
        <v>0</v>
      </c>
      <c r="F11" s="71">
        <v>6</v>
      </c>
      <c r="G11" s="72">
        <f>Table4100161159112161100[[#This Row],[1998]]-Table4100161159112161100[[#This Row],[1994]]</f>
        <v>-2</v>
      </c>
      <c r="H11" s="71">
        <v>4</v>
      </c>
      <c r="I11" s="72">
        <f>Table4100161159112161100[[#This Row],[2002]]-Table4100161159112161100[[#This Row],[1998]]</f>
        <v>0</v>
      </c>
      <c r="J11" s="71">
        <v>4</v>
      </c>
      <c r="K11" s="72">
        <f>Table4100161159112161100[[#This Row],[2006]]-Table4100161159112161100[[#This Row],[2002]]</f>
        <v>0</v>
      </c>
      <c r="L11" s="71">
        <v>4</v>
      </c>
      <c r="M11" s="72">
        <f>Table4100161159112161100[[#This Row],[2010]]-Table4100161159112161100[[#This Row],[2006]]</f>
        <v>-2</v>
      </c>
      <c r="N11" s="71">
        <v>2</v>
      </c>
      <c r="O11" s="72">
        <f>Table4100161159112161100[[#This Row],[2014]]-Table4100161159112161100[[#This Row],[2010]]</f>
        <v>-1</v>
      </c>
      <c r="P11" s="71">
        <v>1</v>
      </c>
      <c r="Q11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49</v>
      </c>
      <c r="R11" s="75">
        <v>39</v>
      </c>
      <c r="T11" s="178" t="s">
        <v>416</v>
      </c>
      <c r="U11" s="178"/>
      <c r="V11" s="178"/>
      <c r="W11" s="178"/>
      <c r="X11" s="178"/>
    </row>
    <row r="12" spans="1:24" ht="19">
      <c r="A12" s="70" t="s">
        <v>99</v>
      </c>
      <c r="B12" s="71">
        <v>13</v>
      </c>
      <c r="C12" s="72">
        <f>Table4100161159112161100[[#This Row],[1990]]-Table4100161159112161100[[#This Row],[1986]]</f>
        <v>-9</v>
      </c>
      <c r="D12" s="71">
        <v>4</v>
      </c>
      <c r="E12" s="72">
        <f>Table4100161159112161100[[#This Row],[1994]]-Table4100161159112161100[[#This Row],[1990]]</f>
        <v>1</v>
      </c>
      <c r="F12" s="71">
        <v>5</v>
      </c>
      <c r="G12" s="72">
        <f>Table4100161159112161100[[#This Row],[1998]]-Table4100161159112161100[[#This Row],[1994]]</f>
        <v>1</v>
      </c>
      <c r="H12" s="71">
        <v>6</v>
      </c>
      <c r="I12" s="72">
        <f>Table4100161159112161100[[#This Row],[2002]]-Table4100161159112161100[[#This Row],[1998]]</f>
        <v>-1</v>
      </c>
      <c r="J12" s="71">
        <v>5</v>
      </c>
      <c r="K12" s="72">
        <f>Table4100161159112161100[[#This Row],[2006]]-Table4100161159112161100[[#This Row],[2002]]</f>
        <v>1</v>
      </c>
      <c r="L12" s="71">
        <v>6</v>
      </c>
      <c r="M12" s="72">
        <f>Table4100161159112161100[[#This Row],[2010]]-Table4100161159112161100[[#This Row],[2006]]</f>
        <v>-1</v>
      </c>
      <c r="N12" s="71">
        <v>5</v>
      </c>
      <c r="O12" s="72">
        <f>Table4100161159112161100[[#This Row],[2014]]-Table4100161159112161100[[#This Row],[2010]]</f>
        <v>-2</v>
      </c>
      <c r="P12" s="71">
        <v>3</v>
      </c>
      <c r="Q12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47</v>
      </c>
      <c r="R12" s="75">
        <v>22</v>
      </c>
      <c r="T12" s="65" t="s">
        <v>410</v>
      </c>
      <c r="U12" s="66" t="s">
        <v>411</v>
      </c>
      <c r="V12" s="67" t="s">
        <v>412</v>
      </c>
      <c r="W12" s="68" t="s">
        <v>413</v>
      </c>
      <c r="X12" s="69" t="s">
        <v>414</v>
      </c>
    </row>
    <row r="13" spans="1:24" ht="19">
      <c r="A13" s="70" t="s">
        <v>90</v>
      </c>
      <c r="B13" s="71">
        <v>8</v>
      </c>
      <c r="C13" s="72">
        <f>Table4100161159112161100[[#This Row],[1990]]-Table4100161159112161100[[#This Row],[1986]]</f>
        <v>-7</v>
      </c>
      <c r="D13" s="71">
        <v>1</v>
      </c>
      <c r="E13" s="72">
        <f>Table4100161159112161100[[#This Row],[1994]]-Table4100161159112161100[[#This Row],[1990]]</f>
        <v>4</v>
      </c>
      <c r="F13" s="71">
        <v>5</v>
      </c>
      <c r="G13" s="72">
        <f>Table4100161159112161100[[#This Row],[1998]]-Table4100161159112161100[[#This Row],[1994]]</f>
        <v>-2</v>
      </c>
      <c r="H13" s="71">
        <v>3</v>
      </c>
      <c r="I13" s="72">
        <f>Table4100161159112161100[[#This Row],[2002]]-Table4100161159112161100[[#This Row],[1998]]</f>
        <v>-1</v>
      </c>
      <c r="J13" s="71">
        <v>2</v>
      </c>
      <c r="K13" s="72">
        <f>Table4100161159112161100[[#This Row],[2006]]-Table4100161159112161100[[#This Row],[2002]]</f>
        <v>1</v>
      </c>
      <c r="L13" s="71">
        <v>3</v>
      </c>
      <c r="M13" s="72">
        <f>Table4100161159112161100[[#This Row],[2010]]-Table4100161159112161100[[#This Row],[2006]]</f>
        <v>2</v>
      </c>
      <c r="N13" s="71">
        <v>5</v>
      </c>
      <c r="O13" s="72">
        <f>Table4100161159112161100[[#This Row],[2014]]-Table4100161159112161100[[#This Row],[2010]]</f>
        <v>-3</v>
      </c>
      <c r="P13" s="71">
        <v>2</v>
      </c>
      <c r="Q13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29</v>
      </c>
      <c r="R13" s="75">
        <v>18</v>
      </c>
      <c r="T13" s="9">
        <f>R9</f>
        <v>57</v>
      </c>
      <c r="U13" s="9">
        <f>R19</f>
        <v>151</v>
      </c>
      <c r="V13" s="9">
        <f>R25</f>
        <v>49</v>
      </c>
      <c r="W13" s="9">
        <f>R30</f>
        <v>179</v>
      </c>
      <c r="X13" s="9">
        <f>R34</f>
        <v>77</v>
      </c>
    </row>
    <row r="14" spans="1:24" ht="19">
      <c r="A14" s="70" t="s">
        <v>79</v>
      </c>
      <c r="B14" s="71">
        <v>7</v>
      </c>
      <c r="C14" s="72">
        <f>Table4100161159112161100[[#This Row],[1990]]-Table4100161159112161100[[#This Row],[1986]]</f>
        <v>-3</v>
      </c>
      <c r="D14" s="71">
        <v>4</v>
      </c>
      <c r="E14" s="72">
        <f>Table4100161159112161100[[#This Row],[1994]]-Table4100161159112161100[[#This Row],[1990]]</f>
        <v>3</v>
      </c>
      <c r="F14" s="71">
        <v>7</v>
      </c>
      <c r="G14" s="72">
        <f>Table4100161159112161100[[#This Row],[1998]]-Table4100161159112161100[[#This Row],[1994]]</f>
        <v>-2</v>
      </c>
      <c r="H14" s="71">
        <v>5</v>
      </c>
      <c r="I14" s="72">
        <f>Table4100161159112161100[[#This Row],[2002]]-Table4100161159112161100[[#This Row],[1998]]</f>
        <v>-3</v>
      </c>
      <c r="J14" s="71">
        <v>2</v>
      </c>
      <c r="K14" s="72">
        <f>Table4100161159112161100[[#This Row],[2006]]-Table4100161159112161100[[#This Row],[2002]]</f>
        <v>1</v>
      </c>
      <c r="L14" s="71">
        <v>3</v>
      </c>
      <c r="M14" s="72">
        <f>Table4100161159112161100[[#This Row],[2010]]-Table4100161159112161100[[#This Row],[2006]]</f>
        <v>2</v>
      </c>
      <c r="N14" s="71">
        <v>5</v>
      </c>
      <c r="O14" s="72">
        <f>Table4100161159112161100[[#This Row],[2014]]-Table4100161159112161100[[#This Row],[2010]]</f>
        <v>-2</v>
      </c>
      <c r="P14" s="71">
        <v>3</v>
      </c>
      <c r="Q14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36</v>
      </c>
      <c r="R14" s="75">
        <v>12</v>
      </c>
      <c r="T14" s="44">
        <f>(N9/T13)*100</f>
        <v>19.298245614035086</v>
      </c>
      <c r="U14" s="44">
        <f>(N19/U13)*100</f>
        <v>15.894039735099339</v>
      </c>
      <c r="V14" s="44">
        <f>(N25/V13)*100</f>
        <v>20.408163265306122</v>
      </c>
      <c r="W14" s="44">
        <f>(N30/W13)*100</f>
        <v>10.05586592178771</v>
      </c>
      <c r="X14" s="44">
        <f>(N34/X13)*100</f>
        <v>19.480519480519483</v>
      </c>
    </row>
    <row r="15" spans="1:24" ht="19">
      <c r="A15" s="70" t="s">
        <v>77</v>
      </c>
      <c r="B15" s="71">
        <v>13</v>
      </c>
      <c r="C15" s="72">
        <f>Table4100161159112161100[[#This Row],[1990]]-Table4100161159112161100[[#This Row],[1986]]</f>
        <v>-9</v>
      </c>
      <c r="D15" s="71">
        <v>4</v>
      </c>
      <c r="E15" s="72">
        <f>Table4100161159112161100[[#This Row],[1994]]-Table4100161159112161100[[#This Row],[1990]]</f>
        <v>-4</v>
      </c>
      <c r="F15" s="71"/>
      <c r="G15" s="72">
        <f>Table4100161159112161100[[#This Row],[1998]]-Table4100161159112161100[[#This Row],[1994]]</f>
        <v>3</v>
      </c>
      <c r="H15" s="71">
        <v>3</v>
      </c>
      <c r="I15" s="72">
        <f>Table4100161159112161100[[#This Row],[2002]]-Table4100161159112161100[[#This Row],[1998]]</f>
        <v>1</v>
      </c>
      <c r="J15" s="71">
        <v>4</v>
      </c>
      <c r="K15" s="72">
        <f>Table4100161159112161100[[#This Row],[2006]]-Table4100161159112161100[[#This Row],[2002]]</f>
        <v>-1</v>
      </c>
      <c r="L15" s="71">
        <v>3</v>
      </c>
      <c r="M15" s="72">
        <f>Table4100161159112161100[[#This Row],[2010]]-Table4100161159112161100[[#This Row],[2006]]</f>
        <v>-2</v>
      </c>
      <c r="N15" s="71">
        <v>1</v>
      </c>
      <c r="O15" s="72">
        <f>Table4100161159112161100[[#This Row],[2014]]-Table4100161159112161100[[#This Row],[2010]]</f>
        <v>1</v>
      </c>
      <c r="P15" s="71">
        <v>2</v>
      </c>
      <c r="Q15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30</v>
      </c>
      <c r="R15" s="75">
        <v>25</v>
      </c>
    </row>
    <row r="16" spans="1:24" ht="19">
      <c r="A16" s="70" t="s">
        <v>75</v>
      </c>
      <c r="B16" s="72">
        <v>2</v>
      </c>
      <c r="C16" s="72">
        <f>Table4100161159112161100[[#This Row],[1990]]-Table4100161159112161100[[#This Row],[1986]]</f>
        <v>0</v>
      </c>
      <c r="D16" s="72">
        <v>2</v>
      </c>
      <c r="E16" s="72">
        <f>Table4100161159112161100[[#This Row],[1994]]-Table4100161159112161100[[#This Row],[1990]]</f>
        <v>0</v>
      </c>
      <c r="F16" s="72">
        <v>2</v>
      </c>
      <c r="G16" s="72">
        <f>Table4100161159112161100[[#This Row],[1998]]-Table4100161159112161100[[#This Row],[1994]]</f>
        <v>1</v>
      </c>
      <c r="H16" s="72">
        <v>3</v>
      </c>
      <c r="I16" s="72">
        <f>Table4100161159112161100[[#This Row],[2002]]-Table4100161159112161100[[#This Row],[1998]]</f>
        <v>-1</v>
      </c>
      <c r="J16" s="72">
        <v>2</v>
      </c>
      <c r="K16" s="72">
        <f>Table4100161159112161100[[#This Row],[2006]]-Table4100161159112161100[[#This Row],[2002]]</f>
        <v>0</v>
      </c>
      <c r="L16" s="72">
        <v>2</v>
      </c>
      <c r="M16" s="72">
        <f>Table4100161159112161100[[#This Row],[2010]]-Table4100161159112161100[[#This Row],[2006]]</f>
        <v>0</v>
      </c>
      <c r="N16" s="72">
        <v>2</v>
      </c>
      <c r="O16" s="72">
        <f>Table4100161159112161100[[#This Row],[2014]]-Table4100161159112161100[[#This Row],[2010]]</f>
        <v>-1</v>
      </c>
      <c r="P16" s="72">
        <v>1</v>
      </c>
      <c r="Q16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16</v>
      </c>
      <c r="R16" s="75">
        <v>10</v>
      </c>
      <c r="T16" s="178" t="s">
        <v>417</v>
      </c>
      <c r="U16" s="178"/>
      <c r="V16" s="178"/>
      <c r="W16" s="178"/>
      <c r="X16" s="178"/>
    </row>
    <row r="17" spans="1:24" ht="19">
      <c r="A17" s="70" t="s">
        <v>69</v>
      </c>
      <c r="B17" s="71">
        <v>4</v>
      </c>
      <c r="C17" s="72">
        <f>Table4100161159112161100[[#This Row],[1990]]-Table4100161159112161100[[#This Row],[1986]]</f>
        <v>-1</v>
      </c>
      <c r="D17" s="71">
        <v>3</v>
      </c>
      <c r="E17" s="72">
        <f>Table4100161159112161100[[#This Row],[1994]]-Table4100161159112161100[[#This Row],[1990]]</f>
        <v>-1</v>
      </c>
      <c r="F17" s="71">
        <v>2</v>
      </c>
      <c r="G17" s="72">
        <f>Table4100161159112161100[[#This Row],[1998]]-Table4100161159112161100[[#This Row],[1994]]</f>
        <v>0</v>
      </c>
      <c r="H17" s="71">
        <v>2</v>
      </c>
      <c r="I17" s="72">
        <f>Table4100161159112161100[[#This Row],[2002]]-Table4100161159112161100[[#This Row],[1998]]</f>
        <v>1</v>
      </c>
      <c r="J17" s="71">
        <v>3</v>
      </c>
      <c r="K17" s="72">
        <f>Table4100161159112161100[[#This Row],[2006]]-Table4100161159112161100[[#This Row],[2002]]</f>
        <v>-2</v>
      </c>
      <c r="L17" s="71">
        <v>1</v>
      </c>
      <c r="M17" s="72">
        <f>Table4100161159112161100[[#This Row],[2010]]-Table4100161159112161100[[#This Row],[2006]]</f>
        <v>0</v>
      </c>
      <c r="N17" s="71">
        <v>1</v>
      </c>
      <c r="O17" s="72">
        <f>Table4100161159112161100[[#This Row],[2014]]-Table4100161159112161100[[#This Row],[2010]]</f>
        <v>0</v>
      </c>
      <c r="P17" s="71">
        <v>1</v>
      </c>
      <c r="Q17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17</v>
      </c>
      <c r="R17" s="75">
        <v>8</v>
      </c>
      <c r="T17" s="65" t="s">
        <v>410</v>
      </c>
      <c r="U17" s="66" t="s">
        <v>411</v>
      </c>
      <c r="V17" s="67" t="s">
        <v>412</v>
      </c>
      <c r="W17" s="68" t="s">
        <v>413</v>
      </c>
      <c r="X17" s="69" t="s">
        <v>414</v>
      </c>
    </row>
    <row r="18" spans="1:24" ht="19">
      <c r="A18" s="70" t="s">
        <v>56</v>
      </c>
      <c r="B18" s="71">
        <v>3</v>
      </c>
      <c r="C18" s="72">
        <f>Table4100161159112161100[[#This Row],[1990]]-Table4100161159112161100[[#This Row],[1986]]</f>
        <v>-3</v>
      </c>
      <c r="D18" s="71"/>
      <c r="E18" s="72">
        <f>Table4100161159112161100[[#This Row],[1994]]-Table4100161159112161100[[#This Row],[1990]]</f>
        <v>2</v>
      </c>
      <c r="F18" s="71">
        <v>2</v>
      </c>
      <c r="G18" s="72">
        <f>Table4100161159112161100[[#This Row],[1998]]-Table4100161159112161100[[#This Row],[1994]]</f>
        <v>0</v>
      </c>
      <c r="H18" s="71">
        <v>2</v>
      </c>
      <c r="I18" s="72">
        <f>Table4100161159112161100[[#This Row],[2002]]-Table4100161159112161100[[#This Row],[1998]]</f>
        <v>-1</v>
      </c>
      <c r="J18" s="71">
        <v>1</v>
      </c>
      <c r="K18" s="72">
        <f>Table4100161159112161100[[#This Row],[2006]]-Table4100161159112161100[[#This Row],[2002]]</f>
        <v>-1</v>
      </c>
      <c r="L18" s="71"/>
      <c r="M18" s="72">
        <f>Table4100161159112161100[[#This Row],[2010]]-Table4100161159112161100[[#This Row],[2006]]</f>
        <v>1</v>
      </c>
      <c r="N18" s="71">
        <v>1</v>
      </c>
      <c r="O18" s="72">
        <f>Table4100161159112161100[[#This Row],[2014]]-Table4100161159112161100[[#This Row],[2010]]</f>
        <v>0</v>
      </c>
      <c r="P18" s="71">
        <v>1</v>
      </c>
      <c r="Q18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10</v>
      </c>
      <c r="R18" s="75">
        <v>8</v>
      </c>
      <c r="T18" s="9">
        <f>R9</f>
        <v>57</v>
      </c>
      <c r="U18" s="9">
        <f>R19</f>
        <v>151</v>
      </c>
      <c r="V18" s="9">
        <f>R25</f>
        <v>49</v>
      </c>
      <c r="W18" s="9">
        <f>R30</f>
        <v>179</v>
      </c>
      <c r="X18" s="9">
        <f>R34</f>
        <v>77</v>
      </c>
    </row>
    <row r="19" spans="1:24" ht="19">
      <c r="A19" s="83" t="s">
        <v>411</v>
      </c>
      <c r="B19" s="84">
        <f>SUM(B10:B18)</f>
        <v>76</v>
      </c>
      <c r="C19" s="84">
        <f>Table4100161159112161100[[#This Row],[1990]]-Table4100161159112161100[[#This Row],[1986]]</f>
        <v>-50</v>
      </c>
      <c r="D19" s="84">
        <f>SUM(D10:D18)</f>
        <v>26</v>
      </c>
      <c r="E19" s="80">
        <f>Table4100161159112161100[[#This Row],[1994]]-Table4100161159112161100[[#This Row],[1990]]</f>
        <v>4</v>
      </c>
      <c r="F19" s="84">
        <f>SUM(F10:F18)</f>
        <v>30</v>
      </c>
      <c r="G19" s="80">
        <f>Table4100161159112161100[[#This Row],[1998]]-Table4100161159112161100[[#This Row],[1994]]</f>
        <v>0</v>
      </c>
      <c r="H19" s="84">
        <f>SUM(H10:H18)</f>
        <v>30</v>
      </c>
      <c r="I19" s="80">
        <f>Table4100161159112161100[[#This Row],[2002]]-Table4100161159112161100[[#This Row],[1998]]</f>
        <v>-6</v>
      </c>
      <c r="J19" s="84">
        <f>SUM(J10:J18)</f>
        <v>24</v>
      </c>
      <c r="K19" s="80">
        <f>Table4100161159112161100[[#This Row],[2006]]-Table4100161159112161100[[#This Row],[2002]]</f>
        <v>1</v>
      </c>
      <c r="L19" s="84">
        <f>SUM(L10:L18)</f>
        <v>25</v>
      </c>
      <c r="M19" s="80">
        <f>Table4100161159112161100[[#This Row],[2010]]-Table4100161159112161100[[#This Row],[2006]]</f>
        <v>-1</v>
      </c>
      <c r="N19" s="84">
        <f>SUM(N10:N18)</f>
        <v>24</v>
      </c>
      <c r="O19" s="80">
        <f>Table4100161159112161100[[#This Row],[2014]]-Table4100161159112161100[[#This Row],[2010]]</f>
        <v>-9</v>
      </c>
      <c r="P19" s="84">
        <f>SUM(P10:P18)</f>
        <v>15</v>
      </c>
      <c r="Q19" s="85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250</v>
      </c>
      <c r="R19" s="43">
        <v>151</v>
      </c>
      <c r="T19" s="44">
        <f>(L9/T18)*100</f>
        <v>21.052631578947366</v>
      </c>
      <c r="U19" s="44">
        <f>(L19/U18)*100</f>
        <v>16.556291390728479</v>
      </c>
      <c r="V19" s="44">
        <f>(L25/V18)*100</f>
        <v>26.530612244897959</v>
      </c>
      <c r="W19" s="44">
        <f>(L30/W18)*100</f>
        <v>12.849162011173185</v>
      </c>
      <c r="X19" s="44">
        <f>(L34/X18)*100</f>
        <v>20.779220779220779</v>
      </c>
    </row>
    <row r="20" spans="1:24" ht="19">
      <c r="A20" s="70" t="s">
        <v>97</v>
      </c>
      <c r="B20" s="71">
        <v>3</v>
      </c>
      <c r="C20" s="72">
        <f>Table4100161159112161100[[#This Row],[1990]]-Table4100161159112161100[[#This Row],[1986]]</f>
        <v>-3</v>
      </c>
      <c r="D20" s="71"/>
      <c r="E20" s="72">
        <f>Table4100161159112161100[[#This Row],[1994]]-Table4100161159112161100[[#This Row],[1990]]</f>
        <v>0</v>
      </c>
      <c r="F20" s="71"/>
      <c r="G20" s="72">
        <f>Table4100161159112161100[[#This Row],[1998]]-Table4100161159112161100[[#This Row],[1994]]</f>
        <v>1</v>
      </c>
      <c r="H20" s="71">
        <v>1</v>
      </c>
      <c r="I20" s="72">
        <f>Table4100161159112161100[[#This Row],[2002]]-Table4100161159112161100[[#This Row],[1998]]</f>
        <v>2</v>
      </c>
      <c r="J20" s="71">
        <v>3</v>
      </c>
      <c r="K20" s="72">
        <f>Table4100161159112161100[[#This Row],[2006]]-Table4100161159112161100[[#This Row],[2002]]</f>
        <v>-1</v>
      </c>
      <c r="L20" s="71">
        <v>2</v>
      </c>
      <c r="M20" s="72">
        <f>Table4100161159112161100[[#This Row],[2010]]-Table4100161159112161100[[#This Row],[2006]]</f>
        <v>-1</v>
      </c>
      <c r="N20" s="71">
        <v>1</v>
      </c>
      <c r="O20" s="72">
        <f>Table4100161159112161100[[#This Row],[2014]]-Table4100161159112161100[[#This Row],[2010]]</f>
        <v>0</v>
      </c>
      <c r="P20" s="71">
        <v>1</v>
      </c>
      <c r="Q20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11</v>
      </c>
      <c r="R20" s="75">
        <v>8</v>
      </c>
    </row>
    <row r="21" spans="1:24" ht="19">
      <c r="A21" s="86" t="s">
        <v>94</v>
      </c>
      <c r="B21" s="71">
        <v>12</v>
      </c>
      <c r="C21" s="72">
        <f>Table4100161159112161100[[#This Row],[1990]]-Table4100161159112161100[[#This Row],[1986]]</f>
        <v>-5</v>
      </c>
      <c r="D21" s="71">
        <v>7</v>
      </c>
      <c r="E21" s="72">
        <f>Table4100161159112161100[[#This Row],[1994]]-Table4100161159112161100[[#This Row],[1990]]</f>
        <v>0</v>
      </c>
      <c r="F21" s="71">
        <v>7</v>
      </c>
      <c r="G21" s="72">
        <f>Table4100161159112161100[[#This Row],[1998]]-Table4100161159112161100[[#This Row],[1994]]</f>
        <v>1</v>
      </c>
      <c r="H21" s="71">
        <v>8</v>
      </c>
      <c r="I21" s="72">
        <f>Table4100161159112161100[[#This Row],[2002]]-Table4100161159112161100[[#This Row],[1998]]</f>
        <v>-4</v>
      </c>
      <c r="J21" s="71">
        <v>4</v>
      </c>
      <c r="K21" s="72">
        <f>Table4100161159112161100[[#This Row],[2006]]-Table4100161159112161100[[#This Row],[2002]]</f>
        <v>1</v>
      </c>
      <c r="L21" s="71">
        <v>5</v>
      </c>
      <c r="M21" s="72">
        <f>Table4100161159112161100[[#This Row],[2010]]-Table4100161159112161100[[#This Row],[2006]]</f>
        <v>-1</v>
      </c>
      <c r="N21" s="71">
        <v>4</v>
      </c>
      <c r="O21" s="72">
        <f>Table4100161159112161100[[#This Row],[2014]]-Table4100161159112161100[[#This Row],[2010]]</f>
        <v>-2</v>
      </c>
      <c r="P21" s="71">
        <v>2</v>
      </c>
      <c r="Q21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49</v>
      </c>
      <c r="R21" s="75">
        <v>17</v>
      </c>
      <c r="T21" s="178" t="s">
        <v>418</v>
      </c>
      <c r="U21" s="178"/>
      <c r="V21" s="178"/>
      <c r="W21" s="178"/>
      <c r="X21" s="178"/>
    </row>
    <row r="22" spans="1:24" ht="19">
      <c r="A22" s="88" t="s">
        <v>85</v>
      </c>
      <c r="B22" s="71">
        <v>4</v>
      </c>
      <c r="C22" s="72">
        <f>Table4100161159112161100[[#This Row],[1990]]-Table4100161159112161100[[#This Row],[1986]]</f>
        <v>-3</v>
      </c>
      <c r="D22" s="71">
        <v>1</v>
      </c>
      <c r="E22" s="72">
        <f>Table4100161159112161100[[#This Row],[1994]]-Table4100161159112161100[[#This Row],[1990]]</f>
        <v>2</v>
      </c>
      <c r="F22" s="71">
        <v>3</v>
      </c>
      <c r="G22" s="72">
        <f>Table4100161159112161100[[#This Row],[1998]]-Table4100161159112161100[[#This Row],[1994]]</f>
        <v>-2</v>
      </c>
      <c r="H22" s="71">
        <v>1</v>
      </c>
      <c r="I22" s="72">
        <f>Table4100161159112161100[[#This Row],[2002]]-Table4100161159112161100[[#This Row],[1998]]</f>
        <v>0</v>
      </c>
      <c r="J22" s="71">
        <v>1</v>
      </c>
      <c r="K22" s="72">
        <f>Table4100161159112161100[[#This Row],[2006]]-Table4100161159112161100[[#This Row],[2002]]</f>
        <v>2</v>
      </c>
      <c r="L22" s="71">
        <v>3</v>
      </c>
      <c r="M22" s="72">
        <f>Table4100161159112161100[[#This Row],[2010]]-Table4100161159112161100[[#This Row],[2006]]</f>
        <v>0</v>
      </c>
      <c r="N22" s="71">
        <v>3</v>
      </c>
      <c r="O22" s="72">
        <f>Table4100161159112161100[[#This Row],[2014]]-Table4100161159112161100[[#This Row],[2010]]</f>
        <v>-1</v>
      </c>
      <c r="P22" s="71">
        <v>2</v>
      </c>
      <c r="Q22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18</v>
      </c>
      <c r="R22" s="75">
        <v>8</v>
      </c>
      <c r="T22" s="65" t="s">
        <v>410</v>
      </c>
      <c r="U22" s="66" t="s">
        <v>411</v>
      </c>
      <c r="V22" s="67" t="s">
        <v>412</v>
      </c>
      <c r="W22" s="68" t="s">
        <v>413</v>
      </c>
      <c r="X22" s="69" t="s">
        <v>414</v>
      </c>
    </row>
    <row r="23" spans="1:24" ht="19">
      <c r="A23" s="88" t="s">
        <v>83</v>
      </c>
      <c r="B23" s="71">
        <v>5</v>
      </c>
      <c r="C23" s="72">
        <f>Table4100161159112161100[[#This Row],[1990]]-Table4100161159112161100[[#This Row],[1986]]</f>
        <v>-5</v>
      </c>
      <c r="D23" s="71"/>
      <c r="E23" s="72">
        <f>Table4100161159112161100[[#This Row],[1994]]-Table4100161159112161100[[#This Row],[1990]]</f>
        <v>1</v>
      </c>
      <c r="F23" s="71">
        <v>1</v>
      </c>
      <c r="G23" s="72">
        <f>Table4100161159112161100[[#This Row],[1998]]-Table4100161159112161100[[#This Row],[1994]]</f>
        <v>1</v>
      </c>
      <c r="H23" s="71">
        <v>2</v>
      </c>
      <c r="I23" s="72">
        <f>Table4100161159112161100[[#This Row],[2002]]-Table4100161159112161100[[#This Row],[1998]]</f>
        <v>-1</v>
      </c>
      <c r="J23" s="71">
        <v>1</v>
      </c>
      <c r="K23" s="72">
        <f>Table4100161159112161100[[#This Row],[2006]]-Table4100161159112161100[[#This Row],[2002]]</f>
        <v>0</v>
      </c>
      <c r="L23" s="71">
        <v>1</v>
      </c>
      <c r="M23" s="72">
        <f>Table4100161159112161100[[#This Row],[2010]]-Table4100161159112161100[[#This Row],[2006]]</f>
        <v>0</v>
      </c>
      <c r="N23" s="71">
        <v>1</v>
      </c>
      <c r="O23" s="72">
        <f>Table4100161159112161100[[#This Row],[2014]]-Table4100161159112161100[[#This Row],[2010]]</f>
        <v>0</v>
      </c>
      <c r="P23" s="71">
        <v>1</v>
      </c>
      <c r="Q23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12</v>
      </c>
      <c r="R23" s="75">
        <v>8</v>
      </c>
      <c r="T23" s="9">
        <f>R9</f>
        <v>57</v>
      </c>
      <c r="U23" s="9">
        <f>R19</f>
        <v>151</v>
      </c>
      <c r="V23" s="9">
        <f>R25</f>
        <v>49</v>
      </c>
      <c r="W23" s="9">
        <f>R30</f>
        <v>179</v>
      </c>
      <c r="X23" s="9">
        <f>R34</f>
        <v>77</v>
      </c>
    </row>
    <row r="24" spans="1:24" ht="19">
      <c r="A24" s="88" t="s">
        <v>52</v>
      </c>
      <c r="B24" s="71"/>
      <c r="C24" s="72">
        <f>Table4100161159112161100[[#This Row],[1990]]-Table4100161159112161100[[#This Row],[1986]]</f>
        <v>2</v>
      </c>
      <c r="D24" s="71">
        <v>2</v>
      </c>
      <c r="E24" s="72">
        <f>Table4100161159112161100[[#This Row],[1994]]-Table4100161159112161100[[#This Row],[1990]]</f>
        <v>0</v>
      </c>
      <c r="F24" s="71">
        <v>2</v>
      </c>
      <c r="G24" s="72">
        <f>Table4100161159112161100[[#This Row],[1998]]-Table4100161159112161100[[#This Row],[1994]]</f>
        <v>0</v>
      </c>
      <c r="H24" s="71">
        <v>2</v>
      </c>
      <c r="I24" s="72">
        <f>Table4100161159112161100[[#This Row],[2002]]-Table4100161159112161100[[#This Row],[1998]]</f>
        <v>-1</v>
      </c>
      <c r="J24" s="71">
        <v>1</v>
      </c>
      <c r="K24" s="72">
        <f>Table4100161159112161100[[#This Row],[2006]]-Table4100161159112161100[[#This Row],[2002]]</f>
        <v>1</v>
      </c>
      <c r="L24" s="71">
        <v>2</v>
      </c>
      <c r="M24" s="72">
        <f>Table4100161159112161100[[#This Row],[2010]]-Table4100161159112161100[[#This Row],[2006]]</f>
        <v>-1</v>
      </c>
      <c r="N24" s="71">
        <v>1</v>
      </c>
      <c r="O24" s="72">
        <f>Table4100161159112161100[[#This Row],[2014]]-Table4100161159112161100[[#This Row],[2010]]</f>
        <v>1</v>
      </c>
      <c r="P24" s="71">
        <v>2</v>
      </c>
      <c r="Q24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12</v>
      </c>
      <c r="R24" s="75">
        <v>8</v>
      </c>
      <c r="T24" s="44">
        <f>(J9/T23)*100</f>
        <v>14.035087719298245</v>
      </c>
      <c r="U24" s="44">
        <f>(J19/U23)*100</f>
        <v>15.894039735099339</v>
      </c>
      <c r="V24" s="44">
        <f>(J25/V23)*100</f>
        <v>20.408163265306122</v>
      </c>
      <c r="W24" s="44">
        <f>(J30/W23)*100</f>
        <v>9.4972067039106136</v>
      </c>
      <c r="X24" s="44">
        <f>(J34/X23)*100</f>
        <v>18.181818181818183</v>
      </c>
    </row>
    <row r="25" spans="1:24" ht="19">
      <c r="A25" s="89" t="s">
        <v>412</v>
      </c>
      <c r="B25" s="79">
        <f>SUM(B20:B24)</f>
        <v>24</v>
      </c>
      <c r="C25" s="79">
        <f>Table4100161159112161100[[#This Row],[1990]]-Table4100161159112161100[[#This Row],[1986]]</f>
        <v>-14</v>
      </c>
      <c r="D25" s="79">
        <f>SUM(D20:D24)</f>
        <v>10</v>
      </c>
      <c r="E25" s="80">
        <f>Table4100161159112161100[[#This Row],[1994]]-Table4100161159112161100[[#This Row],[1990]]</f>
        <v>3</v>
      </c>
      <c r="F25" s="79">
        <f>SUM(F20:F24)</f>
        <v>13</v>
      </c>
      <c r="G25" s="80">
        <f>Table4100161159112161100[[#This Row],[1998]]-Table4100161159112161100[[#This Row],[1994]]</f>
        <v>1</v>
      </c>
      <c r="H25" s="79">
        <f>SUM(H20:H24)</f>
        <v>14</v>
      </c>
      <c r="I25" s="80">
        <f>Table4100161159112161100[[#This Row],[2002]]-Table4100161159112161100[[#This Row],[1998]]</f>
        <v>-4</v>
      </c>
      <c r="J25" s="79">
        <f>SUM(J20:J24)</f>
        <v>10</v>
      </c>
      <c r="K25" s="80">
        <f>Table4100161159112161100[[#This Row],[2006]]-Table4100161159112161100[[#This Row],[2002]]</f>
        <v>3</v>
      </c>
      <c r="L25" s="79">
        <f>SUM(L20:L24)</f>
        <v>13</v>
      </c>
      <c r="M25" s="80">
        <f>Table4100161159112161100[[#This Row],[2010]]-Table4100161159112161100[[#This Row],[2006]]</f>
        <v>-3</v>
      </c>
      <c r="N25" s="79">
        <f>SUM(N20:N24)</f>
        <v>10</v>
      </c>
      <c r="O25" s="80">
        <f>Table4100161159112161100[[#This Row],[2014]]-Table4100161159112161100[[#This Row],[2010]]</f>
        <v>-2</v>
      </c>
      <c r="P25" s="79">
        <f>SUM(P20:P24)</f>
        <v>8</v>
      </c>
      <c r="Q25" s="90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102</v>
      </c>
      <c r="R25" s="91">
        <v>49</v>
      </c>
    </row>
    <row r="26" spans="1:24" ht="19">
      <c r="A26" s="88" t="s">
        <v>95</v>
      </c>
      <c r="B26" s="71">
        <v>7</v>
      </c>
      <c r="C26" s="72">
        <f>Table4100161159112161100[[#This Row],[1990]]-Table4100161159112161100[[#This Row],[1986]]</f>
        <v>-2</v>
      </c>
      <c r="D26" s="71">
        <v>5</v>
      </c>
      <c r="E26" s="72">
        <f>Table4100161159112161100[[#This Row],[1994]]-Table4100161159112161100[[#This Row],[1990]]</f>
        <v>-2</v>
      </c>
      <c r="F26" s="71">
        <v>3</v>
      </c>
      <c r="G26" s="72">
        <f>Table4100161159112161100[[#This Row],[1998]]-Table4100161159112161100[[#This Row],[1994]]</f>
        <v>-2</v>
      </c>
      <c r="H26" s="71">
        <v>1</v>
      </c>
      <c r="I26" s="72">
        <f>Table4100161159112161100[[#This Row],[2002]]-Table4100161159112161100[[#This Row],[1998]]</f>
        <v>0</v>
      </c>
      <c r="J26" s="71">
        <v>1</v>
      </c>
      <c r="K26" s="72">
        <f>Table4100161159112161100[[#This Row],[2006]]-Table4100161159112161100[[#This Row],[2002]]</f>
        <v>2</v>
      </c>
      <c r="L26" s="71">
        <v>3</v>
      </c>
      <c r="M26" s="72">
        <f>Table4100161159112161100[[#This Row],[2010]]-Table4100161159112161100[[#This Row],[2006]]</f>
        <v>-1</v>
      </c>
      <c r="N26" s="71">
        <v>2</v>
      </c>
      <c r="O26" s="72">
        <f>Table4100161159112161100[[#This Row],[2014]]-Table4100161159112161100[[#This Row],[2010]]</f>
        <v>-1</v>
      </c>
      <c r="P26" s="71">
        <v>1</v>
      </c>
      <c r="Q26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23</v>
      </c>
      <c r="R26" s="75">
        <v>10</v>
      </c>
      <c r="T26" s="178" t="s">
        <v>419</v>
      </c>
      <c r="U26" s="178"/>
      <c r="V26" s="178"/>
      <c r="W26" s="178"/>
      <c r="X26" s="178"/>
    </row>
    <row r="27" spans="1:24" ht="19">
      <c r="A27" s="88" t="s">
        <v>88</v>
      </c>
      <c r="B27" s="71">
        <v>35</v>
      </c>
      <c r="C27" s="72">
        <f>Table4100161159112161100[[#This Row],[1990]]-Table4100161159112161100[[#This Row],[1986]]</f>
        <v>-20</v>
      </c>
      <c r="D27" s="71">
        <v>15</v>
      </c>
      <c r="E27" s="72">
        <f>Table4100161159112161100[[#This Row],[1994]]-Table4100161159112161100[[#This Row],[1990]]</f>
        <v>-4</v>
      </c>
      <c r="F27" s="71">
        <v>11</v>
      </c>
      <c r="G27" s="72">
        <f>Table4100161159112161100[[#This Row],[1998]]-Table4100161159112161100[[#This Row],[1994]]</f>
        <v>-2</v>
      </c>
      <c r="H27" s="71">
        <v>9</v>
      </c>
      <c r="I27" s="72">
        <f>Table4100161159112161100[[#This Row],[2002]]-Table4100161159112161100[[#This Row],[1998]]</f>
        <v>-3</v>
      </c>
      <c r="J27" s="71">
        <v>6</v>
      </c>
      <c r="K27" s="72">
        <f>Table4100161159112161100[[#This Row],[2006]]-Table4100161159112161100[[#This Row],[2002]]</f>
        <v>1</v>
      </c>
      <c r="L27" s="71">
        <v>7</v>
      </c>
      <c r="M27" s="72">
        <f>Table4100161159112161100[[#This Row],[2010]]-Table4100161159112161100[[#This Row],[2006]]</f>
        <v>0</v>
      </c>
      <c r="N27" s="71">
        <v>7</v>
      </c>
      <c r="O27" s="72">
        <f>Table4100161159112161100[[#This Row],[2014]]-Table4100161159112161100[[#This Row],[2010]]</f>
        <v>-1</v>
      </c>
      <c r="P27" s="71">
        <v>6</v>
      </c>
      <c r="Q27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96</v>
      </c>
      <c r="R27" s="75">
        <v>53</v>
      </c>
      <c r="T27" s="65" t="s">
        <v>410</v>
      </c>
      <c r="U27" s="66" t="s">
        <v>411</v>
      </c>
      <c r="V27" s="67" t="s">
        <v>412</v>
      </c>
      <c r="W27" s="68" t="s">
        <v>413</v>
      </c>
      <c r="X27" s="69" t="s">
        <v>414</v>
      </c>
    </row>
    <row r="28" spans="1:24" ht="19">
      <c r="A28" s="88" t="s">
        <v>72</v>
      </c>
      <c r="B28" s="71">
        <v>13</v>
      </c>
      <c r="C28" s="72">
        <f>Table4100161159112161100[[#This Row],[1990]]-Table4100161159112161100[[#This Row],[1986]]</f>
        <v>-11</v>
      </c>
      <c r="D28" s="71">
        <v>2</v>
      </c>
      <c r="E28" s="72">
        <f>Table4100161159112161100[[#This Row],[1994]]-Table4100161159112161100[[#This Row],[1990]]</f>
        <v>2</v>
      </c>
      <c r="F28" s="71">
        <v>4</v>
      </c>
      <c r="G28" s="72">
        <f>Table4100161159112161100[[#This Row],[1998]]-Table4100161159112161100[[#This Row],[1994]]</f>
        <v>-2</v>
      </c>
      <c r="H28" s="71">
        <v>2</v>
      </c>
      <c r="I28" s="72">
        <f>Table4100161159112161100[[#This Row],[2002]]-Table4100161159112161100[[#This Row],[1998]]</f>
        <v>4</v>
      </c>
      <c r="J28" s="71">
        <v>6</v>
      </c>
      <c r="K28" s="72">
        <f>Table4100161159112161100[[#This Row],[2006]]-Table4100161159112161100[[#This Row],[2002]]</f>
        <v>4</v>
      </c>
      <c r="L28" s="71">
        <v>10</v>
      </c>
      <c r="M28" s="72">
        <f>Table4100161159112161100[[#This Row],[2010]]-Table4100161159112161100[[#This Row],[2006]]</f>
        <v>-2</v>
      </c>
      <c r="N28" s="71">
        <v>8</v>
      </c>
      <c r="O28" s="72">
        <f>Table4100161159112161100[[#This Row],[2014]]-Table4100161159112161100[[#This Row],[2010]]</f>
        <v>-1</v>
      </c>
      <c r="P28" s="71">
        <v>7</v>
      </c>
      <c r="Q28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52</v>
      </c>
      <c r="R28" s="75">
        <v>46</v>
      </c>
      <c r="T28" s="9">
        <f>R9</f>
        <v>57</v>
      </c>
      <c r="U28" s="9">
        <f>R19</f>
        <v>151</v>
      </c>
      <c r="V28" s="9">
        <f>R25</f>
        <v>49</v>
      </c>
      <c r="W28" s="9">
        <f>R30</f>
        <v>179</v>
      </c>
      <c r="X28" s="9">
        <f>R34</f>
        <v>77</v>
      </c>
    </row>
    <row r="29" spans="1:24" ht="19">
      <c r="A29" s="88" t="s">
        <v>54</v>
      </c>
      <c r="B29" s="71">
        <v>28</v>
      </c>
      <c r="C29" s="72">
        <f>Table4100161159112161100[[#This Row],[1990]]-Table4100161159112161100[[#This Row],[1986]]</f>
        <v>-14</v>
      </c>
      <c r="D29" s="71">
        <v>14</v>
      </c>
      <c r="E29" s="72">
        <f>Table4100161159112161100[[#This Row],[1994]]-Table4100161159112161100[[#This Row],[1990]]</f>
        <v>0</v>
      </c>
      <c r="F29" s="71">
        <v>14</v>
      </c>
      <c r="G29" s="72">
        <f>Table4100161159112161100[[#This Row],[1998]]-Table4100161159112161100[[#This Row],[1994]]</f>
        <v>-9</v>
      </c>
      <c r="H29" s="71">
        <v>5</v>
      </c>
      <c r="I29" s="72">
        <f>Table4100161159112161100[[#This Row],[2002]]-Table4100161159112161100[[#This Row],[1998]]</f>
        <v>-1</v>
      </c>
      <c r="J29" s="71">
        <v>4</v>
      </c>
      <c r="K29" s="72">
        <f>Table4100161159112161100[[#This Row],[2006]]-Table4100161159112161100[[#This Row],[2002]]</f>
        <v>-1</v>
      </c>
      <c r="L29" s="71">
        <v>3</v>
      </c>
      <c r="M29" s="72">
        <f>Table4100161159112161100[[#This Row],[2010]]-Table4100161159112161100[[#This Row],[2006]]</f>
        <v>-2</v>
      </c>
      <c r="N29" s="71">
        <v>1</v>
      </c>
      <c r="O29" s="72">
        <f>Table4100161159112161100[[#This Row],[2014]]-Table4100161159112161100[[#This Row],[2010]]</f>
        <v>1</v>
      </c>
      <c r="P29" s="71">
        <v>2</v>
      </c>
      <c r="Q29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71</v>
      </c>
      <c r="R29" s="75">
        <v>70</v>
      </c>
      <c r="T29" s="44">
        <f>(H9/T28)*100</f>
        <v>14.035087719298245</v>
      </c>
      <c r="U29" s="44">
        <f>(H19/U28)*100</f>
        <v>19.867549668874172</v>
      </c>
      <c r="V29" s="44">
        <f>(H25/V28)*100</f>
        <v>28.571428571428569</v>
      </c>
      <c r="W29" s="44">
        <f>(H30/W28)*100</f>
        <v>9.4972067039106136</v>
      </c>
      <c r="X29" s="44">
        <f>(H34/X28)*100</f>
        <v>19.480519480519483</v>
      </c>
    </row>
    <row r="30" spans="1:24" ht="19">
      <c r="A30" s="93" t="s">
        <v>413</v>
      </c>
      <c r="B30" s="79">
        <f>SUM(B26:B29)</f>
        <v>83</v>
      </c>
      <c r="C30" s="79">
        <f>Table4100161159112161100[[#This Row],[1990]]-Table4100161159112161100[[#This Row],[1986]]</f>
        <v>-47</v>
      </c>
      <c r="D30" s="79">
        <f>SUM(D26:D29)</f>
        <v>36</v>
      </c>
      <c r="E30" s="80">
        <f>Table4100161159112161100[[#This Row],[1994]]-Table4100161159112161100[[#This Row],[1990]]</f>
        <v>-4</v>
      </c>
      <c r="F30" s="79">
        <f>SUM(F26:F29)</f>
        <v>32</v>
      </c>
      <c r="G30" s="80">
        <f>Table4100161159112161100[[#This Row],[1998]]-Table4100161159112161100[[#This Row],[1994]]</f>
        <v>-15</v>
      </c>
      <c r="H30" s="79">
        <f>SUM(H26:H29)</f>
        <v>17</v>
      </c>
      <c r="I30" s="80">
        <f>Table4100161159112161100[[#This Row],[2002]]-Table4100161159112161100[[#This Row],[1998]]</f>
        <v>0</v>
      </c>
      <c r="J30" s="79">
        <f>SUM(J26:J29)</f>
        <v>17</v>
      </c>
      <c r="K30" s="80">
        <f>Table4100161159112161100[[#This Row],[2006]]-Table4100161159112161100[[#This Row],[2002]]</f>
        <v>6</v>
      </c>
      <c r="L30" s="79">
        <f>SUM(L26:L29)</f>
        <v>23</v>
      </c>
      <c r="M30" s="80">
        <f>Table4100161159112161100[[#This Row],[2010]]-Table4100161159112161100[[#This Row],[2006]]</f>
        <v>-5</v>
      </c>
      <c r="N30" s="79">
        <f>SUM(N26:N29)</f>
        <v>18</v>
      </c>
      <c r="O30" s="80">
        <f>Table4100161159112161100[[#This Row],[2014]]-Table4100161159112161100[[#This Row],[2010]]</f>
        <v>-2</v>
      </c>
      <c r="P30" s="79">
        <f>SUM(P26:P29)</f>
        <v>16</v>
      </c>
      <c r="Q30" s="94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242</v>
      </c>
      <c r="R30" s="95">
        <v>179</v>
      </c>
    </row>
    <row r="31" spans="1:24" ht="19">
      <c r="A31" s="88" t="s">
        <v>13</v>
      </c>
      <c r="B31" s="71">
        <v>24</v>
      </c>
      <c r="C31" s="72">
        <f>Table4100161159112161100[[#This Row],[1990]]-Table4100161159112161100[[#This Row],[1986]]</f>
        <v>-21</v>
      </c>
      <c r="D31" s="71">
        <v>3</v>
      </c>
      <c r="E31" s="72">
        <f>Table4100161159112161100[[#This Row],[1994]]-Table4100161159112161100[[#This Row],[1990]]</f>
        <v>1</v>
      </c>
      <c r="F31" s="71">
        <v>4</v>
      </c>
      <c r="G31" s="72">
        <f>Table4100161159112161100[[#This Row],[1998]]-Table4100161159112161100[[#This Row],[1994]]</f>
        <v>0</v>
      </c>
      <c r="H31" s="71">
        <v>4</v>
      </c>
      <c r="I31" s="72">
        <f>Table4100161159112161100[[#This Row],[2002]]-Table4100161159112161100[[#This Row],[1998]]</f>
        <v>1</v>
      </c>
      <c r="J31" s="71">
        <v>5</v>
      </c>
      <c r="K31" s="72">
        <f>Table4100161159112161100[[#This Row],[2006]]-Table4100161159112161100[[#This Row],[2002]]</f>
        <v>2</v>
      </c>
      <c r="L31" s="71">
        <v>7</v>
      </c>
      <c r="M31" s="72">
        <f>Table4100161159112161100[[#This Row],[2010]]-Table4100161159112161100[[#This Row],[2006]]</f>
        <v>-1</v>
      </c>
      <c r="N31" s="71">
        <v>6</v>
      </c>
      <c r="O31" s="72">
        <f>Table4100161159112161100[[#This Row],[2014]]-Table4100161159112161100[[#This Row],[2010]]</f>
        <v>-3</v>
      </c>
      <c r="P31" s="71">
        <v>3</v>
      </c>
      <c r="Q31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56</v>
      </c>
      <c r="R31" s="75">
        <v>30</v>
      </c>
      <c r="T31" s="178" t="s">
        <v>421</v>
      </c>
      <c r="U31" s="178"/>
      <c r="V31" s="178"/>
      <c r="W31" s="178"/>
      <c r="X31" s="178"/>
    </row>
    <row r="32" spans="1:24" ht="19">
      <c r="A32" s="88" t="s">
        <v>62</v>
      </c>
      <c r="B32" s="72">
        <v>17</v>
      </c>
      <c r="C32" s="72">
        <f>Table4100161159112161100[[#This Row],[1990]]-Table4100161159112161100[[#This Row],[1986]]</f>
        <v>-8</v>
      </c>
      <c r="D32" s="72">
        <v>9</v>
      </c>
      <c r="E32" s="72">
        <f>Table4100161159112161100[[#This Row],[1994]]-Table4100161159112161100[[#This Row],[1990]]</f>
        <v>-1</v>
      </c>
      <c r="F32" s="72">
        <v>8</v>
      </c>
      <c r="G32" s="72">
        <f>Table4100161159112161100[[#This Row],[1998]]-Table4100161159112161100[[#This Row],[1994]]</f>
        <v>-1</v>
      </c>
      <c r="H32" s="72">
        <v>7</v>
      </c>
      <c r="I32" s="72">
        <f>Table4100161159112161100[[#This Row],[2002]]-Table4100161159112161100[[#This Row],[1998]]</f>
        <v>-2</v>
      </c>
      <c r="J32" s="72">
        <v>5</v>
      </c>
      <c r="K32" s="72">
        <f>Table4100161159112161100[[#This Row],[2006]]-Table4100161159112161100[[#This Row],[2002]]</f>
        <v>0</v>
      </c>
      <c r="L32" s="72">
        <v>5</v>
      </c>
      <c r="M32" s="72">
        <f>Table4100161159112161100[[#This Row],[2010]]-Table4100161159112161100[[#This Row],[2006]]</f>
        <v>-1</v>
      </c>
      <c r="N32" s="72">
        <v>4</v>
      </c>
      <c r="O32" s="72">
        <f>Table4100161159112161100[[#This Row],[2014]]-Table4100161159112161100[[#This Row],[2010]]</f>
        <v>1</v>
      </c>
      <c r="P32" s="72">
        <v>5</v>
      </c>
      <c r="Q32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60</v>
      </c>
      <c r="R32" s="75">
        <v>31</v>
      </c>
      <c r="T32" s="65" t="s">
        <v>410</v>
      </c>
      <c r="U32" s="66" t="s">
        <v>411</v>
      </c>
      <c r="V32" s="67" t="s">
        <v>412</v>
      </c>
      <c r="W32" s="68" t="s">
        <v>413</v>
      </c>
      <c r="X32" s="69" t="s">
        <v>414</v>
      </c>
    </row>
    <row r="33" spans="1:24" ht="19">
      <c r="A33" s="88" t="s">
        <v>60</v>
      </c>
      <c r="B33" s="71">
        <v>9</v>
      </c>
      <c r="C33" s="72">
        <f>Table4100161159112161100[[#This Row],[1990]]-Table4100161159112161100[[#This Row],[1986]]</f>
        <v>-4</v>
      </c>
      <c r="D33" s="71">
        <v>5</v>
      </c>
      <c r="E33" s="72">
        <f>Table4100161159112161100[[#This Row],[1994]]-Table4100161159112161100[[#This Row],[1990]]</f>
        <v>0</v>
      </c>
      <c r="F33" s="71">
        <v>5</v>
      </c>
      <c r="G33" s="72">
        <f>Table4100161159112161100[[#This Row],[1998]]-Table4100161159112161100[[#This Row],[1994]]</f>
        <v>-1</v>
      </c>
      <c r="H33" s="71">
        <v>4</v>
      </c>
      <c r="I33" s="72">
        <f>Table4100161159112161100[[#This Row],[2002]]-Table4100161159112161100[[#This Row],[1998]]</f>
        <v>0</v>
      </c>
      <c r="J33" s="71">
        <v>4</v>
      </c>
      <c r="K33" s="72">
        <f>Table4100161159112161100[[#This Row],[2006]]-Table4100161159112161100[[#This Row],[2002]]</f>
        <v>0</v>
      </c>
      <c r="L33" s="71">
        <v>4</v>
      </c>
      <c r="M33" s="72">
        <f>Table4100161159112161100[[#This Row],[2010]]-Table4100161159112161100[[#This Row],[2006]]</f>
        <v>1</v>
      </c>
      <c r="N33" s="71">
        <v>5</v>
      </c>
      <c r="O33" s="72">
        <f>Table4100161159112161100[[#This Row],[2014]]-Table4100161159112161100[[#This Row],[2010]]</f>
        <v>0</v>
      </c>
      <c r="P33" s="71">
        <v>5</v>
      </c>
      <c r="Q33" s="73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41</v>
      </c>
      <c r="R33" s="75">
        <v>16</v>
      </c>
      <c r="T33" s="9">
        <f>R9</f>
        <v>57</v>
      </c>
      <c r="U33" s="9">
        <f>R19</f>
        <v>151</v>
      </c>
      <c r="V33" s="9">
        <f>R25</f>
        <v>49</v>
      </c>
      <c r="W33" s="9">
        <f>R30</f>
        <v>179</v>
      </c>
      <c r="X33" s="9">
        <f>R34</f>
        <v>77</v>
      </c>
    </row>
    <row r="34" spans="1:24" ht="19">
      <c r="A34" s="96" t="s">
        <v>414</v>
      </c>
      <c r="B34" s="97">
        <f>SUM(B31:B33)</f>
        <v>50</v>
      </c>
      <c r="C34" s="97">
        <f>Table4100161159112161100[[#This Row],[1990]]-Table4100161159112161100[[#This Row],[1986]]</f>
        <v>-33</v>
      </c>
      <c r="D34" s="97">
        <f>SUM(D31:D33)</f>
        <v>17</v>
      </c>
      <c r="E34" s="80">
        <f>Table4100161159112161100[[#This Row],[1994]]-Table4100161159112161100[[#This Row],[1990]]</f>
        <v>0</v>
      </c>
      <c r="F34" s="97">
        <f>SUM(F31:F33)</f>
        <v>17</v>
      </c>
      <c r="G34" s="80">
        <f>Table4100161159112161100[[#This Row],[1998]]-Table4100161159112161100[[#This Row],[1994]]</f>
        <v>-2</v>
      </c>
      <c r="H34" s="97">
        <f>SUM(H31:H33)</f>
        <v>15</v>
      </c>
      <c r="I34" s="80">
        <f>Table4100161159112161100[[#This Row],[2002]]-Table4100161159112161100[[#This Row],[1998]]</f>
        <v>-1</v>
      </c>
      <c r="J34" s="97">
        <f>SUM(J31:J33)</f>
        <v>14</v>
      </c>
      <c r="K34" s="80">
        <f>Table4100161159112161100[[#This Row],[2006]]-Table4100161159112161100[[#This Row],[2002]]</f>
        <v>2</v>
      </c>
      <c r="L34" s="97">
        <f>SUM(L31:L33)</f>
        <v>16</v>
      </c>
      <c r="M34" s="80">
        <f>Table4100161159112161100[[#This Row],[2010]]-Table4100161159112161100[[#This Row],[2006]]</f>
        <v>-1</v>
      </c>
      <c r="N34" s="97">
        <f>SUM(N31:N33)</f>
        <v>15</v>
      </c>
      <c r="O34" s="80">
        <f>Table4100161159112161100[[#This Row],[2014]]-Table4100161159112161100[[#This Row],[2010]]</f>
        <v>-2</v>
      </c>
      <c r="P34" s="97">
        <f>SUM(P31:P33)</f>
        <v>13</v>
      </c>
      <c r="Q34" s="98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157</v>
      </c>
      <c r="R34" s="99">
        <v>77</v>
      </c>
      <c r="T34" s="44">
        <f>(F9/T33)*100</f>
        <v>26.315789473684209</v>
      </c>
      <c r="U34" s="44">
        <f>(F19/U33)*100</f>
        <v>19.867549668874172</v>
      </c>
      <c r="V34" s="44">
        <f>(F25/V33)*100</f>
        <v>26.530612244897959</v>
      </c>
      <c r="W34" s="44">
        <f>(F30/W33)*100</f>
        <v>17.877094972067038</v>
      </c>
      <c r="X34" s="44">
        <f>(F34/X33)*100</f>
        <v>22.077922077922079</v>
      </c>
    </row>
    <row r="35" spans="1:24" ht="19">
      <c r="A35" s="100" t="s">
        <v>420</v>
      </c>
      <c r="B35" s="101">
        <f>SUM(B9,B19,B25,B30,B34)</f>
        <v>260</v>
      </c>
      <c r="C35" s="101">
        <f>Table4100161159112161100[[#This Row],[1990]]-Table4100161159112161100[[#This Row],[1986]]</f>
        <v>-158</v>
      </c>
      <c r="D35" s="101">
        <f>SUM(D9,D19,D25,D30,D34)</f>
        <v>102</v>
      </c>
      <c r="E35" s="80">
        <f>Table4100161159112161100[[#This Row],[1994]]-Table4100161159112161100[[#This Row],[1990]]</f>
        <v>5</v>
      </c>
      <c r="F35" s="101">
        <f>SUM(F9,F19,F25,F30,F34)</f>
        <v>107</v>
      </c>
      <c r="G35" s="80">
        <f>Table4100161159112161100[[#This Row],[1998]]-Table4100161159112161100[[#This Row],[1994]]</f>
        <v>-23</v>
      </c>
      <c r="H35" s="101">
        <f>SUM(H9,H19,H25,H30,H34)</f>
        <v>84</v>
      </c>
      <c r="I35" s="80">
        <f>Table4100161159112161100[[#This Row],[2002]]-Table4100161159112161100[[#This Row],[1998]]</f>
        <v>-11</v>
      </c>
      <c r="J35" s="101">
        <f>SUM(J9,J19,J25,J30,J34)</f>
        <v>73</v>
      </c>
      <c r="K35" s="80">
        <f>Table4100161159112161100[[#This Row],[2006]]-Table4100161159112161100[[#This Row],[2002]]</f>
        <v>16</v>
      </c>
      <c r="L35" s="101">
        <f>SUM(L9,L19,L25,L30,L34)</f>
        <v>89</v>
      </c>
      <c r="M35" s="80">
        <f>Table4100161159112161100[[#This Row],[2010]]-Table4100161159112161100[[#This Row],[2006]]</f>
        <v>-11</v>
      </c>
      <c r="N35" s="101">
        <f>SUM(N9,N19,N25,N30,N34)</f>
        <v>78</v>
      </c>
      <c r="O35" s="80">
        <f>Table4100161159112161100[[#This Row],[2014]]-Table4100161159112161100[[#This Row],[2010]]</f>
        <v>-16</v>
      </c>
      <c r="P35" s="101">
        <f>SUM(P9,P19,P25,P30,P34)</f>
        <v>62</v>
      </c>
      <c r="Q35" s="102">
        <f>SUM(Table4100161159112161100[[#This Row],[1986]],Table4100161159112161100[[#This Row],[1990]],Table4100161159112161100[[#This Row],[1994]],Table4100161159112161100[[#This Row],[1998]],Table4100161159112161100[[#This Row],[2002]],Table4100161159112161100[[#This Row],[2006]],Table4100161159112161100[[#This Row],[2010]],Table4100161159112161100[[#This Row],[2014]])</f>
        <v>855</v>
      </c>
      <c r="R35" s="75">
        <v>513</v>
      </c>
    </row>
    <row r="36" spans="1:24">
      <c r="T36" s="178" t="s">
        <v>422</v>
      </c>
      <c r="U36" s="178"/>
      <c r="V36" s="178"/>
      <c r="W36" s="178"/>
      <c r="X36" s="178"/>
    </row>
    <row r="37" spans="1:24">
      <c r="T37" s="65" t="s">
        <v>410</v>
      </c>
      <c r="U37" s="66" t="s">
        <v>411</v>
      </c>
      <c r="V37" s="67" t="s">
        <v>412</v>
      </c>
      <c r="W37" s="68" t="s">
        <v>413</v>
      </c>
      <c r="X37" s="69" t="s">
        <v>414</v>
      </c>
    </row>
    <row r="38" spans="1:24">
      <c r="T38" s="9">
        <f>R9</f>
        <v>57</v>
      </c>
      <c r="U38" s="9">
        <f>R19</f>
        <v>151</v>
      </c>
      <c r="V38" s="9">
        <f>R25</f>
        <v>49</v>
      </c>
      <c r="W38" s="9">
        <f>(R30-10)</f>
        <v>169</v>
      </c>
      <c r="X38" s="9">
        <f>R34</f>
        <v>77</v>
      </c>
    </row>
    <row r="39" spans="1:24">
      <c r="T39" s="44">
        <f>(D9/T38)*100</f>
        <v>22.807017543859647</v>
      </c>
      <c r="U39" s="44">
        <f>(D19/U38)*100</f>
        <v>17.218543046357617</v>
      </c>
      <c r="V39" s="44">
        <f>(D25/V38)*100</f>
        <v>20.408163265306122</v>
      </c>
      <c r="W39" s="44">
        <f>(D30/W38)*100</f>
        <v>21.301775147928996</v>
      </c>
      <c r="X39" s="44">
        <f>(D34/X38)*100</f>
        <v>22.077922077922079</v>
      </c>
    </row>
    <row r="41" spans="1:24">
      <c r="T41" s="178" t="s">
        <v>428</v>
      </c>
      <c r="U41" s="178"/>
      <c r="V41" s="178"/>
      <c r="W41" s="178"/>
      <c r="X41" s="178"/>
    </row>
    <row r="42" spans="1:24">
      <c r="T42" s="65" t="s">
        <v>410</v>
      </c>
      <c r="U42" s="66" t="s">
        <v>411</v>
      </c>
      <c r="V42" s="67" t="s">
        <v>412</v>
      </c>
      <c r="W42" s="68" t="s">
        <v>413</v>
      </c>
      <c r="X42" s="69" t="s">
        <v>414</v>
      </c>
    </row>
    <row r="43" spans="1:24">
      <c r="T43" s="9">
        <f>R9</f>
        <v>57</v>
      </c>
      <c r="U43" s="9">
        <f>R19</f>
        <v>151</v>
      </c>
      <c r="V43" s="9">
        <f>R25</f>
        <v>49</v>
      </c>
      <c r="W43" s="17">
        <f>(R30-19)</f>
        <v>160</v>
      </c>
      <c r="X43" s="9">
        <f>R34</f>
        <v>77</v>
      </c>
    </row>
    <row r="44" spans="1:24">
      <c r="T44" s="44">
        <f>(B9/T43)*100</f>
        <v>47.368421052631575</v>
      </c>
      <c r="U44" s="44">
        <f>(B19/U43)*100</f>
        <v>50.331125827814574</v>
      </c>
      <c r="V44" s="44">
        <f>(B25/V43)*100</f>
        <v>48.979591836734691</v>
      </c>
      <c r="W44" s="44">
        <f>(B30/W43)*100</f>
        <v>51.875000000000007</v>
      </c>
      <c r="X44" s="44">
        <f>(B34/X43)*100</f>
        <v>64.935064935064929</v>
      </c>
    </row>
  </sheetData>
  <mergeCells count="10">
    <mergeCell ref="T26:X26"/>
    <mergeCell ref="T31:X31"/>
    <mergeCell ref="T36:X36"/>
    <mergeCell ref="T41:X41"/>
    <mergeCell ref="A1:Q1"/>
    <mergeCell ref="T1:X1"/>
    <mergeCell ref="T6:X6"/>
    <mergeCell ref="T11:X11"/>
    <mergeCell ref="T16:X16"/>
    <mergeCell ref="T21:X21"/>
  </mergeCells>
  <conditionalFormatting sqref="C3:C35 E3:E35 G3:G35 I3:I35 K3:K35 M3:M35 O3:O35">
    <cfRule type="cellIs" dxfId="343" priority="2" operator="greaterThan">
      <formula>0</formula>
    </cfRule>
  </conditionalFormatting>
  <conditionalFormatting sqref="C3:C35 E3:E35 G3:G35 I3:I35 K3:K35 M3:M35 O3:O35">
    <cfRule type="cellIs" dxfId="342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4"/>
  <sheetViews>
    <sheetView topLeftCell="I25" workbookViewId="0">
      <selection activeCell="W43" sqref="W43"/>
    </sheetView>
  </sheetViews>
  <sheetFormatPr baseColWidth="10" defaultRowHeight="16"/>
  <cols>
    <col min="1" max="1" width="18" customWidth="1"/>
    <col min="17" max="17" width="18.5" customWidth="1"/>
    <col min="18" max="18" width="21.1640625" customWidth="1"/>
  </cols>
  <sheetData>
    <row r="1" spans="1:24" ht="19">
      <c r="A1" s="182" t="s">
        <v>14</v>
      </c>
      <c r="B1" s="182"/>
      <c r="C1" s="182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T1" s="178" t="s">
        <v>391</v>
      </c>
      <c r="U1" s="178"/>
      <c r="V1" s="178"/>
      <c r="W1" s="178"/>
      <c r="X1" s="178"/>
    </row>
    <row r="2" spans="1:24" ht="19">
      <c r="A2" s="63" t="s">
        <v>392</v>
      </c>
      <c r="B2" s="63" t="s">
        <v>393</v>
      </c>
      <c r="C2" s="63" t="s">
        <v>394</v>
      </c>
      <c r="D2" s="63" t="s">
        <v>395</v>
      </c>
      <c r="E2" s="63" t="s">
        <v>396</v>
      </c>
      <c r="F2" s="63" t="s">
        <v>397</v>
      </c>
      <c r="G2" s="63" t="s">
        <v>398</v>
      </c>
      <c r="H2" s="63" t="s">
        <v>399</v>
      </c>
      <c r="I2" s="63" t="s">
        <v>400</v>
      </c>
      <c r="J2" s="63" t="s">
        <v>401</v>
      </c>
      <c r="K2" s="63" t="s">
        <v>402</v>
      </c>
      <c r="L2" s="63" t="s">
        <v>403</v>
      </c>
      <c r="M2" s="63" t="s">
        <v>404</v>
      </c>
      <c r="N2" s="63" t="s">
        <v>405</v>
      </c>
      <c r="O2" s="63" t="s">
        <v>406</v>
      </c>
      <c r="P2" s="63" t="s">
        <v>407</v>
      </c>
      <c r="Q2" s="64" t="s">
        <v>408</v>
      </c>
      <c r="R2" s="64" t="s">
        <v>427</v>
      </c>
      <c r="T2" s="65" t="s">
        <v>410</v>
      </c>
      <c r="U2" s="66" t="s">
        <v>411</v>
      </c>
      <c r="V2" s="67" t="s">
        <v>412</v>
      </c>
      <c r="W2" s="68" t="s">
        <v>413</v>
      </c>
      <c r="X2" s="69" t="s">
        <v>414</v>
      </c>
    </row>
    <row r="3" spans="1:24" ht="19">
      <c r="A3" s="70" t="s">
        <v>110</v>
      </c>
      <c r="B3" s="71"/>
      <c r="C3" s="72">
        <f>Table410016115911211512026118[[#This Row],[1990]]-Table410016115911211512026118[[#This Row],[1986]]</f>
        <v>0</v>
      </c>
      <c r="D3" s="71"/>
      <c r="E3" s="72">
        <f>Table410016115911211512026118[[#This Row],[1994]]-Table410016115911211512026118[[#This Row],[1990]]</f>
        <v>0</v>
      </c>
      <c r="F3" s="71"/>
      <c r="G3" s="72">
        <f>Table410016115911211512026118[[#This Row],[1998]]-Table410016115911211512026118[[#This Row],[1994]]</f>
        <v>0</v>
      </c>
      <c r="H3" s="71"/>
      <c r="I3" s="72">
        <f>Table410016115911211512026118[[#This Row],[2002]]-Table410016115911211512026118[[#This Row],[1998]]</f>
        <v>0</v>
      </c>
      <c r="J3" s="71"/>
      <c r="K3" s="72">
        <f>Table410016115911211512026118[[#This Row],[2006]]-Table410016115911211512026118[[#This Row],[2002]]</f>
        <v>1</v>
      </c>
      <c r="L3" s="71">
        <v>1</v>
      </c>
      <c r="M3" s="72">
        <f>Table410016115911211512026118[[#This Row],[2010]]-Table410016115911211512026118[[#This Row],[2006]]</f>
        <v>0</v>
      </c>
      <c r="N3" s="71">
        <v>1</v>
      </c>
      <c r="O3" s="72">
        <f>Table410016115911211512026118[[#This Row],[2014]]-Table410016115911211512026118[[#This Row],[2010]]</f>
        <v>-1</v>
      </c>
      <c r="P3" s="71"/>
      <c r="Q3" s="73">
        <f>SUM(Table410016115911211512026118[[#This Row],[1986]],Table410016115911211512026118[[#This Row],[1990]],Table410016115911211512026118[[#This Row],[1994]],Table410016115911211512026118[[#This Row],[1998]],Table410016115911211512026118[[#This Row],[2002]],Table410016115911211512026118[[#This Row],[2006]],Table410016115911211512026118[[#This Row],[2010]],Table410016115911211512026118[[#This Row],[2014]])</f>
        <v>2</v>
      </c>
      <c r="R3" s="74">
        <v>8</v>
      </c>
      <c r="T3" s="9">
        <f>R9*8</f>
        <v>456</v>
      </c>
      <c r="U3" s="9">
        <f>R19*8</f>
        <v>1208</v>
      </c>
      <c r="V3" s="9">
        <f>R25*8</f>
        <v>392</v>
      </c>
      <c r="W3" s="9">
        <f>R30*8</f>
        <v>1432</v>
      </c>
      <c r="X3" s="9">
        <f>R34*8</f>
        <v>616</v>
      </c>
    </row>
    <row r="4" spans="1:24" ht="19">
      <c r="A4" s="70" t="s">
        <v>106</v>
      </c>
      <c r="B4" s="71"/>
      <c r="C4" s="72">
        <f>Table410016115911211512026118[[#This Row],[1990]]-Table410016115911211512026118[[#This Row],[1986]]</f>
        <v>0</v>
      </c>
      <c r="D4" s="71"/>
      <c r="E4" s="72">
        <f>Table410016115911211512026118[[#This Row],[1994]]-Table410016115911211512026118[[#This Row],[1990]]</f>
        <v>0</v>
      </c>
      <c r="F4" s="71"/>
      <c r="G4" s="72">
        <f>Table410016115911211512026118[[#This Row],[1998]]-Table410016115911211512026118[[#This Row],[1994]]</f>
        <v>1</v>
      </c>
      <c r="H4" s="71">
        <v>1</v>
      </c>
      <c r="I4" s="72">
        <f>Table410016115911211512026118[[#This Row],[2002]]-Table410016115911211512026118[[#This Row],[1998]]</f>
        <v>0</v>
      </c>
      <c r="J4" s="71">
        <v>1</v>
      </c>
      <c r="K4" s="72">
        <f>Table410016115911211512026118[[#This Row],[2006]]-Table410016115911211512026118[[#This Row],[2002]]</f>
        <v>0</v>
      </c>
      <c r="L4" s="71">
        <v>1</v>
      </c>
      <c r="M4" s="72">
        <f>Table410016115911211512026118[[#This Row],[2010]]-Table410016115911211512026118[[#This Row],[2006]]</f>
        <v>-1</v>
      </c>
      <c r="N4" s="71"/>
      <c r="O4" s="72">
        <f>Table410016115911211512026118[[#This Row],[2014]]-Table410016115911211512026118[[#This Row],[2010]]</f>
        <v>0</v>
      </c>
      <c r="P4" s="71"/>
      <c r="Q4" s="73">
        <f>SUM(Table410016115911211512026118[[#This Row],[1986]],Table410016115911211512026118[[#This Row],[1990]],Table410016115911211512026118[[#This Row],[1994]],Table410016115911211512026118[[#This Row],[1998]],Table410016115911211512026118[[#This Row],[2002]],Table410016115911211512026118[[#This Row],[2006]],Table410016115911211512026118[[#This Row],[2010]],Table410016115911211512026118[[#This Row],[2014]])</f>
        <v>3</v>
      </c>
      <c r="R4" s="75">
        <v>8</v>
      </c>
      <c r="T4" s="44">
        <f>(Q9/T3)*100</f>
        <v>2.1929824561403506</v>
      </c>
      <c r="U4" s="44">
        <f>(Q19/U3)*100</f>
        <v>2.3178807947019866</v>
      </c>
      <c r="V4" s="44">
        <f>(Q25/V3)*100</f>
        <v>0</v>
      </c>
      <c r="W4" s="44">
        <f>(Q30/W3)*100</f>
        <v>0</v>
      </c>
      <c r="X4" s="76">
        <f>(Q34/X3)*100</f>
        <v>0</v>
      </c>
    </row>
    <row r="5" spans="1:24" ht="19">
      <c r="A5" s="70" t="s">
        <v>104</v>
      </c>
      <c r="B5" s="71"/>
      <c r="C5" s="72">
        <f>Table410016115911211512026118[[#This Row],[1990]]-Table410016115911211512026118[[#This Row],[1986]]</f>
        <v>0</v>
      </c>
      <c r="D5" s="71"/>
      <c r="E5" s="72">
        <f>Table410016115911211512026118[[#This Row],[1994]]-Table410016115911211512026118[[#This Row],[1990]]</f>
        <v>0</v>
      </c>
      <c r="F5" s="71"/>
      <c r="G5" s="72">
        <f>Table410016115911211512026118[[#This Row],[1998]]-Table410016115911211512026118[[#This Row],[1994]]</f>
        <v>0</v>
      </c>
      <c r="H5" s="71"/>
      <c r="I5" s="72">
        <f>Table410016115911211512026118[[#This Row],[2002]]-Table410016115911211512026118[[#This Row],[1998]]</f>
        <v>0</v>
      </c>
      <c r="J5" s="71"/>
      <c r="K5" s="72">
        <f>Table410016115911211512026118[[#This Row],[2006]]-Table410016115911211512026118[[#This Row],[2002]]</f>
        <v>1</v>
      </c>
      <c r="L5" s="71">
        <v>1</v>
      </c>
      <c r="M5" s="72">
        <f>Table410016115911211512026118[[#This Row],[2010]]-Table410016115911211512026118[[#This Row],[2006]]</f>
        <v>0</v>
      </c>
      <c r="N5" s="71">
        <v>1</v>
      </c>
      <c r="O5" s="72">
        <f>Table410016115911211512026118[[#This Row],[2014]]-Table410016115911211512026118[[#This Row],[2010]]</f>
        <v>0</v>
      </c>
      <c r="P5" s="71">
        <v>1</v>
      </c>
      <c r="Q5" s="73">
        <f>SUM(Table410016115911211512026118[[#This Row],[1986]],Table410016115911211512026118[[#This Row],[1990]],Table410016115911211512026118[[#This Row],[1994]],Table410016115911211512026118[[#This Row],[1998]],Table410016115911211512026118[[#This Row],[2002]],Table410016115911211512026118[[#This Row],[2006]],Table410016115911211512026118[[#This Row],[2010]],Table410016115911211512026118[[#This Row],[2014]])</f>
        <v>3</v>
      </c>
      <c r="R5" s="75">
        <v>8</v>
      </c>
    </row>
    <row r="6" spans="1:24" ht="19">
      <c r="A6" s="70" t="s">
        <v>73</v>
      </c>
      <c r="B6" s="71"/>
      <c r="C6" s="72">
        <f>Table410016115911211512026118[[#This Row],[1990]]-Table410016115911211512026118[[#This Row],[1986]]</f>
        <v>1</v>
      </c>
      <c r="D6" s="71">
        <v>1</v>
      </c>
      <c r="E6" s="72">
        <f>Table410016115911211512026118[[#This Row],[1994]]-Table410016115911211512026118[[#This Row],[1990]]</f>
        <v>0</v>
      </c>
      <c r="F6" s="71">
        <v>1</v>
      </c>
      <c r="G6" s="72">
        <f>Table410016115911211512026118[[#This Row],[1998]]-Table410016115911211512026118[[#This Row],[1994]]</f>
        <v>-1</v>
      </c>
      <c r="H6" s="71"/>
      <c r="I6" s="72">
        <f>Table410016115911211512026118[[#This Row],[2002]]-Table410016115911211512026118[[#This Row],[1998]]</f>
        <v>0</v>
      </c>
      <c r="J6" s="71"/>
      <c r="K6" s="72">
        <f>Table410016115911211512026118[[#This Row],[2006]]-Table410016115911211512026118[[#This Row],[2002]]</f>
        <v>0</v>
      </c>
      <c r="L6" s="71"/>
      <c r="M6" s="72">
        <f>Table410016115911211512026118[[#This Row],[2010]]-Table410016115911211512026118[[#This Row],[2006]]</f>
        <v>0</v>
      </c>
      <c r="N6" s="71"/>
      <c r="O6" s="72">
        <f>Table410016115911211512026118[[#This Row],[2014]]-Table410016115911211512026118[[#This Row],[2010]]</f>
        <v>0</v>
      </c>
      <c r="P6" s="71"/>
      <c r="Q6" s="73">
        <f>SUM(Table410016115911211512026118[[#This Row],[1986]],Table410016115911211512026118[[#This Row],[1990]],Table410016115911211512026118[[#This Row],[1994]],Table410016115911211512026118[[#This Row],[1998]],Table410016115911211512026118[[#This Row],[2002]],Table410016115911211512026118[[#This Row],[2006]],Table410016115911211512026118[[#This Row],[2010]],Table410016115911211512026118[[#This Row],[2014]])</f>
        <v>2</v>
      </c>
      <c r="R6" s="75">
        <v>17</v>
      </c>
      <c r="T6" s="178" t="s">
        <v>415</v>
      </c>
      <c r="U6" s="178"/>
      <c r="V6" s="178"/>
      <c r="W6" s="178"/>
      <c r="X6" s="178"/>
    </row>
    <row r="7" spans="1:24" ht="19">
      <c r="A7" s="70" t="s">
        <v>67</v>
      </c>
      <c r="B7" s="77"/>
      <c r="C7" s="72">
        <f>Table410016115911211512026118[[#This Row],[1990]]-Table410016115911211512026118[[#This Row],[1986]]</f>
        <v>0</v>
      </c>
      <c r="D7" s="77"/>
      <c r="E7" s="72">
        <f>Table410016115911211512026118[[#This Row],[1994]]-Table410016115911211512026118[[#This Row],[1990]]</f>
        <v>0</v>
      </c>
      <c r="F7" s="77"/>
      <c r="G7" s="72">
        <f>Table410016115911211512026118[[#This Row],[1998]]-Table410016115911211512026118[[#This Row],[1994]]</f>
        <v>0</v>
      </c>
      <c r="H7" s="77"/>
      <c r="I7" s="72">
        <f>Table410016115911211512026118[[#This Row],[2002]]-Table410016115911211512026118[[#This Row],[1998]]</f>
        <v>0</v>
      </c>
      <c r="J7" s="77"/>
      <c r="K7" s="72">
        <f>Table410016115911211512026118[[#This Row],[2006]]-Table410016115911211512026118[[#This Row],[2002]]</f>
        <v>0</v>
      </c>
      <c r="L7" s="77"/>
      <c r="M7" s="72">
        <f>Table410016115911211512026118[[#This Row],[2010]]-Table410016115911211512026118[[#This Row],[2006]]</f>
        <v>0</v>
      </c>
      <c r="N7" s="77"/>
      <c r="O7" s="72">
        <f>Table410016115911211512026118[[#This Row],[2014]]-Table410016115911211512026118[[#This Row],[2010]]</f>
        <v>0</v>
      </c>
      <c r="P7" s="77"/>
      <c r="Q7" s="73">
        <f>SUM(Table410016115911211512026118[[#This Row],[1986]],Table410016115911211512026118[[#This Row],[1990]],Table410016115911211512026118[[#This Row],[1994]],Table410016115911211512026118[[#This Row],[1998]],Table410016115911211512026118[[#This Row],[2002]],Table410016115911211512026118[[#This Row],[2006]],Table410016115911211512026118[[#This Row],[2010]],Table410016115911211512026118[[#This Row],[2014]])</f>
        <v>0</v>
      </c>
      <c r="R7" s="75">
        <v>8</v>
      </c>
      <c r="T7" s="65" t="s">
        <v>410</v>
      </c>
      <c r="U7" s="66" t="s">
        <v>411</v>
      </c>
      <c r="V7" s="67" t="s">
        <v>412</v>
      </c>
      <c r="W7" s="68" t="s">
        <v>413</v>
      </c>
      <c r="X7" s="69" t="s">
        <v>414</v>
      </c>
    </row>
    <row r="8" spans="1:24" ht="19">
      <c r="A8" s="70" t="s">
        <v>65</v>
      </c>
      <c r="B8" s="71"/>
      <c r="C8" s="72">
        <f>Table410016115911211512026118[[#This Row],[1990]]-Table410016115911211512026118[[#This Row],[1986]]</f>
        <v>0</v>
      </c>
      <c r="D8" s="71"/>
      <c r="E8" s="72">
        <f>Table410016115911211512026118[[#This Row],[1994]]-Table410016115911211512026118[[#This Row],[1990]]</f>
        <v>0</v>
      </c>
      <c r="F8" s="71"/>
      <c r="G8" s="72">
        <f>Table410016115911211512026118[[#This Row],[1998]]-Table410016115911211512026118[[#This Row],[1994]]</f>
        <v>0</v>
      </c>
      <c r="H8" s="71"/>
      <c r="I8" s="72">
        <f>Table410016115911211512026118[[#This Row],[2002]]-Table410016115911211512026118[[#This Row],[1998]]</f>
        <v>0</v>
      </c>
      <c r="J8" s="71"/>
      <c r="K8" s="72">
        <f>Table410016115911211512026118[[#This Row],[2006]]-Table410016115911211512026118[[#This Row],[2002]]</f>
        <v>0</v>
      </c>
      <c r="L8" s="71"/>
      <c r="M8" s="72">
        <f>Table410016115911211512026118[[#This Row],[2010]]-Table410016115911211512026118[[#This Row],[2006]]</f>
        <v>0</v>
      </c>
      <c r="N8" s="71"/>
      <c r="O8" s="72">
        <f>Table410016115911211512026118[[#This Row],[2014]]-Table410016115911211512026118[[#This Row],[2010]]</f>
        <v>0</v>
      </c>
      <c r="P8" s="71"/>
      <c r="Q8" s="73">
        <f>SUM(Table410016115911211512026118[[#This Row],[1986]],Table410016115911211512026118[[#This Row],[1990]],Table410016115911211512026118[[#This Row],[1994]],Table410016115911211512026118[[#This Row],[1998]],Table410016115911211512026118[[#This Row],[2002]],Table410016115911211512026118[[#This Row],[2006]],Table410016115911211512026118[[#This Row],[2010]],Table410016115911211512026118[[#This Row],[2014]])</f>
        <v>0</v>
      </c>
      <c r="R8" s="75">
        <v>8</v>
      </c>
      <c r="T8" s="9">
        <f>R9</f>
        <v>57</v>
      </c>
      <c r="U8" s="9">
        <f>R19</f>
        <v>151</v>
      </c>
      <c r="V8" s="9">
        <f>R25</f>
        <v>49</v>
      </c>
      <c r="W8" s="9">
        <f>R30</f>
        <v>179</v>
      </c>
      <c r="X8" s="9">
        <f>R34</f>
        <v>77</v>
      </c>
    </row>
    <row r="9" spans="1:24" ht="19">
      <c r="A9" s="78" t="s">
        <v>410</v>
      </c>
      <c r="B9" s="79">
        <f>SUM(B3:B8)</f>
        <v>0</v>
      </c>
      <c r="C9" s="79">
        <f>Table410016115911211512026118[[#This Row],[1990]]-Table410016115911211512026118[[#This Row],[1986]]</f>
        <v>1</v>
      </c>
      <c r="D9" s="79">
        <f>SUM(D3:D8)</f>
        <v>1</v>
      </c>
      <c r="E9" s="80">
        <f>Table410016115911211512026118[[#This Row],[1994]]-Table410016115911211512026118[[#This Row],[1990]]</f>
        <v>0</v>
      </c>
      <c r="F9" s="79">
        <f>SUM(F3:F8)</f>
        <v>1</v>
      </c>
      <c r="G9" s="80">
        <f>Table410016115911211512026118[[#This Row],[1998]]-Table410016115911211512026118[[#This Row],[1994]]</f>
        <v>0</v>
      </c>
      <c r="H9" s="79">
        <f>SUM(H3:H8)</f>
        <v>1</v>
      </c>
      <c r="I9" s="80">
        <f>Table410016115911211512026118[[#This Row],[2002]]-Table410016115911211512026118[[#This Row],[1998]]</f>
        <v>0</v>
      </c>
      <c r="J9" s="79">
        <f>SUM(J3:J8)</f>
        <v>1</v>
      </c>
      <c r="K9" s="80">
        <f>Table410016115911211512026118[[#This Row],[2006]]-Table410016115911211512026118[[#This Row],[2002]]</f>
        <v>2</v>
      </c>
      <c r="L9" s="79">
        <f>SUM(L3:L8)</f>
        <v>3</v>
      </c>
      <c r="M9" s="80">
        <f>Table410016115911211512026118[[#This Row],[2010]]-Table410016115911211512026118[[#This Row],[2006]]</f>
        <v>-1</v>
      </c>
      <c r="N9" s="79">
        <f>SUM(N3:N8)</f>
        <v>2</v>
      </c>
      <c r="O9" s="80">
        <f>Table410016115911211512026118[[#This Row],[2014]]-Table410016115911211512026118[[#This Row],[2010]]</f>
        <v>-1</v>
      </c>
      <c r="P9" s="79">
        <f>SUM(P3:P8)</f>
        <v>1</v>
      </c>
      <c r="Q9" s="81">
        <f>SUM(Q3:Q8)</f>
        <v>10</v>
      </c>
      <c r="R9" s="82">
        <v>57</v>
      </c>
      <c r="T9" s="44">
        <f>(Table410016115911211512026118[[#This Row],[2014]]/T8)*100</f>
        <v>1.7543859649122806</v>
      </c>
      <c r="U9" s="44">
        <f>(P19/U8)*100</f>
        <v>3.3112582781456954</v>
      </c>
      <c r="V9" s="44">
        <f>(P25/V8)*100</f>
        <v>0</v>
      </c>
      <c r="W9" s="44">
        <f>(P30/W8)*100</f>
        <v>1.6759776536312849</v>
      </c>
      <c r="X9" s="44">
        <f>(P34/X8)*100</f>
        <v>2.5974025974025974</v>
      </c>
    </row>
    <row r="10" spans="1:24" ht="19">
      <c r="A10" s="70" t="s">
        <v>108</v>
      </c>
      <c r="B10" s="71"/>
      <c r="C10" s="72">
        <f>Table410016115911211512026118[[#This Row],[1990]]-Table410016115911211512026118[[#This Row],[1986]]</f>
        <v>0</v>
      </c>
      <c r="D10" s="71"/>
      <c r="E10" s="72">
        <f>Table410016115911211512026118[[#This Row],[1994]]-Table410016115911211512026118[[#This Row],[1990]]</f>
        <v>0</v>
      </c>
      <c r="F10" s="71"/>
      <c r="G10" s="72">
        <f>Table410016115911211512026118[[#This Row],[1998]]-Table410016115911211512026118[[#This Row],[1994]]</f>
        <v>0</v>
      </c>
      <c r="H10" s="71"/>
      <c r="I10" s="72">
        <f>Table410016115911211512026118[[#This Row],[2002]]-Table410016115911211512026118[[#This Row],[1998]]</f>
        <v>0</v>
      </c>
      <c r="J10" s="71"/>
      <c r="K10" s="72">
        <f>Table410016115911211512026118[[#This Row],[2006]]-Table410016115911211512026118[[#This Row],[2002]]</f>
        <v>0</v>
      </c>
      <c r="L10" s="71"/>
      <c r="M10" s="72">
        <f>Table410016115911211512026118[[#This Row],[2010]]-Table410016115911211512026118[[#This Row],[2006]]</f>
        <v>0</v>
      </c>
      <c r="N10" s="71"/>
      <c r="O10" s="72">
        <f>Table410016115911211512026118[[#This Row],[2014]]-Table410016115911211512026118[[#This Row],[2010]]</f>
        <v>0</v>
      </c>
      <c r="P10" s="71"/>
      <c r="Q10" s="73">
        <f>SUM(Table410016115911211512026118[[#This Row],[1986]],Table410016115911211512026118[[#This Row],[1990]],Table410016115911211512026118[[#This Row],[1994]],Table410016115911211512026118[[#This Row],[1998]],Table410016115911211512026118[[#This Row],[2002]],Table410016115911211512026118[[#This Row],[2006]],Table410016115911211512026118[[#This Row],[2010]],Table410016115911211512026118[[#This Row],[2014]])</f>
        <v>0</v>
      </c>
      <c r="R10" s="75">
        <v>9</v>
      </c>
    </row>
    <row r="11" spans="1:24" ht="19">
      <c r="A11" s="70" t="s">
        <v>101</v>
      </c>
      <c r="B11" s="71">
        <v>2</v>
      </c>
      <c r="C11" s="72">
        <f>Table410016115911211512026118[[#This Row],[1990]]-Table410016115911211512026118[[#This Row],[1986]]</f>
        <v>-1</v>
      </c>
      <c r="D11" s="71">
        <v>1</v>
      </c>
      <c r="E11" s="72">
        <f>Table410016115911211512026118[[#This Row],[1994]]-Table410016115911211512026118[[#This Row],[1990]]</f>
        <v>0</v>
      </c>
      <c r="F11" s="71">
        <v>1</v>
      </c>
      <c r="G11" s="72">
        <f>Table410016115911211512026118[[#This Row],[1998]]-Table410016115911211512026118[[#This Row],[1994]]</f>
        <v>0</v>
      </c>
      <c r="H11" s="71">
        <v>1</v>
      </c>
      <c r="I11" s="72">
        <f>Table410016115911211512026118[[#This Row],[2002]]-Table410016115911211512026118[[#This Row],[1998]]</f>
        <v>1</v>
      </c>
      <c r="J11" s="71">
        <v>2</v>
      </c>
      <c r="K11" s="72">
        <f>Table410016115911211512026118[[#This Row],[2006]]-Table410016115911211512026118[[#This Row],[2002]]</f>
        <v>0</v>
      </c>
      <c r="L11" s="71">
        <v>2</v>
      </c>
      <c r="M11" s="72">
        <f>Table410016115911211512026118[[#This Row],[2010]]-Table410016115911211512026118[[#This Row],[2006]]</f>
        <v>1</v>
      </c>
      <c r="N11" s="71">
        <v>3</v>
      </c>
      <c r="O11" s="72">
        <f>Table410016115911211512026118[[#This Row],[2014]]-Table410016115911211512026118[[#This Row],[2010]]</f>
        <v>-1</v>
      </c>
      <c r="P11" s="71">
        <v>2</v>
      </c>
      <c r="Q11" s="73">
        <f>SUM(Table410016115911211512026118[[#This Row],[1986]],Table410016115911211512026118[[#This Row],[1990]],Table410016115911211512026118[[#This Row],[1994]],Table410016115911211512026118[[#This Row],[1998]],Table410016115911211512026118[[#This Row],[2002]],Table410016115911211512026118[[#This Row],[2006]],Table410016115911211512026118[[#This Row],[2010]],Table410016115911211512026118[[#This Row],[2014]])</f>
        <v>14</v>
      </c>
      <c r="R11" s="75">
        <v>39</v>
      </c>
      <c r="T11" s="178" t="s">
        <v>416</v>
      </c>
      <c r="U11" s="178"/>
      <c r="V11" s="178"/>
      <c r="W11" s="178"/>
      <c r="X11" s="178"/>
    </row>
    <row r="12" spans="1:24" ht="19">
      <c r="A12" s="70" t="s">
        <v>99</v>
      </c>
      <c r="B12" s="71"/>
      <c r="C12" s="72">
        <f>Table410016115911211512026118[[#This Row],[1990]]-Table410016115911211512026118[[#This Row],[1986]]</f>
        <v>0</v>
      </c>
      <c r="D12" s="71"/>
      <c r="E12" s="72">
        <f>Table410016115911211512026118[[#This Row],[1994]]-Table410016115911211512026118[[#This Row],[1990]]</f>
        <v>1</v>
      </c>
      <c r="F12" s="71">
        <v>1</v>
      </c>
      <c r="G12" s="72">
        <f>Table410016115911211512026118[[#This Row],[1998]]-Table410016115911211512026118[[#This Row],[1994]]</f>
        <v>0</v>
      </c>
      <c r="H12" s="71">
        <v>1</v>
      </c>
      <c r="I12" s="72">
        <f>Table410016115911211512026118[[#This Row],[2002]]-Table410016115911211512026118[[#This Row],[1998]]</f>
        <v>0</v>
      </c>
      <c r="J12" s="71">
        <v>1</v>
      </c>
      <c r="K12" s="72">
        <f>Table410016115911211512026118[[#This Row],[2006]]-Table410016115911211512026118[[#This Row],[2002]]</f>
        <v>0</v>
      </c>
      <c r="L12" s="71">
        <v>1</v>
      </c>
      <c r="M12" s="72">
        <f>Table410016115911211512026118[[#This Row],[2010]]-Table410016115911211512026118[[#This Row],[2006]]</f>
        <v>0</v>
      </c>
      <c r="N12" s="71">
        <v>1</v>
      </c>
      <c r="O12" s="72">
        <f>Table410016115911211512026118[[#This Row],[2014]]-Table410016115911211512026118[[#This Row],[2010]]</f>
        <v>0</v>
      </c>
      <c r="P12" s="71">
        <v>1</v>
      </c>
      <c r="Q12" s="73">
        <f>SUM(Table410016115911211512026118[[#This Row],[1986]],Table410016115911211512026118[[#This Row],[1990]],Table410016115911211512026118[[#This Row],[1994]],Table410016115911211512026118[[#This Row],[1998]],Table410016115911211512026118[[#This Row],[2002]],Table410016115911211512026118[[#This Row],[2006]],Table410016115911211512026118[[#This Row],[2010]],Table410016115911211512026118[[#This Row],[2014]])</f>
        <v>6</v>
      </c>
      <c r="R12" s="75">
        <v>22</v>
      </c>
      <c r="T12" s="65" t="s">
        <v>410</v>
      </c>
      <c r="U12" s="66" t="s">
        <v>411</v>
      </c>
      <c r="V12" s="67" t="s">
        <v>412</v>
      </c>
      <c r="W12" s="68" t="s">
        <v>413</v>
      </c>
      <c r="X12" s="69" t="s">
        <v>414</v>
      </c>
    </row>
    <row r="13" spans="1:24" ht="19">
      <c r="A13" s="70" t="s">
        <v>90</v>
      </c>
      <c r="B13" s="71"/>
      <c r="C13" s="72">
        <f>Table410016115911211512026118[[#This Row],[1990]]-Table410016115911211512026118[[#This Row],[1986]]</f>
        <v>0</v>
      </c>
      <c r="D13" s="71"/>
      <c r="E13" s="72">
        <f>Table410016115911211512026118[[#This Row],[1994]]-Table410016115911211512026118[[#This Row],[1990]]</f>
        <v>0</v>
      </c>
      <c r="F13" s="71"/>
      <c r="G13" s="72">
        <f>Table410016115911211512026118[[#This Row],[1998]]-Table410016115911211512026118[[#This Row],[1994]]</f>
        <v>0</v>
      </c>
      <c r="H13" s="71"/>
      <c r="I13" s="72">
        <f>Table410016115911211512026118[[#This Row],[2002]]-Table410016115911211512026118[[#This Row],[1998]]</f>
        <v>0</v>
      </c>
      <c r="J13" s="71"/>
      <c r="K13" s="72">
        <f>Table410016115911211512026118[[#This Row],[2006]]-Table410016115911211512026118[[#This Row],[2002]]</f>
        <v>1</v>
      </c>
      <c r="L13" s="71">
        <v>1</v>
      </c>
      <c r="M13" s="72">
        <f>Table410016115911211512026118[[#This Row],[2010]]-Table410016115911211512026118[[#This Row],[2006]]</f>
        <v>-1</v>
      </c>
      <c r="N13" s="71"/>
      <c r="O13" s="72">
        <f>Table410016115911211512026118[[#This Row],[2014]]-Table410016115911211512026118[[#This Row],[2010]]</f>
        <v>1</v>
      </c>
      <c r="P13" s="71">
        <v>1</v>
      </c>
      <c r="Q13" s="73">
        <f>SUM(Table410016115911211512026118[[#This Row],[1986]],Table410016115911211512026118[[#This Row],[1990]],Table410016115911211512026118[[#This Row],[1994]],Table410016115911211512026118[[#This Row],[1998]],Table410016115911211512026118[[#This Row],[2002]],Table410016115911211512026118[[#This Row],[2006]],Table410016115911211512026118[[#This Row],[2010]],Table410016115911211512026118[[#This Row],[2014]])</f>
        <v>2</v>
      </c>
      <c r="R13" s="75">
        <v>18</v>
      </c>
      <c r="T13" s="9">
        <f>R9</f>
        <v>57</v>
      </c>
      <c r="U13" s="9">
        <f>R19</f>
        <v>151</v>
      </c>
      <c r="V13" s="9">
        <f>R25</f>
        <v>49</v>
      </c>
      <c r="W13" s="9">
        <f>R30</f>
        <v>179</v>
      </c>
      <c r="X13" s="9">
        <f>R34</f>
        <v>77</v>
      </c>
    </row>
    <row r="14" spans="1:24" ht="19">
      <c r="A14" s="70" t="s">
        <v>79</v>
      </c>
      <c r="B14" s="71"/>
      <c r="C14" s="72">
        <f>Table410016115911211512026118[[#This Row],[1990]]-Table410016115911211512026118[[#This Row],[1986]]</f>
        <v>0</v>
      </c>
      <c r="D14" s="71"/>
      <c r="E14" s="72">
        <f>Table410016115911211512026118[[#This Row],[1994]]-Table410016115911211512026118[[#This Row],[1990]]</f>
        <v>0</v>
      </c>
      <c r="F14" s="71"/>
      <c r="G14" s="72">
        <f>Table410016115911211512026118[[#This Row],[1998]]-Table410016115911211512026118[[#This Row],[1994]]</f>
        <v>0</v>
      </c>
      <c r="H14" s="71"/>
      <c r="I14" s="72">
        <f>Table410016115911211512026118[[#This Row],[2002]]-Table410016115911211512026118[[#This Row],[1998]]</f>
        <v>0</v>
      </c>
      <c r="J14" s="71"/>
      <c r="K14" s="72">
        <f>Table410016115911211512026118[[#This Row],[2006]]-Table410016115911211512026118[[#This Row],[2002]]</f>
        <v>0</v>
      </c>
      <c r="L14" s="71"/>
      <c r="M14" s="72">
        <f>Table410016115911211512026118[[#This Row],[2010]]-Table410016115911211512026118[[#This Row],[2006]]</f>
        <v>0</v>
      </c>
      <c r="N14" s="71"/>
      <c r="O14" s="72">
        <f>Table410016115911211512026118[[#This Row],[2014]]-Table410016115911211512026118[[#This Row],[2010]]</f>
        <v>0</v>
      </c>
      <c r="P14" s="71"/>
      <c r="Q14" s="73">
        <f>SUM(Table410016115911211512026118[[#This Row],[1986]],Table410016115911211512026118[[#This Row],[1990]],Table410016115911211512026118[[#This Row],[1994]],Table410016115911211512026118[[#This Row],[1998]],Table410016115911211512026118[[#This Row],[2002]],Table410016115911211512026118[[#This Row],[2006]],Table410016115911211512026118[[#This Row],[2010]],Table410016115911211512026118[[#This Row],[2014]])</f>
        <v>0</v>
      </c>
      <c r="R14" s="75">
        <v>12</v>
      </c>
      <c r="T14" s="44">
        <f>(N9/T13)*100</f>
        <v>3.5087719298245612</v>
      </c>
      <c r="U14" s="44">
        <f>(N19/U13)*100</f>
        <v>3.9735099337748347</v>
      </c>
      <c r="V14" s="44">
        <f>(N25/V13)*100</f>
        <v>0</v>
      </c>
      <c r="W14" s="44">
        <f>(N30/W13)*100</f>
        <v>2.2346368715083798</v>
      </c>
      <c r="X14" s="44">
        <f>(N34/X13)*100</f>
        <v>2.5974025974025974</v>
      </c>
    </row>
    <row r="15" spans="1:24" ht="19">
      <c r="A15" s="70" t="s">
        <v>77</v>
      </c>
      <c r="B15" s="71"/>
      <c r="C15" s="72">
        <f>Table410016115911211512026118[[#This Row],[1990]]-Table410016115911211512026118[[#This Row],[1986]]</f>
        <v>1</v>
      </c>
      <c r="D15" s="71">
        <v>1</v>
      </c>
      <c r="E15" s="72">
        <f>Table410016115911211512026118[[#This Row],[1994]]-Table410016115911211512026118[[#This Row],[1990]]</f>
        <v>-1</v>
      </c>
      <c r="F15" s="71"/>
      <c r="G15" s="72">
        <f>Table410016115911211512026118[[#This Row],[1998]]-Table410016115911211512026118[[#This Row],[1994]]</f>
        <v>0</v>
      </c>
      <c r="H15" s="71"/>
      <c r="I15" s="72">
        <f>Table410016115911211512026118[[#This Row],[2002]]-Table410016115911211512026118[[#This Row],[1998]]</f>
        <v>0</v>
      </c>
      <c r="J15" s="71"/>
      <c r="K15" s="72">
        <f>Table410016115911211512026118[[#This Row],[2006]]-Table410016115911211512026118[[#This Row],[2002]]</f>
        <v>1</v>
      </c>
      <c r="L15" s="71">
        <v>1</v>
      </c>
      <c r="M15" s="72">
        <f>Table410016115911211512026118[[#This Row],[2010]]-Table410016115911211512026118[[#This Row],[2006]]</f>
        <v>0</v>
      </c>
      <c r="N15" s="71">
        <v>1</v>
      </c>
      <c r="O15" s="72">
        <f>Table410016115911211512026118[[#This Row],[2014]]-Table410016115911211512026118[[#This Row],[2010]]</f>
        <v>0</v>
      </c>
      <c r="P15" s="71">
        <v>1</v>
      </c>
      <c r="Q15" s="73">
        <f>SUM(Table410016115911211512026118[[#This Row],[1986]],Table410016115911211512026118[[#This Row],[1990]],Table410016115911211512026118[[#This Row],[1994]],Table410016115911211512026118[[#This Row],[1998]],Table410016115911211512026118[[#This Row],[2002]],Table410016115911211512026118[[#This Row],[2006]],Table410016115911211512026118[[#This Row],[2010]],Table410016115911211512026118[[#This Row],[2014]])</f>
        <v>4</v>
      </c>
      <c r="R15" s="75">
        <v>25</v>
      </c>
    </row>
    <row r="16" spans="1:24" ht="19">
      <c r="A16" s="70" t="s">
        <v>75</v>
      </c>
      <c r="B16" s="72"/>
      <c r="C16" s="72">
        <f>Table410016115911211512026118[[#This Row],[1990]]-Table410016115911211512026118[[#This Row],[1986]]</f>
        <v>0</v>
      </c>
      <c r="D16" s="72"/>
      <c r="E16" s="72">
        <f>Table410016115911211512026118[[#This Row],[1994]]-Table410016115911211512026118[[#This Row],[1990]]</f>
        <v>0</v>
      </c>
      <c r="F16" s="72"/>
      <c r="G16" s="72">
        <f>Table410016115911211512026118[[#This Row],[1998]]-Table410016115911211512026118[[#This Row],[1994]]</f>
        <v>0</v>
      </c>
      <c r="H16" s="72"/>
      <c r="I16" s="72">
        <f>Table410016115911211512026118[[#This Row],[2002]]-Table410016115911211512026118[[#This Row],[1998]]</f>
        <v>0</v>
      </c>
      <c r="J16" s="72"/>
      <c r="K16" s="72">
        <f>Table410016115911211512026118[[#This Row],[2006]]-Table410016115911211512026118[[#This Row],[2002]]</f>
        <v>1</v>
      </c>
      <c r="L16" s="72">
        <v>1</v>
      </c>
      <c r="M16" s="72">
        <f>Table410016115911211512026118[[#This Row],[2010]]-Table410016115911211512026118[[#This Row],[2006]]</f>
        <v>0</v>
      </c>
      <c r="N16" s="72">
        <v>1</v>
      </c>
      <c r="O16" s="72">
        <f>Table410016115911211512026118[[#This Row],[2014]]-Table410016115911211512026118[[#This Row],[2010]]</f>
        <v>-1</v>
      </c>
      <c r="P16" s="72"/>
      <c r="Q16" s="73">
        <f>SUM(Table410016115911211512026118[[#This Row],[1986]],Table410016115911211512026118[[#This Row],[1990]],Table410016115911211512026118[[#This Row],[1994]],Table410016115911211512026118[[#This Row],[1998]],Table410016115911211512026118[[#This Row],[2002]],Table410016115911211512026118[[#This Row],[2006]],Table410016115911211512026118[[#This Row],[2010]],Table410016115911211512026118[[#This Row],[2014]])</f>
        <v>2</v>
      </c>
      <c r="R16" s="75">
        <v>10</v>
      </c>
      <c r="T16" s="178" t="s">
        <v>417</v>
      </c>
      <c r="U16" s="178"/>
      <c r="V16" s="178"/>
      <c r="W16" s="178"/>
      <c r="X16" s="178"/>
    </row>
    <row r="17" spans="1:24" ht="19">
      <c r="A17" s="70" t="s">
        <v>69</v>
      </c>
      <c r="B17" s="71"/>
      <c r="C17" s="72">
        <f>Table410016115911211512026118[[#This Row],[1990]]-Table410016115911211512026118[[#This Row],[1986]]</f>
        <v>0</v>
      </c>
      <c r="D17" s="71"/>
      <c r="E17" s="72">
        <f>Table410016115911211512026118[[#This Row],[1994]]-Table410016115911211512026118[[#This Row],[1990]]</f>
        <v>0</v>
      </c>
      <c r="F17" s="71"/>
      <c r="G17" s="72">
        <f>Table410016115911211512026118[[#This Row],[1998]]-Table410016115911211512026118[[#This Row],[1994]]</f>
        <v>0</v>
      </c>
      <c r="H17" s="71"/>
      <c r="I17" s="72">
        <f>Table410016115911211512026118[[#This Row],[2002]]-Table410016115911211512026118[[#This Row],[1998]]</f>
        <v>0</v>
      </c>
      <c r="J17" s="71"/>
      <c r="K17" s="72">
        <f>Table410016115911211512026118[[#This Row],[2006]]-Table410016115911211512026118[[#This Row],[2002]]</f>
        <v>0</v>
      </c>
      <c r="L17" s="71"/>
      <c r="M17" s="72">
        <f>Table410016115911211512026118[[#This Row],[2010]]-Table410016115911211512026118[[#This Row],[2006]]</f>
        <v>0</v>
      </c>
      <c r="N17" s="71"/>
      <c r="O17" s="72">
        <f>Table410016115911211512026118[[#This Row],[2014]]-Table410016115911211512026118[[#This Row],[2010]]</f>
        <v>0</v>
      </c>
      <c r="P17" s="71"/>
      <c r="Q17" s="73">
        <f>SUM(Table410016115911211512026118[[#This Row],[1986]],Table410016115911211512026118[[#This Row],[1990]],Table410016115911211512026118[[#This Row],[1994]],Table410016115911211512026118[[#This Row],[1998]],Table410016115911211512026118[[#This Row],[2002]],Table410016115911211512026118[[#This Row],[2006]],Table410016115911211512026118[[#This Row],[2010]],Table410016115911211512026118[[#This Row],[2014]])</f>
        <v>0</v>
      </c>
      <c r="R17" s="75">
        <v>8</v>
      </c>
      <c r="T17" s="65" t="s">
        <v>410</v>
      </c>
      <c r="U17" s="66" t="s">
        <v>411</v>
      </c>
      <c r="V17" s="67" t="s">
        <v>412</v>
      </c>
      <c r="W17" s="68" t="s">
        <v>413</v>
      </c>
      <c r="X17" s="69" t="s">
        <v>414</v>
      </c>
    </row>
    <row r="18" spans="1:24" ht="19">
      <c r="A18" s="70" t="s">
        <v>56</v>
      </c>
      <c r="B18" s="71"/>
      <c r="C18" s="72">
        <f>Table410016115911211512026118[[#This Row],[1990]]-Table410016115911211512026118[[#This Row],[1986]]</f>
        <v>0</v>
      </c>
      <c r="D18" s="71"/>
      <c r="E18" s="72">
        <f>Table410016115911211512026118[[#This Row],[1994]]-Table410016115911211512026118[[#This Row],[1990]]</f>
        <v>0</v>
      </c>
      <c r="F18" s="71"/>
      <c r="G18" s="72">
        <f>Table410016115911211512026118[[#This Row],[1998]]-Table410016115911211512026118[[#This Row],[1994]]</f>
        <v>0</v>
      </c>
      <c r="H18" s="71"/>
      <c r="I18" s="72">
        <f>Table410016115911211512026118[[#This Row],[2002]]-Table410016115911211512026118[[#This Row],[1998]]</f>
        <v>0</v>
      </c>
      <c r="J18" s="71"/>
      <c r="K18" s="72">
        <f>Table410016115911211512026118[[#This Row],[2006]]-Table410016115911211512026118[[#This Row],[2002]]</f>
        <v>0</v>
      </c>
      <c r="L18" s="71"/>
      <c r="M18" s="72">
        <f>Table410016115911211512026118[[#This Row],[2010]]-Table410016115911211512026118[[#This Row],[2006]]</f>
        <v>0</v>
      </c>
      <c r="N18" s="71"/>
      <c r="O18" s="72">
        <f>Table410016115911211512026118[[#This Row],[2014]]-Table410016115911211512026118[[#This Row],[2010]]</f>
        <v>0</v>
      </c>
      <c r="P18" s="71"/>
      <c r="Q18" s="73">
        <f>SUM(Table410016115911211512026118[[#This Row],[1986]],Table410016115911211512026118[[#This Row],[1990]],Table410016115911211512026118[[#This Row],[1994]],Table410016115911211512026118[[#This Row],[1998]],Table410016115911211512026118[[#This Row],[2002]],Table410016115911211512026118[[#This Row],[2006]],Table410016115911211512026118[[#This Row],[2010]],Table410016115911211512026118[[#This Row],[2014]])</f>
        <v>0</v>
      </c>
      <c r="R18" s="75">
        <v>8</v>
      </c>
      <c r="T18" s="9">
        <f>R9</f>
        <v>57</v>
      </c>
      <c r="U18" s="9">
        <f>R19</f>
        <v>151</v>
      </c>
      <c r="V18" s="9">
        <f>R25</f>
        <v>49</v>
      </c>
      <c r="W18" s="9">
        <f>R30</f>
        <v>179</v>
      </c>
      <c r="X18" s="9">
        <f>R34</f>
        <v>77</v>
      </c>
    </row>
    <row r="19" spans="1:24" ht="19">
      <c r="A19" s="83" t="s">
        <v>411</v>
      </c>
      <c r="B19" s="84">
        <f>SUM(B10:B18)</f>
        <v>2</v>
      </c>
      <c r="C19" s="84">
        <f>Table410016115911211512026118[[#This Row],[1990]]-Table410016115911211512026118[[#This Row],[1986]]</f>
        <v>0</v>
      </c>
      <c r="D19" s="84">
        <f>SUM(D10:D18)</f>
        <v>2</v>
      </c>
      <c r="E19" s="80">
        <f>Table410016115911211512026118[[#This Row],[1994]]-Table410016115911211512026118[[#This Row],[1990]]</f>
        <v>0</v>
      </c>
      <c r="F19" s="84">
        <f>SUM(F10:F18)</f>
        <v>2</v>
      </c>
      <c r="G19" s="80">
        <f>Table410016115911211512026118[[#This Row],[1998]]-Table410016115911211512026118[[#This Row],[1994]]</f>
        <v>0</v>
      </c>
      <c r="H19" s="84">
        <f>SUM(H10:H18)</f>
        <v>2</v>
      </c>
      <c r="I19" s="80">
        <f>Table410016115911211512026118[[#This Row],[2002]]-Table410016115911211512026118[[#This Row],[1998]]</f>
        <v>1</v>
      </c>
      <c r="J19" s="84">
        <f>SUM(J10:J18)</f>
        <v>3</v>
      </c>
      <c r="K19" s="80">
        <f>Table410016115911211512026118[[#This Row],[2006]]-Table410016115911211512026118[[#This Row],[2002]]</f>
        <v>3</v>
      </c>
      <c r="L19" s="84">
        <f>SUM(L10:L18)</f>
        <v>6</v>
      </c>
      <c r="M19" s="80">
        <f>Table410016115911211512026118[[#This Row],[2010]]-Table410016115911211512026118[[#This Row],[2006]]</f>
        <v>0</v>
      </c>
      <c r="N19" s="84">
        <f>SUM(N10:N18)</f>
        <v>6</v>
      </c>
      <c r="O19" s="80">
        <f>Table410016115911211512026118[[#This Row],[2014]]-Table410016115911211512026118[[#This Row],[2010]]</f>
        <v>-1</v>
      </c>
      <c r="P19" s="84">
        <f>SUM(P10:P18)</f>
        <v>5</v>
      </c>
      <c r="Q19" s="85">
        <f>SUM(Q10:Q18)</f>
        <v>28</v>
      </c>
      <c r="R19" s="43">
        <v>151</v>
      </c>
      <c r="T19" s="44">
        <f>(L9/T18)*100</f>
        <v>5.2631578947368416</v>
      </c>
      <c r="U19" s="44">
        <f>(L19/U18)*100</f>
        <v>3.9735099337748347</v>
      </c>
      <c r="V19" s="44">
        <f>(L25/V18)*100</f>
        <v>0</v>
      </c>
      <c r="W19" s="44">
        <f>(L30/W18)*100</f>
        <v>1.6759776536312849</v>
      </c>
      <c r="X19" s="44">
        <f>(L34/X18)*100</f>
        <v>1.2987012987012987</v>
      </c>
    </row>
    <row r="20" spans="1:24" ht="19">
      <c r="A20" s="70" t="s">
        <v>97</v>
      </c>
      <c r="B20" s="71"/>
      <c r="C20" s="72">
        <f>Table410016115911211512026118[[#This Row],[1990]]-Table410016115911211512026118[[#This Row],[1986]]</f>
        <v>0</v>
      </c>
      <c r="D20" s="71"/>
      <c r="E20" s="72">
        <f>Table410016115911211512026118[[#This Row],[1994]]-Table410016115911211512026118[[#This Row],[1990]]</f>
        <v>1</v>
      </c>
      <c r="F20" s="71">
        <v>1</v>
      </c>
      <c r="G20" s="72">
        <f>Table410016115911211512026118[[#This Row],[1998]]-Table410016115911211512026118[[#This Row],[1994]]</f>
        <v>0</v>
      </c>
      <c r="H20" s="71">
        <v>1</v>
      </c>
      <c r="I20" s="72">
        <f>Table410016115911211512026118[[#This Row],[2002]]-Table410016115911211512026118[[#This Row],[1998]]</f>
        <v>0</v>
      </c>
      <c r="J20" s="71">
        <v>1</v>
      </c>
      <c r="K20" s="72">
        <f>Table410016115911211512026118[[#This Row],[2006]]-Table410016115911211512026118[[#This Row],[2002]]</f>
        <v>-1</v>
      </c>
      <c r="L20" s="71"/>
      <c r="M20" s="72">
        <f>Table410016115911211512026118[[#This Row],[2010]]-Table410016115911211512026118[[#This Row],[2006]]</f>
        <v>0</v>
      </c>
      <c r="N20" s="71"/>
      <c r="O20" s="72">
        <f>Table410016115911211512026118[[#This Row],[2014]]-Table410016115911211512026118[[#This Row],[2010]]</f>
        <v>0</v>
      </c>
      <c r="P20" s="71"/>
      <c r="Q20" s="103">
        <v>0</v>
      </c>
      <c r="R20" s="75">
        <v>8</v>
      </c>
    </row>
    <row r="21" spans="1:24" ht="19">
      <c r="A21" s="86" t="s">
        <v>94</v>
      </c>
      <c r="B21" s="87"/>
      <c r="C21" s="72">
        <f>Table410016115911211512026118[[#This Row],[1990]]-Table410016115911211512026118[[#This Row],[1986]]</f>
        <v>0</v>
      </c>
      <c r="D21" s="87"/>
      <c r="E21" s="72">
        <f>Table410016115911211512026118[[#This Row],[1994]]-Table410016115911211512026118[[#This Row],[1990]]</f>
        <v>1</v>
      </c>
      <c r="F21" s="87">
        <v>1</v>
      </c>
      <c r="G21" s="72">
        <f>Table410016115911211512026118[[#This Row],[1998]]-Table410016115911211512026118[[#This Row],[1994]]</f>
        <v>-1</v>
      </c>
      <c r="H21" s="87"/>
      <c r="I21" s="72">
        <f>Table410016115911211512026118[[#This Row],[2002]]-Table410016115911211512026118[[#This Row],[1998]]</f>
        <v>0</v>
      </c>
      <c r="J21" s="87"/>
      <c r="K21" s="72">
        <f>Table410016115911211512026118[[#This Row],[2006]]-Table410016115911211512026118[[#This Row],[2002]]</f>
        <v>0</v>
      </c>
      <c r="L21" s="87"/>
      <c r="M21" s="72">
        <f>Table410016115911211512026118[[#This Row],[2010]]-Table410016115911211512026118[[#This Row],[2006]]</f>
        <v>0</v>
      </c>
      <c r="N21" s="87"/>
      <c r="O21" s="72">
        <f>Table410016115911211512026118[[#This Row],[2014]]-Table410016115911211512026118[[#This Row],[2010]]</f>
        <v>0</v>
      </c>
      <c r="P21" s="87"/>
      <c r="Q21" s="103">
        <v>0</v>
      </c>
      <c r="R21" s="75">
        <v>17</v>
      </c>
      <c r="T21" s="178" t="s">
        <v>418</v>
      </c>
      <c r="U21" s="178"/>
      <c r="V21" s="178"/>
      <c r="W21" s="178"/>
      <c r="X21" s="178"/>
    </row>
    <row r="22" spans="1:24" ht="19">
      <c r="A22" s="88" t="s">
        <v>85</v>
      </c>
      <c r="B22" s="87"/>
      <c r="C22" s="72">
        <f>Table410016115911211512026118[[#This Row],[1990]]-Table410016115911211512026118[[#This Row],[1986]]</f>
        <v>0</v>
      </c>
      <c r="D22" s="87"/>
      <c r="E22" s="72">
        <f>Table410016115911211512026118[[#This Row],[1994]]-Table410016115911211512026118[[#This Row],[1990]]</f>
        <v>0</v>
      </c>
      <c r="F22" s="87"/>
      <c r="G22" s="72">
        <f>Table410016115911211512026118[[#This Row],[1998]]-Table410016115911211512026118[[#This Row],[1994]]</f>
        <v>0</v>
      </c>
      <c r="H22" s="87"/>
      <c r="I22" s="72">
        <f>Table410016115911211512026118[[#This Row],[2002]]-Table410016115911211512026118[[#This Row],[1998]]</f>
        <v>0</v>
      </c>
      <c r="J22" s="87"/>
      <c r="K22" s="72">
        <f>Table410016115911211512026118[[#This Row],[2006]]-Table410016115911211512026118[[#This Row],[2002]]</f>
        <v>0</v>
      </c>
      <c r="L22" s="87"/>
      <c r="M22" s="72">
        <f>Table410016115911211512026118[[#This Row],[2010]]-Table410016115911211512026118[[#This Row],[2006]]</f>
        <v>0</v>
      </c>
      <c r="N22" s="87"/>
      <c r="O22" s="72">
        <f>Table410016115911211512026118[[#This Row],[2014]]-Table410016115911211512026118[[#This Row],[2010]]</f>
        <v>0</v>
      </c>
      <c r="P22" s="87"/>
      <c r="Q22" s="103">
        <v>0</v>
      </c>
      <c r="R22" s="75">
        <v>8</v>
      </c>
      <c r="T22" s="65" t="s">
        <v>410</v>
      </c>
      <c r="U22" s="66" t="s">
        <v>411</v>
      </c>
      <c r="V22" s="67" t="s">
        <v>412</v>
      </c>
      <c r="W22" s="68" t="s">
        <v>413</v>
      </c>
      <c r="X22" s="69" t="s">
        <v>414</v>
      </c>
    </row>
    <row r="23" spans="1:24" ht="19">
      <c r="A23" s="88" t="s">
        <v>83</v>
      </c>
      <c r="B23" s="87"/>
      <c r="C23" s="72">
        <f>Table410016115911211512026118[[#This Row],[1990]]-Table410016115911211512026118[[#This Row],[1986]]</f>
        <v>0</v>
      </c>
      <c r="D23" s="87"/>
      <c r="E23" s="72">
        <f>Table410016115911211512026118[[#This Row],[1994]]-Table410016115911211512026118[[#This Row],[1990]]</f>
        <v>0</v>
      </c>
      <c r="F23" s="87"/>
      <c r="G23" s="72">
        <f>Table410016115911211512026118[[#This Row],[1998]]-Table410016115911211512026118[[#This Row],[1994]]</f>
        <v>0</v>
      </c>
      <c r="H23" s="87"/>
      <c r="I23" s="72">
        <f>Table410016115911211512026118[[#This Row],[2002]]-Table410016115911211512026118[[#This Row],[1998]]</f>
        <v>0</v>
      </c>
      <c r="J23" s="87"/>
      <c r="K23" s="72">
        <f>Table410016115911211512026118[[#This Row],[2006]]-Table410016115911211512026118[[#This Row],[2002]]</f>
        <v>0</v>
      </c>
      <c r="L23" s="87"/>
      <c r="M23" s="72">
        <f>Table410016115911211512026118[[#This Row],[2010]]-Table410016115911211512026118[[#This Row],[2006]]</f>
        <v>0</v>
      </c>
      <c r="N23" s="87"/>
      <c r="O23" s="72">
        <f>Table410016115911211512026118[[#This Row],[2014]]-Table410016115911211512026118[[#This Row],[2010]]</f>
        <v>0</v>
      </c>
      <c r="P23" s="87"/>
      <c r="Q23" s="103">
        <v>0</v>
      </c>
      <c r="R23" s="75">
        <v>8</v>
      </c>
      <c r="T23" s="9">
        <f>R9</f>
        <v>57</v>
      </c>
      <c r="U23" s="9">
        <f>R19</f>
        <v>151</v>
      </c>
      <c r="V23" s="9">
        <f>R25</f>
        <v>49</v>
      </c>
      <c r="W23" s="9">
        <f>R30</f>
        <v>179</v>
      </c>
      <c r="X23" s="9">
        <f>R34</f>
        <v>77</v>
      </c>
    </row>
    <row r="24" spans="1:24" ht="19">
      <c r="A24" s="88" t="s">
        <v>52</v>
      </c>
      <c r="B24" s="71"/>
      <c r="C24" s="72">
        <f>Table410016115911211512026118[[#This Row],[1990]]-Table410016115911211512026118[[#This Row],[1986]]</f>
        <v>0</v>
      </c>
      <c r="D24" s="71"/>
      <c r="E24" s="72">
        <f>Table410016115911211512026118[[#This Row],[1994]]-Table410016115911211512026118[[#This Row],[1990]]</f>
        <v>0</v>
      </c>
      <c r="F24" s="71"/>
      <c r="G24" s="72">
        <f>Table410016115911211512026118[[#This Row],[1998]]-Table410016115911211512026118[[#This Row],[1994]]</f>
        <v>0</v>
      </c>
      <c r="H24" s="71"/>
      <c r="I24" s="72">
        <f>Table410016115911211512026118[[#This Row],[2002]]-Table410016115911211512026118[[#This Row],[1998]]</f>
        <v>0</v>
      </c>
      <c r="J24" s="71"/>
      <c r="K24" s="72">
        <f>Table410016115911211512026118[[#This Row],[2006]]-Table410016115911211512026118[[#This Row],[2002]]</f>
        <v>0</v>
      </c>
      <c r="L24" s="71"/>
      <c r="M24" s="72">
        <f>Table410016115911211512026118[[#This Row],[2010]]-Table410016115911211512026118[[#This Row],[2006]]</f>
        <v>0</v>
      </c>
      <c r="N24" s="71"/>
      <c r="O24" s="72">
        <f>Table410016115911211512026118[[#This Row],[2014]]-Table410016115911211512026118[[#This Row],[2010]]</f>
        <v>0</v>
      </c>
      <c r="P24" s="71"/>
      <c r="Q24" s="103">
        <v>0</v>
      </c>
      <c r="R24" s="75">
        <v>8</v>
      </c>
      <c r="T24" s="44">
        <f>(J9/T23)*100</f>
        <v>1.7543859649122806</v>
      </c>
      <c r="U24" s="44">
        <f>(J19/U23)*100</f>
        <v>1.9867549668874174</v>
      </c>
      <c r="V24" s="44">
        <f>(J25/V23)*100</f>
        <v>2.0408163265306123</v>
      </c>
      <c r="W24" s="44">
        <f>(J30/W23)*100</f>
        <v>1.6759776536312849</v>
      </c>
      <c r="X24" s="44">
        <f>(J34/X23)*100</f>
        <v>0</v>
      </c>
    </row>
    <row r="25" spans="1:24" ht="19">
      <c r="A25" s="89" t="s">
        <v>412</v>
      </c>
      <c r="B25" s="79">
        <f>SUM(B20:B24)</f>
        <v>0</v>
      </c>
      <c r="C25" s="79">
        <f>Table410016115911211512026118[[#This Row],[1990]]-Table410016115911211512026118[[#This Row],[1986]]</f>
        <v>0</v>
      </c>
      <c r="D25" s="79">
        <f>SUM(D20:D24)</f>
        <v>0</v>
      </c>
      <c r="E25" s="80">
        <f>Table410016115911211512026118[[#This Row],[1994]]-Table410016115911211512026118[[#This Row],[1990]]</f>
        <v>2</v>
      </c>
      <c r="F25" s="79">
        <f>SUM(F20:F24)</f>
        <v>2</v>
      </c>
      <c r="G25" s="80">
        <f>Table410016115911211512026118[[#This Row],[1998]]-Table410016115911211512026118[[#This Row],[1994]]</f>
        <v>-1</v>
      </c>
      <c r="H25" s="79">
        <f>SUM(H20:H24)</f>
        <v>1</v>
      </c>
      <c r="I25" s="80">
        <f>Table410016115911211512026118[[#This Row],[2002]]-Table410016115911211512026118[[#This Row],[1998]]</f>
        <v>0</v>
      </c>
      <c r="J25" s="79">
        <f>SUM(J20:J24)</f>
        <v>1</v>
      </c>
      <c r="K25" s="80">
        <f>Table410016115911211512026118[[#This Row],[2006]]-Table410016115911211512026118[[#This Row],[2002]]</f>
        <v>-1</v>
      </c>
      <c r="L25" s="79">
        <f>SUM(L20:L24)</f>
        <v>0</v>
      </c>
      <c r="M25" s="80">
        <f>Table410016115911211512026118[[#This Row],[2010]]-Table410016115911211512026118[[#This Row],[2006]]</f>
        <v>0</v>
      </c>
      <c r="N25" s="79">
        <f>SUM(N20:N24)</f>
        <v>0</v>
      </c>
      <c r="O25" s="80">
        <f>Table410016115911211512026118[[#This Row],[2014]]-Table410016115911211512026118[[#This Row],[2010]]</f>
        <v>0</v>
      </c>
      <c r="P25" s="79">
        <f>SUM(P20:P24)</f>
        <v>0</v>
      </c>
      <c r="Q25" s="90">
        <f>SUM(Q20:Q24)</f>
        <v>0</v>
      </c>
      <c r="R25" s="91">
        <v>49</v>
      </c>
    </row>
    <row r="26" spans="1:24" ht="19">
      <c r="A26" s="88" t="s">
        <v>95</v>
      </c>
      <c r="B26" s="71"/>
      <c r="C26" s="72">
        <f>Table410016115911211512026118[[#This Row],[1990]]-Table410016115911211512026118[[#This Row],[1986]]</f>
        <v>0</v>
      </c>
      <c r="D26" s="71"/>
      <c r="E26" s="72">
        <f>Table410016115911211512026118[[#This Row],[1994]]-Table410016115911211512026118[[#This Row],[1990]]</f>
        <v>0</v>
      </c>
      <c r="F26" s="71"/>
      <c r="G26" s="72">
        <f>Table410016115911211512026118[[#This Row],[1998]]-Table410016115911211512026118[[#This Row],[1994]]</f>
        <v>0</v>
      </c>
      <c r="H26" s="71"/>
      <c r="I26" s="72">
        <f>Table410016115911211512026118[[#This Row],[2002]]-Table410016115911211512026118[[#This Row],[1998]]</f>
        <v>0</v>
      </c>
      <c r="J26" s="71"/>
      <c r="K26" s="72">
        <f>Table410016115911211512026118[[#This Row],[2006]]-Table410016115911211512026118[[#This Row],[2002]]</f>
        <v>0</v>
      </c>
      <c r="L26" s="71"/>
      <c r="M26" s="72">
        <f>Table410016115911211512026118[[#This Row],[2010]]-Table410016115911211512026118[[#This Row],[2006]]</f>
        <v>0</v>
      </c>
      <c r="N26" s="71"/>
      <c r="O26" s="72">
        <f>Table410016115911211512026118[[#This Row],[2014]]-Table410016115911211512026118[[#This Row],[2010]]</f>
        <v>0</v>
      </c>
      <c r="P26" s="71"/>
      <c r="Q26" s="103">
        <v>0</v>
      </c>
      <c r="R26" s="75">
        <v>10</v>
      </c>
      <c r="T26" s="178" t="s">
        <v>419</v>
      </c>
      <c r="U26" s="178"/>
      <c r="V26" s="178"/>
      <c r="W26" s="178"/>
      <c r="X26" s="178"/>
    </row>
    <row r="27" spans="1:24" ht="19">
      <c r="A27" s="88" t="s">
        <v>88</v>
      </c>
      <c r="B27" s="71"/>
      <c r="C27" s="72">
        <f>Table410016115911211512026118[[#This Row],[1990]]-Table410016115911211512026118[[#This Row],[1986]]</f>
        <v>0</v>
      </c>
      <c r="D27" s="71"/>
      <c r="E27" s="72">
        <f>Table410016115911211512026118[[#This Row],[1994]]-Table410016115911211512026118[[#This Row],[1990]]</f>
        <v>1</v>
      </c>
      <c r="F27" s="71">
        <v>1</v>
      </c>
      <c r="G27" s="72">
        <f>Table410016115911211512026118[[#This Row],[1998]]-Table410016115911211512026118[[#This Row],[1994]]</f>
        <v>0</v>
      </c>
      <c r="H27" s="71">
        <v>1</v>
      </c>
      <c r="I27" s="72">
        <f>Table410016115911211512026118[[#This Row],[2002]]-Table410016115911211512026118[[#This Row],[1998]]</f>
        <v>0</v>
      </c>
      <c r="J27" s="71">
        <v>1</v>
      </c>
      <c r="K27" s="72">
        <f>Table410016115911211512026118[[#This Row],[2006]]-Table410016115911211512026118[[#This Row],[2002]]</f>
        <v>0</v>
      </c>
      <c r="L27" s="71">
        <v>1</v>
      </c>
      <c r="M27" s="72">
        <f>Table410016115911211512026118[[#This Row],[2010]]-Table410016115911211512026118[[#This Row],[2006]]</f>
        <v>0</v>
      </c>
      <c r="N27" s="71">
        <v>1</v>
      </c>
      <c r="O27" s="72">
        <f>Table410016115911211512026118[[#This Row],[2014]]-Table410016115911211512026118[[#This Row],[2010]]</f>
        <v>0</v>
      </c>
      <c r="P27" s="71">
        <v>1</v>
      </c>
      <c r="Q27" s="103">
        <v>0</v>
      </c>
      <c r="R27" s="75">
        <v>53</v>
      </c>
      <c r="T27" s="65" t="s">
        <v>410</v>
      </c>
      <c r="U27" s="66" t="s">
        <v>411</v>
      </c>
      <c r="V27" s="67" t="s">
        <v>412</v>
      </c>
      <c r="W27" s="68" t="s">
        <v>413</v>
      </c>
      <c r="X27" s="69" t="s">
        <v>414</v>
      </c>
    </row>
    <row r="28" spans="1:24" ht="19">
      <c r="A28" s="88" t="s">
        <v>72</v>
      </c>
      <c r="B28" s="71"/>
      <c r="C28" s="72">
        <f>Table410016115911211512026118[[#This Row],[1990]]-Table410016115911211512026118[[#This Row],[1986]]</f>
        <v>1</v>
      </c>
      <c r="D28" s="71">
        <v>1</v>
      </c>
      <c r="E28" s="72">
        <f>Table410016115911211512026118[[#This Row],[1994]]-Table410016115911211512026118[[#This Row],[1990]]</f>
        <v>1</v>
      </c>
      <c r="F28" s="71">
        <v>2</v>
      </c>
      <c r="G28" s="72">
        <f>Table410016115911211512026118[[#This Row],[1998]]-Table410016115911211512026118[[#This Row],[1994]]</f>
        <v>-1</v>
      </c>
      <c r="H28" s="71">
        <v>1</v>
      </c>
      <c r="I28" s="72">
        <f>Table410016115911211512026118[[#This Row],[2002]]-Table410016115911211512026118[[#This Row],[1998]]</f>
        <v>0</v>
      </c>
      <c r="J28" s="71">
        <v>1</v>
      </c>
      <c r="K28" s="72">
        <f>Table410016115911211512026118[[#This Row],[2006]]-Table410016115911211512026118[[#This Row],[2002]]</f>
        <v>0</v>
      </c>
      <c r="L28" s="71">
        <v>1</v>
      </c>
      <c r="M28" s="72">
        <f>Table410016115911211512026118[[#This Row],[2010]]-Table410016115911211512026118[[#This Row],[2006]]</f>
        <v>0</v>
      </c>
      <c r="N28" s="71">
        <v>1</v>
      </c>
      <c r="O28" s="72">
        <f>Table410016115911211512026118[[#This Row],[2014]]-Table410016115911211512026118[[#This Row],[2010]]</f>
        <v>0</v>
      </c>
      <c r="P28" s="71">
        <v>1</v>
      </c>
      <c r="Q28" s="103">
        <v>0</v>
      </c>
      <c r="R28" s="75">
        <v>46</v>
      </c>
      <c r="T28" s="9">
        <f>R9</f>
        <v>57</v>
      </c>
      <c r="U28" s="9">
        <f>R19</f>
        <v>151</v>
      </c>
      <c r="V28" s="9">
        <f>R25</f>
        <v>49</v>
      </c>
      <c r="W28" s="9">
        <f>R30</f>
        <v>179</v>
      </c>
      <c r="X28" s="9">
        <f>R34</f>
        <v>77</v>
      </c>
    </row>
    <row r="29" spans="1:24" ht="19">
      <c r="A29" s="88" t="s">
        <v>54</v>
      </c>
      <c r="B29" s="71"/>
      <c r="C29" s="72">
        <f>Table410016115911211512026118[[#This Row],[1990]]-Table410016115911211512026118[[#This Row],[1986]]</f>
        <v>1</v>
      </c>
      <c r="D29" s="71">
        <v>1</v>
      </c>
      <c r="E29" s="72">
        <f>Table410016115911211512026118[[#This Row],[1994]]-Table410016115911211512026118[[#This Row],[1990]]</f>
        <v>0</v>
      </c>
      <c r="F29" s="71">
        <v>1</v>
      </c>
      <c r="G29" s="72">
        <f>Table410016115911211512026118[[#This Row],[1998]]-Table410016115911211512026118[[#This Row],[1994]]</f>
        <v>0</v>
      </c>
      <c r="H29" s="71">
        <v>1</v>
      </c>
      <c r="I29" s="72">
        <f>Table410016115911211512026118[[#This Row],[2002]]-Table410016115911211512026118[[#This Row],[1998]]</f>
        <v>0</v>
      </c>
      <c r="J29" s="71">
        <v>1</v>
      </c>
      <c r="K29" s="72">
        <f>Table410016115911211512026118[[#This Row],[2006]]-Table410016115911211512026118[[#This Row],[2002]]</f>
        <v>0</v>
      </c>
      <c r="L29" s="71">
        <v>1</v>
      </c>
      <c r="M29" s="72">
        <f>Table410016115911211512026118[[#This Row],[2010]]-Table410016115911211512026118[[#This Row],[2006]]</f>
        <v>1</v>
      </c>
      <c r="N29" s="71">
        <v>2</v>
      </c>
      <c r="O29" s="72">
        <f>Table410016115911211512026118[[#This Row],[2014]]-Table410016115911211512026118[[#This Row],[2010]]</f>
        <v>-1</v>
      </c>
      <c r="P29" s="71">
        <v>1</v>
      </c>
      <c r="Q29" s="103">
        <v>0</v>
      </c>
      <c r="R29" s="75">
        <v>70</v>
      </c>
      <c r="T29" s="44">
        <f>(H9/T28)*100</f>
        <v>1.7543859649122806</v>
      </c>
      <c r="U29" s="44">
        <f>(H19/U28)*100</f>
        <v>1.3245033112582782</v>
      </c>
      <c r="V29" s="44">
        <f>(H25/V28)*100</f>
        <v>2.0408163265306123</v>
      </c>
      <c r="W29" s="44">
        <f>(H30/W28)*100</f>
        <v>1.6759776536312849</v>
      </c>
      <c r="X29" s="44">
        <f>(H34/X28)*100</f>
        <v>0</v>
      </c>
    </row>
    <row r="30" spans="1:24" ht="19">
      <c r="A30" s="93" t="s">
        <v>413</v>
      </c>
      <c r="B30" s="79">
        <f>SUM(B26:B29)</f>
        <v>0</v>
      </c>
      <c r="C30" s="79">
        <f>Table410016115911211512026118[[#This Row],[1990]]-Table410016115911211512026118[[#This Row],[1986]]</f>
        <v>2</v>
      </c>
      <c r="D30" s="79">
        <f>SUM(D26:D29)</f>
        <v>2</v>
      </c>
      <c r="E30" s="80">
        <f>Table410016115911211512026118[[#This Row],[1994]]-Table410016115911211512026118[[#This Row],[1990]]</f>
        <v>2</v>
      </c>
      <c r="F30" s="79">
        <f>SUM(F26:F29)</f>
        <v>4</v>
      </c>
      <c r="G30" s="80">
        <f>Table410016115911211512026118[[#This Row],[1998]]-Table410016115911211512026118[[#This Row],[1994]]</f>
        <v>-1</v>
      </c>
      <c r="H30" s="79">
        <f>SUM(H26:H29)</f>
        <v>3</v>
      </c>
      <c r="I30" s="80">
        <f>Table410016115911211512026118[[#This Row],[2002]]-Table410016115911211512026118[[#This Row],[1998]]</f>
        <v>0</v>
      </c>
      <c r="J30" s="79">
        <f>SUM(J26:J29)</f>
        <v>3</v>
      </c>
      <c r="K30" s="80">
        <f>Table410016115911211512026118[[#This Row],[2006]]-Table410016115911211512026118[[#This Row],[2002]]</f>
        <v>0</v>
      </c>
      <c r="L30" s="79">
        <f>SUM(L26:L29)</f>
        <v>3</v>
      </c>
      <c r="M30" s="80">
        <f>Table410016115911211512026118[[#This Row],[2010]]-Table410016115911211512026118[[#This Row],[2006]]</f>
        <v>1</v>
      </c>
      <c r="N30" s="79">
        <f>SUM(N26:N29)</f>
        <v>4</v>
      </c>
      <c r="O30" s="80">
        <f>Table410016115911211512026118[[#This Row],[2014]]-Table410016115911211512026118[[#This Row],[2010]]</f>
        <v>-1</v>
      </c>
      <c r="P30" s="79">
        <f>SUM(P26:P29)</f>
        <v>3</v>
      </c>
      <c r="Q30" s="94">
        <f>SUM(Q26:Q29)</f>
        <v>0</v>
      </c>
      <c r="R30" s="95">
        <v>179</v>
      </c>
    </row>
    <row r="31" spans="1:24" ht="19">
      <c r="A31" s="88" t="s">
        <v>13</v>
      </c>
      <c r="B31" s="71"/>
      <c r="C31" s="72">
        <f>Table410016115911211512026118[[#This Row],[1990]]-Table410016115911211512026118[[#This Row],[1986]]</f>
        <v>0</v>
      </c>
      <c r="D31" s="71"/>
      <c r="E31" s="72">
        <f>Table410016115911211512026118[[#This Row],[1994]]-Table410016115911211512026118[[#This Row],[1990]]</f>
        <v>1</v>
      </c>
      <c r="F31" s="71">
        <v>1</v>
      </c>
      <c r="G31" s="72">
        <f>Table410016115911211512026118[[#This Row],[1998]]-Table410016115911211512026118[[#This Row],[1994]]</f>
        <v>-1</v>
      </c>
      <c r="H31" s="71"/>
      <c r="I31" s="72">
        <f>Table410016115911211512026118[[#This Row],[2002]]-Table410016115911211512026118[[#This Row],[1998]]</f>
        <v>0</v>
      </c>
      <c r="J31" s="71"/>
      <c r="K31" s="72">
        <f>Table410016115911211512026118[[#This Row],[2006]]-Table410016115911211512026118[[#This Row],[2002]]</f>
        <v>0</v>
      </c>
      <c r="L31" s="71"/>
      <c r="M31" s="72">
        <f>Table410016115911211512026118[[#This Row],[2010]]-Table410016115911211512026118[[#This Row],[2006]]</f>
        <v>0</v>
      </c>
      <c r="N31" s="71"/>
      <c r="O31" s="72">
        <f>Table410016115911211512026118[[#This Row],[2014]]-Table410016115911211512026118[[#This Row],[2010]]</f>
        <v>1</v>
      </c>
      <c r="P31" s="71">
        <v>1</v>
      </c>
      <c r="Q31" s="103">
        <v>0</v>
      </c>
      <c r="R31" s="75">
        <v>30</v>
      </c>
      <c r="T31" s="178" t="s">
        <v>421</v>
      </c>
      <c r="U31" s="178"/>
      <c r="V31" s="178"/>
      <c r="W31" s="178"/>
      <c r="X31" s="178"/>
    </row>
    <row r="32" spans="1:24" ht="19">
      <c r="A32" s="88" t="s">
        <v>62</v>
      </c>
      <c r="B32" s="72"/>
      <c r="C32" s="72">
        <f>Table410016115911211512026118[[#This Row],[1990]]-Table410016115911211512026118[[#This Row],[1986]]</f>
        <v>0</v>
      </c>
      <c r="D32" s="72"/>
      <c r="E32" s="72">
        <f>Table410016115911211512026118[[#This Row],[1994]]-Table410016115911211512026118[[#This Row],[1990]]</f>
        <v>0</v>
      </c>
      <c r="F32" s="72"/>
      <c r="G32" s="72">
        <f>Table410016115911211512026118[[#This Row],[1998]]-Table410016115911211512026118[[#This Row],[1994]]</f>
        <v>0</v>
      </c>
      <c r="H32" s="72"/>
      <c r="I32" s="72">
        <f>Table410016115911211512026118[[#This Row],[2002]]-Table410016115911211512026118[[#This Row],[1998]]</f>
        <v>0</v>
      </c>
      <c r="J32" s="72"/>
      <c r="K32" s="72">
        <f>Table410016115911211512026118[[#This Row],[2006]]-Table410016115911211512026118[[#This Row],[2002]]</f>
        <v>1</v>
      </c>
      <c r="L32" s="72">
        <v>1</v>
      </c>
      <c r="M32" s="72">
        <f>Table410016115911211512026118[[#This Row],[2010]]-Table410016115911211512026118[[#This Row],[2006]]</f>
        <v>1</v>
      </c>
      <c r="N32" s="72">
        <v>2</v>
      </c>
      <c r="O32" s="72">
        <f>Table410016115911211512026118[[#This Row],[2014]]-Table410016115911211512026118[[#This Row],[2010]]</f>
        <v>-1</v>
      </c>
      <c r="P32" s="72">
        <v>1</v>
      </c>
      <c r="Q32" s="103">
        <v>0</v>
      </c>
      <c r="R32" s="75">
        <v>31</v>
      </c>
      <c r="T32" s="65" t="s">
        <v>410</v>
      </c>
      <c r="U32" s="66" t="s">
        <v>411</v>
      </c>
      <c r="V32" s="67" t="s">
        <v>412</v>
      </c>
      <c r="W32" s="68" t="s">
        <v>413</v>
      </c>
      <c r="X32" s="69" t="s">
        <v>414</v>
      </c>
    </row>
    <row r="33" spans="1:24" ht="19">
      <c r="A33" s="88" t="s">
        <v>60</v>
      </c>
      <c r="B33" s="71"/>
      <c r="C33" s="72">
        <f>Table410016115911211512026118[[#This Row],[1990]]-Table410016115911211512026118[[#This Row],[1986]]</f>
        <v>0</v>
      </c>
      <c r="D33" s="71"/>
      <c r="E33" s="72">
        <f>Table410016115911211512026118[[#This Row],[1994]]-Table410016115911211512026118[[#This Row],[1990]]</f>
        <v>0</v>
      </c>
      <c r="F33" s="71"/>
      <c r="G33" s="72">
        <f>Table410016115911211512026118[[#This Row],[1998]]-Table410016115911211512026118[[#This Row],[1994]]</f>
        <v>0</v>
      </c>
      <c r="H33" s="71"/>
      <c r="I33" s="72">
        <f>Table410016115911211512026118[[#This Row],[2002]]-Table410016115911211512026118[[#This Row],[1998]]</f>
        <v>0</v>
      </c>
      <c r="J33" s="71"/>
      <c r="K33" s="72">
        <f>Table410016115911211512026118[[#This Row],[2006]]-Table410016115911211512026118[[#This Row],[2002]]</f>
        <v>0</v>
      </c>
      <c r="L33" s="71"/>
      <c r="M33" s="72">
        <f>Table410016115911211512026118[[#This Row],[2010]]-Table410016115911211512026118[[#This Row],[2006]]</f>
        <v>0</v>
      </c>
      <c r="N33" s="71"/>
      <c r="O33" s="72">
        <f>Table410016115911211512026118[[#This Row],[2014]]-Table410016115911211512026118[[#This Row],[2010]]</f>
        <v>0</v>
      </c>
      <c r="P33" s="71"/>
      <c r="Q33" s="103">
        <v>0</v>
      </c>
      <c r="R33" s="75">
        <v>16</v>
      </c>
      <c r="T33" s="9">
        <f>R9</f>
        <v>57</v>
      </c>
      <c r="U33" s="9">
        <f>R19</f>
        <v>151</v>
      </c>
      <c r="V33" s="9">
        <f>R25</f>
        <v>49</v>
      </c>
      <c r="W33" s="9">
        <f>R30</f>
        <v>179</v>
      </c>
      <c r="X33" s="9">
        <f>R34</f>
        <v>77</v>
      </c>
    </row>
    <row r="34" spans="1:24" ht="19">
      <c r="A34" s="96" t="s">
        <v>414</v>
      </c>
      <c r="B34" s="97">
        <f>SUM(B31:B33)</f>
        <v>0</v>
      </c>
      <c r="C34" s="97">
        <f>Table410016115911211512026118[[#This Row],[1990]]-Table410016115911211512026118[[#This Row],[1986]]</f>
        <v>0</v>
      </c>
      <c r="D34" s="97">
        <f>SUM(D31:D33)</f>
        <v>0</v>
      </c>
      <c r="E34" s="80">
        <f>Table410016115911211512026118[[#This Row],[1994]]-Table410016115911211512026118[[#This Row],[1990]]</f>
        <v>1</v>
      </c>
      <c r="F34" s="97">
        <f>SUM(F31:F33)</f>
        <v>1</v>
      </c>
      <c r="G34" s="80">
        <f>Table410016115911211512026118[[#This Row],[1998]]-Table410016115911211512026118[[#This Row],[1994]]</f>
        <v>-1</v>
      </c>
      <c r="H34" s="97">
        <f>SUM(H31:H33)</f>
        <v>0</v>
      </c>
      <c r="I34" s="80">
        <f>Table410016115911211512026118[[#This Row],[2002]]-Table410016115911211512026118[[#This Row],[1998]]</f>
        <v>0</v>
      </c>
      <c r="J34" s="97">
        <f>SUM(J31:J33)</f>
        <v>0</v>
      </c>
      <c r="K34" s="80">
        <f>Table410016115911211512026118[[#This Row],[2006]]-Table410016115911211512026118[[#This Row],[2002]]</f>
        <v>1</v>
      </c>
      <c r="L34" s="97">
        <f>SUM(L31:L33)</f>
        <v>1</v>
      </c>
      <c r="M34" s="80">
        <f>Table410016115911211512026118[[#This Row],[2010]]-Table410016115911211512026118[[#This Row],[2006]]</f>
        <v>1</v>
      </c>
      <c r="N34" s="97">
        <f>SUM(N31:N33)</f>
        <v>2</v>
      </c>
      <c r="O34" s="80">
        <f>Table410016115911211512026118[[#This Row],[2014]]-Table410016115911211512026118[[#This Row],[2010]]</f>
        <v>0</v>
      </c>
      <c r="P34" s="97">
        <f>SUM(P31:P33)</f>
        <v>2</v>
      </c>
      <c r="Q34" s="98">
        <f>SUM(Q31:Q33)</f>
        <v>0</v>
      </c>
      <c r="R34" s="99">
        <v>77</v>
      </c>
      <c r="T34" s="44">
        <f>(F9/T33)*100</f>
        <v>1.7543859649122806</v>
      </c>
      <c r="U34" s="44">
        <f>(F19/U33)*100</f>
        <v>1.3245033112582782</v>
      </c>
      <c r="V34" s="44">
        <f>(F25/V33)*100</f>
        <v>4.0816326530612246</v>
      </c>
      <c r="W34" s="44">
        <f>(F30/W33)*100</f>
        <v>2.2346368715083798</v>
      </c>
      <c r="X34" s="44">
        <f>(F34/X33)*100</f>
        <v>1.2987012987012987</v>
      </c>
    </row>
    <row r="35" spans="1:24" ht="19">
      <c r="A35" s="100" t="s">
        <v>420</v>
      </c>
      <c r="B35" s="101">
        <f>SUM(B9,B19,B25,B30,B34)</f>
        <v>2</v>
      </c>
      <c r="C35" s="101">
        <f>Table410016115911211512026118[[#This Row],[1990]]-Table410016115911211512026118[[#This Row],[1986]]</f>
        <v>3</v>
      </c>
      <c r="D35" s="101">
        <f>SUM(D9,D19,D25,D30,D34)</f>
        <v>5</v>
      </c>
      <c r="E35" s="80">
        <f>Table410016115911211512026118[[#This Row],[1994]]-Table410016115911211512026118[[#This Row],[1990]]</f>
        <v>5</v>
      </c>
      <c r="F35" s="101">
        <f>SUM(F9,F19,F25,F30,F34)</f>
        <v>10</v>
      </c>
      <c r="G35" s="80">
        <f>Table410016115911211512026118[[#This Row],[1998]]-Table410016115911211512026118[[#This Row],[1994]]</f>
        <v>-3</v>
      </c>
      <c r="H35" s="101">
        <f>SUM(H9,H19,H25,H30,H34)</f>
        <v>7</v>
      </c>
      <c r="I35" s="80">
        <f>Table410016115911211512026118[[#This Row],[2002]]-Table410016115911211512026118[[#This Row],[1998]]</f>
        <v>1</v>
      </c>
      <c r="J35" s="101">
        <f>SUM(J9,J19,J25,J30,J34)</f>
        <v>8</v>
      </c>
      <c r="K35" s="80">
        <f>Table410016115911211512026118[[#This Row],[2006]]-Table410016115911211512026118[[#This Row],[2002]]</f>
        <v>5</v>
      </c>
      <c r="L35" s="101">
        <f>SUM(L9,L19,L25,L30,L34)</f>
        <v>13</v>
      </c>
      <c r="M35" s="80">
        <f>Table410016115911211512026118[[#This Row],[2010]]-Table410016115911211512026118[[#This Row],[2006]]</f>
        <v>1</v>
      </c>
      <c r="N35" s="101">
        <f>SUM(N9,N19,N25,N30,N34)</f>
        <v>14</v>
      </c>
      <c r="O35" s="80">
        <f>Table410016115911211512026118[[#This Row],[2014]]-Table410016115911211512026118[[#This Row],[2010]]</f>
        <v>-3</v>
      </c>
      <c r="P35" s="101">
        <f>SUM(P9,P19,P25,P30,P34)</f>
        <v>11</v>
      </c>
      <c r="Q35" s="102">
        <f>SUM(Q9,Q19,Q25,Q30,Q34)</f>
        <v>38</v>
      </c>
      <c r="R35" s="75">
        <v>513</v>
      </c>
    </row>
    <row r="36" spans="1:24">
      <c r="T36" s="178" t="s">
        <v>422</v>
      </c>
      <c r="U36" s="178"/>
      <c r="V36" s="178"/>
      <c r="W36" s="178"/>
      <c r="X36" s="178"/>
    </row>
    <row r="37" spans="1:24">
      <c r="T37" s="65" t="s">
        <v>410</v>
      </c>
      <c r="U37" s="66" t="s">
        <v>411</v>
      </c>
      <c r="V37" s="67" t="s">
        <v>412</v>
      </c>
      <c r="W37" s="68" t="s">
        <v>413</v>
      </c>
      <c r="X37" s="69" t="s">
        <v>414</v>
      </c>
    </row>
    <row r="38" spans="1:24">
      <c r="T38" s="9">
        <f>R9</f>
        <v>57</v>
      </c>
      <c r="U38" s="9">
        <f>R19</f>
        <v>151</v>
      </c>
      <c r="V38" s="9">
        <f>R25</f>
        <v>49</v>
      </c>
      <c r="W38" s="9">
        <f>(R30-10)</f>
        <v>169</v>
      </c>
      <c r="X38" s="9">
        <f>R34</f>
        <v>77</v>
      </c>
    </row>
    <row r="39" spans="1:24">
      <c r="T39" s="44">
        <f>(D9/T38)*100</f>
        <v>1.7543859649122806</v>
      </c>
      <c r="U39" s="44">
        <f>(D19/U38)*100</f>
        <v>1.3245033112582782</v>
      </c>
      <c r="V39" s="44">
        <f>(D25/V38)*100</f>
        <v>0</v>
      </c>
      <c r="W39" s="44">
        <f>(D30/W38)*100</f>
        <v>1.1834319526627219</v>
      </c>
      <c r="X39" s="44">
        <f>(D34/X38)*100</f>
        <v>0</v>
      </c>
    </row>
    <row r="41" spans="1:24">
      <c r="T41" s="178" t="s">
        <v>428</v>
      </c>
      <c r="U41" s="178"/>
      <c r="V41" s="178"/>
      <c r="W41" s="178"/>
      <c r="X41" s="178"/>
    </row>
    <row r="42" spans="1:24">
      <c r="T42" s="65" t="s">
        <v>410</v>
      </c>
      <c r="U42" s="66" t="s">
        <v>411</v>
      </c>
      <c r="V42" s="67" t="s">
        <v>412</v>
      </c>
      <c r="W42" s="68" t="s">
        <v>413</v>
      </c>
      <c r="X42" s="69" t="s">
        <v>414</v>
      </c>
    </row>
    <row r="43" spans="1:24">
      <c r="T43" s="9">
        <f>R9</f>
        <v>57</v>
      </c>
      <c r="U43" s="9">
        <f>R19</f>
        <v>151</v>
      </c>
      <c r="V43" s="9">
        <f>R25</f>
        <v>49</v>
      </c>
      <c r="W43" s="17">
        <f>(R30-19)</f>
        <v>160</v>
      </c>
      <c r="X43" s="9">
        <f>R34</f>
        <v>77</v>
      </c>
    </row>
    <row r="44" spans="1:24">
      <c r="T44" s="44">
        <f>(B9/T43)*100</f>
        <v>0</v>
      </c>
      <c r="U44" s="44">
        <f>(B19/U43)*100</f>
        <v>1.3245033112582782</v>
      </c>
      <c r="V44" s="44">
        <f>(B25/V43)*100</f>
        <v>0</v>
      </c>
      <c r="W44" s="44">
        <f>(B30/W43)*100</f>
        <v>0</v>
      </c>
      <c r="X44" s="44">
        <f>(B34/X43)*100</f>
        <v>0</v>
      </c>
    </row>
  </sheetData>
  <mergeCells count="10">
    <mergeCell ref="T26:X26"/>
    <mergeCell ref="T31:X31"/>
    <mergeCell ref="T36:X36"/>
    <mergeCell ref="T41:X41"/>
    <mergeCell ref="A1:Q1"/>
    <mergeCell ref="T1:X1"/>
    <mergeCell ref="T6:X6"/>
    <mergeCell ref="T11:X11"/>
    <mergeCell ref="T16:X16"/>
    <mergeCell ref="T21:X21"/>
  </mergeCells>
  <conditionalFormatting sqref="C4:C35">
    <cfRule type="cellIs" dxfId="320" priority="11" operator="greaterThan">
      <formula>0</formula>
    </cfRule>
  </conditionalFormatting>
  <conditionalFormatting sqref="C3">
    <cfRule type="cellIs" dxfId="319" priority="8" operator="greaterThan">
      <formula>0</formula>
    </cfRule>
  </conditionalFormatting>
  <conditionalFormatting sqref="E3">
    <cfRule type="cellIs" dxfId="318" priority="5" operator="greaterThan">
      <formula>0</formula>
    </cfRule>
  </conditionalFormatting>
  <conditionalFormatting sqref="O3:O35">
    <cfRule type="cellIs" dxfId="317" priority="1" operator="lessThan">
      <formula>0</formula>
    </cfRule>
    <cfRule type="cellIs" dxfId="316" priority="2" operator="greaterThan">
      <formula>0</formula>
    </cfRule>
  </conditionalFormatting>
  <conditionalFormatting sqref="C4:C35 E4:E35 G3:G35 I3:I35 K3:K35 M3:M35">
    <cfRule type="cellIs" dxfId="315" priority="10" operator="greaterThan">
      <formula>0</formula>
    </cfRule>
  </conditionalFormatting>
  <conditionalFormatting sqref="C4:C35 E4:E35 G3:G35 I3:I35 K3:K35 M3:M35">
    <cfRule type="cellIs" dxfId="314" priority="9" operator="lessThan">
      <formula>0</formula>
    </cfRule>
  </conditionalFormatting>
  <conditionalFormatting sqref="C3">
    <cfRule type="cellIs" dxfId="313" priority="7" operator="greaterThan">
      <formula>0</formula>
    </cfRule>
  </conditionalFormatting>
  <conditionalFormatting sqref="C3">
    <cfRule type="cellIs" dxfId="312" priority="6" operator="lessThan">
      <formula>0</formula>
    </cfRule>
  </conditionalFormatting>
  <conditionalFormatting sqref="E3">
    <cfRule type="cellIs" dxfId="311" priority="4" operator="greaterThan">
      <formula>0</formula>
    </cfRule>
  </conditionalFormatting>
  <conditionalFormatting sqref="E3">
    <cfRule type="cellIs" dxfId="310" priority="3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4"/>
  <sheetViews>
    <sheetView topLeftCell="N23" workbookViewId="0">
      <selection activeCell="W43" sqref="W43"/>
    </sheetView>
  </sheetViews>
  <sheetFormatPr baseColWidth="10" defaultRowHeight="16"/>
  <cols>
    <col min="1" max="1" width="21" customWidth="1"/>
    <col min="17" max="17" width="20.5" customWidth="1"/>
    <col min="18" max="18" width="21.33203125" customWidth="1"/>
  </cols>
  <sheetData>
    <row r="1" spans="1:24" ht="19">
      <c r="A1" s="183" t="s">
        <v>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T1" s="178" t="s">
        <v>391</v>
      </c>
      <c r="U1" s="178"/>
      <c r="V1" s="178"/>
      <c r="W1" s="178"/>
      <c r="X1" s="178"/>
    </row>
    <row r="2" spans="1:24" ht="19">
      <c r="A2" s="63" t="s">
        <v>392</v>
      </c>
      <c r="B2" s="63" t="s">
        <v>393</v>
      </c>
      <c r="C2" s="63" t="s">
        <v>394</v>
      </c>
      <c r="D2" s="63" t="s">
        <v>395</v>
      </c>
      <c r="E2" s="63" t="s">
        <v>396</v>
      </c>
      <c r="F2" s="63" t="s">
        <v>397</v>
      </c>
      <c r="G2" s="63" t="s">
        <v>398</v>
      </c>
      <c r="H2" s="63" t="s">
        <v>399</v>
      </c>
      <c r="I2" s="63" t="s">
        <v>400</v>
      </c>
      <c r="J2" s="63" t="s">
        <v>401</v>
      </c>
      <c r="K2" s="63" t="s">
        <v>402</v>
      </c>
      <c r="L2" s="63" t="s">
        <v>403</v>
      </c>
      <c r="M2" s="63" t="s">
        <v>404</v>
      </c>
      <c r="N2" s="63" t="s">
        <v>405</v>
      </c>
      <c r="O2" s="63" t="s">
        <v>406</v>
      </c>
      <c r="P2" s="63" t="s">
        <v>407</v>
      </c>
      <c r="Q2" s="64" t="s">
        <v>408</v>
      </c>
      <c r="R2" s="64" t="s">
        <v>427</v>
      </c>
      <c r="T2" s="65" t="s">
        <v>410</v>
      </c>
      <c r="U2" s="66" t="s">
        <v>411</v>
      </c>
      <c r="V2" s="67" t="s">
        <v>412</v>
      </c>
      <c r="W2" s="68" t="s">
        <v>413</v>
      </c>
      <c r="X2" s="69" t="s">
        <v>414</v>
      </c>
    </row>
    <row r="3" spans="1:24" ht="19">
      <c r="A3" s="70" t="s">
        <v>110</v>
      </c>
      <c r="B3" s="71"/>
      <c r="C3" s="72">
        <f>Table410016115911211512020113[[#This Row],[1990]]-Table410016115911211512020113[[#This Row],[1986]]</f>
        <v>0</v>
      </c>
      <c r="D3" s="71"/>
      <c r="E3" s="72">
        <f>Table410016115911211512020113[[#This Row],[1994]]-Table410016115911211512020113[[#This Row],[1990]]</f>
        <v>0</v>
      </c>
      <c r="F3" s="71"/>
      <c r="G3" s="72">
        <f>Table410016115911211512020113[[#This Row],[1998]]-Table410016115911211512020113[[#This Row],[1994]]</f>
        <v>1</v>
      </c>
      <c r="H3" s="71">
        <v>1</v>
      </c>
      <c r="I3" s="72">
        <f>Table410016115911211512020113[[#This Row],[2002]]-Table410016115911211512020113[[#This Row],[1998]]</f>
        <v>-1</v>
      </c>
      <c r="J3" s="71"/>
      <c r="K3" s="72">
        <f>Table410016115911211512020113[[#This Row],[2006]]-Table410016115911211512020113[[#This Row],[2002]]</f>
        <v>0</v>
      </c>
      <c r="L3" s="71"/>
      <c r="M3" s="72">
        <f>Table410016115911211512020113[[#This Row],[2010]]-Table410016115911211512020113[[#This Row],[2006]]</f>
        <v>0</v>
      </c>
      <c r="N3" s="71"/>
      <c r="O3" s="72">
        <f>Table410016115911211512020113[[#This Row],[2014]]-Table410016115911211512020113[[#This Row],[2010]]</f>
        <v>0</v>
      </c>
      <c r="P3" s="71"/>
      <c r="Q3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1</v>
      </c>
      <c r="R3" s="74">
        <v>8</v>
      </c>
      <c r="T3" s="9">
        <f>R9*8</f>
        <v>456</v>
      </c>
      <c r="U3" s="9">
        <f>R19*8</f>
        <v>1208</v>
      </c>
      <c r="V3" s="9">
        <f>R25*8</f>
        <v>392</v>
      </c>
      <c r="W3" s="9">
        <f>R30*8</f>
        <v>1432</v>
      </c>
      <c r="X3" s="9">
        <f>R34*8</f>
        <v>616</v>
      </c>
    </row>
    <row r="4" spans="1:24" ht="19">
      <c r="A4" s="70" t="s">
        <v>106</v>
      </c>
      <c r="B4" s="71">
        <v>1</v>
      </c>
      <c r="C4" s="72">
        <f>Table410016115911211512020113[[#This Row],[1990]]-Table410016115911211512020113[[#This Row],[1986]]</f>
        <v>0</v>
      </c>
      <c r="D4" s="71">
        <v>1</v>
      </c>
      <c r="E4" s="72">
        <f>Table410016115911211512020113[[#This Row],[1994]]-Table410016115911211512020113[[#This Row],[1990]]</f>
        <v>-1</v>
      </c>
      <c r="F4" s="71"/>
      <c r="G4" s="72">
        <f>Table410016115911211512020113[[#This Row],[1998]]-Table410016115911211512020113[[#This Row],[1994]]</f>
        <v>0</v>
      </c>
      <c r="H4" s="71"/>
      <c r="I4" s="72">
        <f>Table410016115911211512020113[[#This Row],[2002]]-Table410016115911211512020113[[#This Row],[1998]]</f>
        <v>0</v>
      </c>
      <c r="J4" s="71"/>
      <c r="K4" s="72">
        <f>Table410016115911211512020113[[#This Row],[2006]]-Table410016115911211512020113[[#This Row],[2002]]</f>
        <v>0</v>
      </c>
      <c r="L4" s="71"/>
      <c r="M4" s="72">
        <f>Table410016115911211512020113[[#This Row],[2010]]-Table410016115911211512020113[[#This Row],[2006]]</f>
        <v>0</v>
      </c>
      <c r="N4" s="71"/>
      <c r="O4" s="72">
        <f>Table410016115911211512020113[[#This Row],[2014]]-Table410016115911211512020113[[#This Row],[2010]]</f>
        <v>1</v>
      </c>
      <c r="P4" s="71">
        <v>1</v>
      </c>
      <c r="Q4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3</v>
      </c>
      <c r="R4" s="75">
        <v>8</v>
      </c>
      <c r="T4" s="44">
        <f>(Q9/T3)*100</f>
        <v>4.6052631578947363</v>
      </c>
      <c r="U4" s="44">
        <f>(Q19/U3)*100</f>
        <v>3.6423841059602649</v>
      </c>
      <c r="V4" s="44">
        <f>(Q25/V3)*100</f>
        <v>1.7857142857142856</v>
      </c>
      <c r="W4" s="44">
        <f>(Q30/W3)*100</f>
        <v>5.1675977653631282</v>
      </c>
      <c r="X4" s="76">
        <f>(Q34/X3)*100</f>
        <v>6.0064935064935066</v>
      </c>
    </row>
    <row r="5" spans="1:24" ht="19">
      <c r="A5" s="70" t="s">
        <v>104</v>
      </c>
      <c r="B5" s="71"/>
      <c r="C5" s="72">
        <f>Table410016115911211512020113[[#This Row],[1990]]-Table410016115911211512020113[[#This Row],[1986]]</f>
        <v>0</v>
      </c>
      <c r="D5" s="71"/>
      <c r="E5" s="72">
        <f>Table410016115911211512020113[[#This Row],[1994]]-Table410016115911211512020113[[#This Row],[1990]]</f>
        <v>0</v>
      </c>
      <c r="F5" s="71"/>
      <c r="G5" s="72">
        <f>Table410016115911211512020113[[#This Row],[1998]]-Table410016115911211512020113[[#This Row],[1994]]</f>
        <v>0</v>
      </c>
      <c r="H5" s="71"/>
      <c r="I5" s="72">
        <f>Table410016115911211512020113[[#This Row],[2002]]-Table410016115911211512020113[[#This Row],[1998]]</f>
        <v>2</v>
      </c>
      <c r="J5" s="71">
        <v>2</v>
      </c>
      <c r="K5" s="72">
        <f>Table410016115911211512020113[[#This Row],[2006]]-Table410016115911211512020113[[#This Row],[2002]]</f>
        <v>-1</v>
      </c>
      <c r="L5" s="71">
        <v>1</v>
      </c>
      <c r="M5" s="72">
        <f>Table410016115911211512020113[[#This Row],[2010]]-Table410016115911211512020113[[#This Row],[2006]]</f>
        <v>0</v>
      </c>
      <c r="N5" s="71">
        <v>1</v>
      </c>
      <c r="O5" s="72">
        <f>Table410016115911211512020113[[#This Row],[2014]]-Table410016115911211512020113[[#This Row],[2010]]</f>
        <v>0</v>
      </c>
      <c r="P5" s="71">
        <v>1</v>
      </c>
      <c r="Q5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5</v>
      </c>
      <c r="R5" s="75">
        <v>8</v>
      </c>
    </row>
    <row r="6" spans="1:24" ht="19">
      <c r="A6" s="70" t="s">
        <v>73</v>
      </c>
      <c r="B6" s="71"/>
      <c r="C6" s="72">
        <f>Table410016115911211512020113[[#This Row],[1990]]-Table410016115911211512020113[[#This Row],[1986]]</f>
        <v>1</v>
      </c>
      <c r="D6" s="71">
        <v>1</v>
      </c>
      <c r="E6" s="72">
        <f>Table410016115911211512020113[[#This Row],[1994]]-Table410016115911211512020113[[#This Row],[1990]]</f>
        <v>0</v>
      </c>
      <c r="F6" s="71">
        <v>1</v>
      </c>
      <c r="G6" s="72">
        <f>Table410016115911211512020113[[#This Row],[1998]]-Table410016115911211512020113[[#This Row],[1994]]</f>
        <v>0</v>
      </c>
      <c r="H6" s="71">
        <v>1</v>
      </c>
      <c r="I6" s="72">
        <f>Table410016115911211512020113[[#This Row],[2002]]-Table410016115911211512020113[[#This Row],[1998]]</f>
        <v>0</v>
      </c>
      <c r="J6" s="71">
        <v>1</v>
      </c>
      <c r="K6" s="72">
        <f>Table410016115911211512020113[[#This Row],[2006]]-Table410016115911211512020113[[#This Row],[2002]]</f>
        <v>0</v>
      </c>
      <c r="L6" s="71">
        <v>1</v>
      </c>
      <c r="M6" s="72">
        <f>Table410016115911211512020113[[#This Row],[2010]]-Table410016115911211512020113[[#This Row],[2006]]</f>
        <v>0</v>
      </c>
      <c r="N6" s="71">
        <v>1</v>
      </c>
      <c r="O6" s="72">
        <f>Table410016115911211512020113[[#This Row],[2014]]-Table410016115911211512020113[[#This Row],[2010]]</f>
        <v>-1</v>
      </c>
      <c r="P6" s="71"/>
      <c r="Q6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6</v>
      </c>
      <c r="R6" s="75">
        <v>17</v>
      </c>
      <c r="T6" s="178" t="s">
        <v>415</v>
      </c>
      <c r="U6" s="178"/>
      <c r="V6" s="178"/>
      <c r="W6" s="178"/>
      <c r="X6" s="178"/>
    </row>
    <row r="7" spans="1:24" ht="19">
      <c r="A7" s="70" t="s">
        <v>67</v>
      </c>
      <c r="B7" s="77"/>
      <c r="C7" s="72">
        <f>Table410016115911211512020113[[#This Row],[1990]]-Table410016115911211512020113[[#This Row],[1986]]</f>
        <v>0</v>
      </c>
      <c r="D7" s="77"/>
      <c r="E7" s="72">
        <f>Table410016115911211512020113[[#This Row],[1994]]-Table410016115911211512020113[[#This Row],[1990]]</f>
        <v>1</v>
      </c>
      <c r="F7" s="77">
        <v>1</v>
      </c>
      <c r="G7" s="72">
        <f>Table410016115911211512020113[[#This Row],[1998]]-Table410016115911211512020113[[#This Row],[1994]]</f>
        <v>1</v>
      </c>
      <c r="H7" s="77">
        <v>2</v>
      </c>
      <c r="I7" s="72">
        <f>Table410016115911211512020113[[#This Row],[2002]]-Table410016115911211512020113[[#This Row],[1998]]</f>
        <v>-2</v>
      </c>
      <c r="J7" s="77"/>
      <c r="K7" s="72">
        <f>Table410016115911211512020113[[#This Row],[2006]]-Table410016115911211512020113[[#This Row],[2002]]</f>
        <v>0</v>
      </c>
      <c r="L7" s="77"/>
      <c r="M7" s="72">
        <f>Table410016115911211512020113[[#This Row],[2010]]-Table410016115911211512020113[[#This Row],[2006]]</f>
        <v>0</v>
      </c>
      <c r="N7" s="77"/>
      <c r="O7" s="72">
        <f>Table410016115911211512020113[[#This Row],[2014]]-Table410016115911211512020113[[#This Row],[2010]]</f>
        <v>1</v>
      </c>
      <c r="P7" s="77">
        <v>1</v>
      </c>
      <c r="Q7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4</v>
      </c>
      <c r="R7" s="75">
        <v>8</v>
      </c>
      <c r="T7" s="65" t="s">
        <v>410</v>
      </c>
      <c r="U7" s="66" t="s">
        <v>411</v>
      </c>
      <c r="V7" s="67" t="s">
        <v>412</v>
      </c>
      <c r="W7" s="68" t="s">
        <v>413</v>
      </c>
      <c r="X7" s="69" t="s">
        <v>414</v>
      </c>
    </row>
    <row r="8" spans="1:24" ht="19">
      <c r="A8" s="70" t="s">
        <v>65</v>
      </c>
      <c r="B8" s="71"/>
      <c r="C8" s="72">
        <f>Table410016115911211512020113[[#This Row],[1990]]-Table410016115911211512020113[[#This Row],[1986]]</f>
        <v>0</v>
      </c>
      <c r="D8" s="71"/>
      <c r="E8" s="72">
        <f>Table410016115911211512020113[[#This Row],[1994]]-Table410016115911211512020113[[#This Row],[1990]]</f>
        <v>0</v>
      </c>
      <c r="F8" s="71"/>
      <c r="G8" s="72">
        <f>Table410016115911211512020113[[#This Row],[1998]]-Table410016115911211512020113[[#This Row],[1994]]</f>
        <v>0</v>
      </c>
      <c r="H8" s="71"/>
      <c r="I8" s="72">
        <f>Table410016115911211512020113[[#This Row],[2002]]-Table410016115911211512020113[[#This Row],[1998]]</f>
        <v>1</v>
      </c>
      <c r="J8" s="71">
        <v>1</v>
      </c>
      <c r="K8" s="72">
        <f>Table410016115911211512020113[[#This Row],[2006]]-Table410016115911211512020113[[#This Row],[2002]]</f>
        <v>-1</v>
      </c>
      <c r="L8" s="71"/>
      <c r="M8" s="72">
        <f>Table410016115911211512020113[[#This Row],[2010]]-Table410016115911211512020113[[#This Row],[2006]]</f>
        <v>0</v>
      </c>
      <c r="N8" s="71"/>
      <c r="O8" s="72">
        <f>Table410016115911211512020113[[#This Row],[2014]]-Table410016115911211512020113[[#This Row],[2010]]</f>
        <v>1</v>
      </c>
      <c r="P8" s="71">
        <v>1</v>
      </c>
      <c r="Q8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2</v>
      </c>
      <c r="R8" s="75">
        <v>8</v>
      </c>
      <c r="T8" s="9">
        <f>R9</f>
        <v>57</v>
      </c>
      <c r="U8" s="9">
        <f>R19</f>
        <v>151</v>
      </c>
      <c r="V8" s="9">
        <f>R25</f>
        <v>49</v>
      </c>
      <c r="W8" s="9">
        <f>R30</f>
        <v>179</v>
      </c>
      <c r="X8" s="9">
        <f>R34</f>
        <v>77</v>
      </c>
    </row>
    <row r="9" spans="1:24" ht="19">
      <c r="A9" s="78" t="s">
        <v>410</v>
      </c>
      <c r="B9" s="79">
        <f>SUM(B3:B8)</f>
        <v>1</v>
      </c>
      <c r="C9" s="79">
        <f>Table410016115911211512020113[[#This Row],[1990]]-Table410016115911211512020113[[#This Row],[1986]]</f>
        <v>1</v>
      </c>
      <c r="D9" s="79">
        <f>SUM(D3:D8)</f>
        <v>2</v>
      </c>
      <c r="E9" s="80">
        <f>Table410016115911211512020113[[#This Row],[1994]]-Table410016115911211512020113[[#This Row],[1990]]</f>
        <v>0</v>
      </c>
      <c r="F9" s="79">
        <f>SUM(F3:F8)</f>
        <v>2</v>
      </c>
      <c r="G9" s="80">
        <f>Table410016115911211512020113[[#This Row],[1998]]-Table410016115911211512020113[[#This Row],[1994]]</f>
        <v>2</v>
      </c>
      <c r="H9" s="79">
        <f>SUM(H3:H8)</f>
        <v>4</v>
      </c>
      <c r="I9" s="80">
        <f>Table410016115911211512020113[[#This Row],[2002]]-Table410016115911211512020113[[#This Row],[1998]]</f>
        <v>0</v>
      </c>
      <c r="J9" s="79">
        <f>SUM(J3:J8)</f>
        <v>4</v>
      </c>
      <c r="K9" s="80">
        <f>Table410016115911211512020113[[#This Row],[2006]]-Table410016115911211512020113[[#This Row],[2002]]</f>
        <v>-2</v>
      </c>
      <c r="L9" s="79">
        <f>SUM(L3:L8)</f>
        <v>2</v>
      </c>
      <c r="M9" s="80">
        <f>Table410016115911211512020113[[#This Row],[2010]]-Table410016115911211512020113[[#This Row],[2006]]</f>
        <v>0</v>
      </c>
      <c r="N9" s="79">
        <f>SUM(N3:N8)</f>
        <v>2</v>
      </c>
      <c r="O9" s="80">
        <f>Table410016115911211512020113[[#This Row],[2014]]-Table410016115911211512020113[[#This Row],[2010]]</f>
        <v>2</v>
      </c>
      <c r="P9" s="79">
        <f>SUM(P3:P8)</f>
        <v>4</v>
      </c>
      <c r="Q9" s="81">
        <f>SUM(Q3:Q8)</f>
        <v>21</v>
      </c>
      <c r="R9" s="82">
        <v>57</v>
      </c>
      <c r="T9" s="44">
        <f>(Table410016115911211512020113[[#This Row],[2014]]/T8)*100</f>
        <v>7.0175438596491224</v>
      </c>
      <c r="U9" s="44">
        <f>(P19/U8)*100</f>
        <v>5.298013245033113</v>
      </c>
      <c r="V9" s="44">
        <f>(P25/V8)*100</f>
        <v>4.0816326530612246</v>
      </c>
      <c r="W9" s="44">
        <f>(P30/W8)*100</f>
        <v>2.2346368715083798</v>
      </c>
      <c r="X9" s="44">
        <f>(P34/X8)*100</f>
        <v>3.8961038961038961</v>
      </c>
    </row>
    <row r="10" spans="1:24" ht="19">
      <c r="A10" s="70" t="s">
        <v>108</v>
      </c>
      <c r="B10" s="71"/>
      <c r="C10" s="72">
        <f>Table410016115911211512020113[[#This Row],[1990]]-Table410016115911211512020113[[#This Row],[1986]]</f>
        <v>1</v>
      </c>
      <c r="D10" s="71">
        <v>1</v>
      </c>
      <c r="E10" s="72">
        <f>Table410016115911211512020113[[#This Row],[1994]]-Table410016115911211512020113[[#This Row],[1990]]</f>
        <v>-1</v>
      </c>
      <c r="F10" s="71"/>
      <c r="G10" s="72">
        <f>Table410016115911211512020113[[#This Row],[1998]]-Table410016115911211512020113[[#This Row],[1994]]</f>
        <v>0</v>
      </c>
      <c r="H10" s="71"/>
      <c r="I10" s="72">
        <f>Table410016115911211512020113[[#This Row],[2002]]-Table410016115911211512020113[[#This Row],[1998]]</f>
        <v>0</v>
      </c>
      <c r="J10" s="71"/>
      <c r="K10" s="72">
        <f>Table410016115911211512020113[[#This Row],[2006]]-Table410016115911211512020113[[#This Row],[2002]]</f>
        <v>0</v>
      </c>
      <c r="L10" s="71"/>
      <c r="M10" s="72">
        <f>Table410016115911211512020113[[#This Row],[2010]]-Table410016115911211512020113[[#This Row],[2006]]</f>
        <v>0</v>
      </c>
      <c r="N10" s="71"/>
      <c r="O10" s="72">
        <f>Table410016115911211512020113[[#This Row],[2014]]-Table410016115911211512020113[[#This Row],[2010]]</f>
        <v>1</v>
      </c>
      <c r="P10" s="71">
        <v>1</v>
      </c>
      <c r="Q10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2</v>
      </c>
      <c r="R10" s="75">
        <v>9</v>
      </c>
    </row>
    <row r="11" spans="1:24" ht="19">
      <c r="A11" s="70" t="s">
        <v>101</v>
      </c>
      <c r="B11" s="71"/>
      <c r="C11" s="72">
        <f>Table410016115911211512020113[[#This Row],[1990]]-Table410016115911211512020113[[#This Row],[1986]]</f>
        <v>4</v>
      </c>
      <c r="D11" s="71">
        <v>4</v>
      </c>
      <c r="E11" s="72">
        <f>Table410016115911211512020113[[#This Row],[1994]]-Table410016115911211512020113[[#This Row],[1990]]</f>
        <v>-1</v>
      </c>
      <c r="F11" s="71">
        <v>3</v>
      </c>
      <c r="G11" s="72">
        <f>Table410016115911211512020113[[#This Row],[1998]]-Table410016115911211512020113[[#This Row],[1994]]</f>
        <v>-2</v>
      </c>
      <c r="H11" s="71">
        <v>1</v>
      </c>
      <c r="I11" s="72">
        <f>Table410016115911211512020113[[#This Row],[2002]]-Table410016115911211512020113[[#This Row],[1998]]</f>
        <v>0</v>
      </c>
      <c r="J11" s="71">
        <v>1</v>
      </c>
      <c r="K11" s="72">
        <f>Table410016115911211512020113[[#This Row],[2006]]-Table410016115911211512020113[[#This Row],[2002]]</f>
        <v>2</v>
      </c>
      <c r="L11" s="71">
        <v>3</v>
      </c>
      <c r="M11" s="72">
        <f>Table410016115911211512020113[[#This Row],[2010]]-Table410016115911211512020113[[#This Row],[2006]]</f>
        <v>1</v>
      </c>
      <c r="N11" s="71">
        <v>4</v>
      </c>
      <c r="O11" s="72">
        <f>Table410016115911211512020113[[#This Row],[2014]]-Table410016115911211512020113[[#This Row],[2010]]</f>
        <v>-3</v>
      </c>
      <c r="P11" s="71">
        <v>1</v>
      </c>
      <c r="Q11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17</v>
      </c>
      <c r="R11" s="75">
        <v>39</v>
      </c>
      <c r="T11" s="178" t="s">
        <v>416</v>
      </c>
      <c r="U11" s="178"/>
      <c r="V11" s="178"/>
      <c r="W11" s="178"/>
      <c r="X11" s="178"/>
    </row>
    <row r="12" spans="1:24" ht="19">
      <c r="A12" s="70" t="s">
        <v>99</v>
      </c>
      <c r="B12" s="71">
        <v>1</v>
      </c>
      <c r="C12" s="72">
        <f>Table410016115911211512020113[[#This Row],[1990]]-Table410016115911211512020113[[#This Row],[1986]]</f>
        <v>0</v>
      </c>
      <c r="D12" s="71">
        <v>1</v>
      </c>
      <c r="E12" s="72">
        <f>Table410016115911211512020113[[#This Row],[1994]]-Table410016115911211512020113[[#This Row],[1990]]</f>
        <v>-1</v>
      </c>
      <c r="F12" s="71"/>
      <c r="G12" s="72">
        <f>Table410016115911211512020113[[#This Row],[1998]]-Table410016115911211512020113[[#This Row],[1994]]</f>
        <v>0</v>
      </c>
      <c r="H12" s="71"/>
      <c r="I12" s="72">
        <f>Table410016115911211512020113[[#This Row],[2002]]-Table410016115911211512020113[[#This Row],[1998]]</f>
        <v>0</v>
      </c>
      <c r="J12" s="71"/>
      <c r="K12" s="72">
        <f>Table410016115911211512020113[[#This Row],[2006]]-Table410016115911211512020113[[#This Row],[2002]]</f>
        <v>0</v>
      </c>
      <c r="L12" s="71"/>
      <c r="M12" s="72">
        <f>Table410016115911211512020113[[#This Row],[2010]]-Table410016115911211512020113[[#This Row],[2006]]</f>
        <v>1</v>
      </c>
      <c r="N12" s="71">
        <v>1</v>
      </c>
      <c r="O12" s="72">
        <f>Table410016115911211512020113[[#This Row],[2014]]-Table410016115911211512020113[[#This Row],[2010]]</f>
        <v>1</v>
      </c>
      <c r="P12" s="71">
        <v>2</v>
      </c>
      <c r="Q12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5</v>
      </c>
      <c r="R12" s="75">
        <v>22</v>
      </c>
      <c r="T12" s="65" t="s">
        <v>410</v>
      </c>
      <c r="U12" s="66" t="s">
        <v>411</v>
      </c>
      <c r="V12" s="67" t="s">
        <v>412</v>
      </c>
      <c r="W12" s="68" t="s">
        <v>413</v>
      </c>
      <c r="X12" s="69" t="s">
        <v>414</v>
      </c>
    </row>
    <row r="13" spans="1:24" ht="19">
      <c r="A13" s="70" t="s">
        <v>90</v>
      </c>
      <c r="B13" s="71"/>
      <c r="C13" s="72">
        <f>Table410016115911211512020113[[#This Row],[1990]]-Table410016115911211512020113[[#This Row],[1986]]</f>
        <v>0</v>
      </c>
      <c r="D13" s="71"/>
      <c r="E13" s="72">
        <f>Table410016115911211512020113[[#This Row],[1994]]-Table410016115911211512020113[[#This Row],[1990]]</f>
        <v>1</v>
      </c>
      <c r="F13" s="71">
        <v>1</v>
      </c>
      <c r="G13" s="72">
        <f>Table410016115911211512020113[[#This Row],[1998]]-Table410016115911211512020113[[#This Row],[1994]]</f>
        <v>0</v>
      </c>
      <c r="H13" s="71">
        <v>1</v>
      </c>
      <c r="I13" s="72">
        <f>Table410016115911211512020113[[#This Row],[2002]]-Table410016115911211512020113[[#This Row],[1998]]</f>
        <v>2</v>
      </c>
      <c r="J13" s="71">
        <v>3</v>
      </c>
      <c r="K13" s="72">
        <f>Table410016115911211512020113[[#This Row],[2006]]-Table410016115911211512020113[[#This Row],[2002]]</f>
        <v>-1</v>
      </c>
      <c r="L13" s="71">
        <v>2</v>
      </c>
      <c r="M13" s="72">
        <f>Table410016115911211512020113[[#This Row],[2010]]-Table410016115911211512020113[[#This Row],[2006]]</f>
        <v>-2</v>
      </c>
      <c r="N13" s="71"/>
      <c r="O13" s="72">
        <f>Table410016115911211512020113[[#This Row],[2014]]-Table410016115911211512020113[[#This Row],[2010]]</f>
        <v>2</v>
      </c>
      <c r="P13" s="71">
        <v>2</v>
      </c>
      <c r="Q13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9</v>
      </c>
      <c r="R13" s="75">
        <v>18</v>
      </c>
      <c r="T13" s="9">
        <f>R9</f>
        <v>57</v>
      </c>
      <c r="U13" s="9">
        <f>R19</f>
        <v>151</v>
      </c>
      <c r="V13" s="9">
        <f>R25</f>
        <v>49</v>
      </c>
      <c r="W13" s="9">
        <f>R30</f>
        <v>179</v>
      </c>
      <c r="X13" s="9">
        <f>R34</f>
        <v>77</v>
      </c>
    </row>
    <row r="14" spans="1:24" ht="19">
      <c r="A14" s="70" t="s">
        <v>79</v>
      </c>
      <c r="B14" s="71"/>
      <c r="C14" s="72">
        <f>Table410016115911211512020113[[#This Row],[1990]]-Table410016115911211512020113[[#This Row],[1986]]</f>
        <v>3</v>
      </c>
      <c r="D14" s="71">
        <v>3</v>
      </c>
      <c r="E14" s="72">
        <f>Table410016115911211512020113[[#This Row],[1994]]-Table410016115911211512020113[[#This Row],[1990]]</f>
        <v>-2</v>
      </c>
      <c r="F14" s="71">
        <v>1</v>
      </c>
      <c r="G14" s="72">
        <f>Table410016115911211512020113[[#This Row],[1998]]-Table410016115911211512020113[[#This Row],[1994]]</f>
        <v>-1</v>
      </c>
      <c r="H14" s="71"/>
      <c r="I14" s="72">
        <f>Table410016115911211512020113[[#This Row],[2002]]-Table410016115911211512020113[[#This Row],[1998]]</f>
        <v>0</v>
      </c>
      <c r="J14" s="71"/>
      <c r="K14" s="72">
        <f>Table410016115911211512020113[[#This Row],[2006]]-Table410016115911211512020113[[#This Row],[2002]]</f>
        <v>0</v>
      </c>
      <c r="L14" s="71"/>
      <c r="M14" s="72">
        <f>Table410016115911211512020113[[#This Row],[2010]]-Table410016115911211512020113[[#This Row],[2006]]</f>
        <v>1</v>
      </c>
      <c r="N14" s="71">
        <v>1</v>
      </c>
      <c r="O14" s="72">
        <f>Table410016115911211512020113[[#This Row],[2014]]-Table410016115911211512020113[[#This Row],[2010]]</f>
        <v>0</v>
      </c>
      <c r="P14" s="71">
        <v>1</v>
      </c>
      <c r="Q14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6</v>
      </c>
      <c r="R14" s="75">
        <v>12</v>
      </c>
      <c r="T14" s="44">
        <f>(N9/T13)*100</f>
        <v>3.5087719298245612</v>
      </c>
      <c r="U14" s="44">
        <f>(N19/U13)*100</f>
        <v>4.6357615894039732</v>
      </c>
      <c r="V14" s="44">
        <f>(N25/V13)*100</f>
        <v>4.0816326530612246</v>
      </c>
      <c r="W14" s="44">
        <f>(N30/W13)*100</f>
        <v>6.1452513966480442</v>
      </c>
      <c r="X14" s="44">
        <f>(N34/X13)*100</f>
        <v>3.8961038961038961</v>
      </c>
    </row>
    <row r="15" spans="1:24" ht="19">
      <c r="A15" s="70" t="s">
        <v>77</v>
      </c>
      <c r="B15" s="71"/>
      <c r="C15" s="72">
        <f>Table410016115911211512020113[[#This Row],[1990]]-Table410016115911211512020113[[#This Row],[1986]]</f>
        <v>0</v>
      </c>
      <c r="D15" s="71"/>
      <c r="E15" s="72">
        <f>Table410016115911211512020113[[#This Row],[1994]]-Table410016115911211512020113[[#This Row],[1990]]</f>
        <v>2</v>
      </c>
      <c r="F15" s="71">
        <v>2</v>
      </c>
      <c r="G15" s="72">
        <f>Table410016115911211512020113[[#This Row],[1998]]-Table410016115911211512020113[[#This Row],[1994]]</f>
        <v>-2</v>
      </c>
      <c r="H15" s="71"/>
      <c r="I15" s="72">
        <f>Table410016115911211512020113[[#This Row],[2002]]-Table410016115911211512020113[[#This Row],[1998]]</f>
        <v>0</v>
      </c>
      <c r="J15" s="71"/>
      <c r="K15" s="72">
        <f>Table410016115911211512020113[[#This Row],[2006]]-Table410016115911211512020113[[#This Row],[2002]]</f>
        <v>1</v>
      </c>
      <c r="L15" s="71">
        <v>1</v>
      </c>
      <c r="M15" s="72">
        <f>Table410016115911211512020113[[#This Row],[2010]]-Table410016115911211512020113[[#This Row],[2006]]</f>
        <v>0</v>
      </c>
      <c r="N15" s="71">
        <v>1</v>
      </c>
      <c r="O15" s="72">
        <f>Table410016115911211512020113[[#This Row],[2014]]-Table410016115911211512020113[[#This Row],[2010]]</f>
        <v>0</v>
      </c>
      <c r="P15" s="71">
        <v>1</v>
      </c>
      <c r="Q15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5</v>
      </c>
      <c r="R15" s="75">
        <v>25</v>
      </c>
    </row>
    <row r="16" spans="1:24" ht="19">
      <c r="A16" s="70" t="s">
        <v>75</v>
      </c>
      <c r="B16" s="72"/>
      <c r="C16" s="72">
        <f>Table410016115911211512020113[[#This Row],[1990]]-Table410016115911211512020113[[#This Row],[1986]]</f>
        <v>0</v>
      </c>
      <c r="D16" s="72"/>
      <c r="E16" s="72">
        <f>Table410016115911211512020113[[#This Row],[1994]]-Table410016115911211512020113[[#This Row],[1990]]</f>
        <v>0</v>
      </c>
      <c r="F16" s="72"/>
      <c r="G16" s="72">
        <f>Table410016115911211512020113[[#This Row],[1998]]-Table410016115911211512020113[[#This Row],[1994]]</f>
        <v>0</v>
      </c>
      <c r="H16" s="72"/>
      <c r="I16" s="72">
        <f>Table410016115911211512020113[[#This Row],[2002]]-Table410016115911211512020113[[#This Row],[1998]]</f>
        <v>0</v>
      </c>
      <c r="J16" s="72"/>
      <c r="K16" s="72">
        <f>Table410016115911211512020113[[#This Row],[2006]]-Table410016115911211512020113[[#This Row],[2002]]</f>
        <v>0</v>
      </c>
      <c r="L16" s="72"/>
      <c r="M16" s="72">
        <f>Table410016115911211512020113[[#This Row],[2010]]-Table410016115911211512020113[[#This Row],[2006]]</f>
        <v>0</v>
      </c>
      <c r="N16" s="72"/>
      <c r="O16" s="72">
        <f>Table410016115911211512020113[[#This Row],[2014]]-Table410016115911211512020113[[#This Row],[2010]]</f>
        <v>0</v>
      </c>
      <c r="P16" s="72"/>
      <c r="Q16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0</v>
      </c>
      <c r="R16" s="75">
        <v>10</v>
      </c>
      <c r="T16" s="178" t="s">
        <v>417</v>
      </c>
      <c r="U16" s="178"/>
      <c r="V16" s="178"/>
      <c r="W16" s="178"/>
      <c r="X16" s="178"/>
    </row>
    <row r="17" spans="1:24" ht="19">
      <c r="A17" s="70" t="s">
        <v>69</v>
      </c>
      <c r="B17" s="71"/>
      <c r="C17" s="72">
        <f>Table410016115911211512020113[[#This Row],[1990]]-Table410016115911211512020113[[#This Row],[1986]]</f>
        <v>0</v>
      </c>
      <c r="D17" s="71"/>
      <c r="E17" s="72">
        <f>Table410016115911211512020113[[#This Row],[1994]]-Table410016115911211512020113[[#This Row],[1990]]</f>
        <v>0</v>
      </c>
      <c r="F17" s="71"/>
      <c r="G17" s="72">
        <f>Table410016115911211512020113[[#This Row],[1998]]-Table410016115911211512020113[[#This Row],[1994]]</f>
        <v>0</v>
      </c>
      <c r="H17" s="71"/>
      <c r="I17" s="72">
        <f>Table410016115911211512020113[[#This Row],[2002]]-Table410016115911211512020113[[#This Row],[1998]]</f>
        <v>0</v>
      </c>
      <c r="J17" s="71"/>
      <c r="K17" s="72">
        <f>Table410016115911211512020113[[#This Row],[2006]]-Table410016115911211512020113[[#This Row],[2002]]</f>
        <v>0</v>
      </c>
      <c r="L17" s="71"/>
      <c r="M17" s="72">
        <f>Table410016115911211512020113[[#This Row],[2010]]-Table410016115911211512020113[[#This Row],[2006]]</f>
        <v>0</v>
      </c>
      <c r="N17" s="71"/>
      <c r="O17" s="72">
        <f>Table410016115911211512020113[[#This Row],[2014]]-Table410016115911211512020113[[#This Row],[2010]]</f>
        <v>0</v>
      </c>
      <c r="P17" s="71"/>
      <c r="Q17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0</v>
      </c>
      <c r="R17" s="75">
        <v>8</v>
      </c>
      <c r="T17" s="65" t="s">
        <v>410</v>
      </c>
      <c r="U17" s="66" t="s">
        <v>411</v>
      </c>
      <c r="V17" s="67" t="s">
        <v>412</v>
      </c>
      <c r="W17" s="68" t="s">
        <v>413</v>
      </c>
      <c r="X17" s="69" t="s">
        <v>414</v>
      </c>
    </row>
    <row r="18" spans="1:24" ht="19">
      <c r="A18" s="70" t="s">
        <v>56</v>
      </c>
      <c r="B18" s="71"/>
      <c r="C18" s="72">
        <f>Table410016115911211512020113[[#This Row],[1990]]-Table410016115911211512020113[[#This Row],[1986]]</f>
        <v>0</v>
      </c>
      <c r="D18" s="71"/>
      <c r="E18" s="72">
        <f>Table410016115911211512020113[[#This Row],[1994]]-Table410016115911211512020113[[#This Row],[1990]]</f>
        <v>0</v>
      </c>
      <c r="F18" s="71"/>
      <c r="G18" s="72">
        <f>Table410016115911211512020113[[#This Row],[1998]]-Table410016115911211512020113[[#This Row],[1994]]</f>
        <v>0</v>
      </c>
      <c r="H18" s="71"/>
      <c r="I18" s="72">
        <f>Table410016115911211512020113[[#This Row],[2002]]-Table410016115911211512020113[[#This Row],[1998]]</f>
        <v>0</v>
      </c>
      <c r="J18" s="71"/>
      <c r="K18" s="72">
        <f>Table410016115911211512020113[[#This Row],[2006]]-Table410016115911211512020113[[#This Row],[2002]]</f>
        <v>0</v>
      </c>
      <c r="L18" s="71"/>
      <c r="M18" s="72">
        <f>Table410016115911211512020113[[#This Row],[2010]]-Table410016115911211512020113[[#This Row],[2006]]</f>
        <v>0</v>
      </c>
      <c r="N18" s="71"/>
      <c r="O18" s="72">
        <f>Table410016115911211512020113[[#This Row],[2014]]-Table410016115911211512020113[[#This Row],[2010]]</f>
        <v>0</v>
      </c>
      <c r="P18" s="71"/>
      <c r="Q18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0</v>
      </c>
      <c r="R18" s="75">
        <v>8</v>
      </c>
      <c r="T18" s="9">
        <f>R9</f>
        <v>57</v>
      </c>
      <c r="U18" s="9">
        <f>R19</f>
        <v>151</v>
      </c>
      <c r="V18" s="9">
        <f>R25</f>
        <v>49</v>
      </c>
      <c r="W18" s="9">
        <f>R30</f>
        <v>179</v>
      </c>
      <c r="X18" s="9">
        <f>R34</f>
        <v>77</v>
      </c>
    </row>
    <row r="19" spans="1:24" ht="19">
      <c r="A19" s="83" t="s">
        <v>411</v>
      </c>
      <c r="B19" s="84">
        <f>SUM(B10:B18)</f>
        <v>1</v>
      </c>
      <c r="C19" s="84">
        <f>Table410016115911211512020113[[#This Row],[1990]]-Table410016115911211512020113[[#This Row],[1986]]</f>
        <v>8</v>
      </c>
      <c r="D19" s="84">
        <f>SUM(D10:D18)</f>
        <v>9</v>
      </c>
      <c r="E19" s="80">
        <f>Table410016115911211512020113[[#This Row],[1994]]-Table410016115911211512020113[[#This Row],[1990]]</f>
        <v>-2</v>
      </c>
      <c r="F19" s="84">
        <f>SUM(F10:F18)</f>
        <v>7</v>
      </c>
      <c r="G19" s="80">
        <f>Table410016115911211512020113[[#This Row],[1998]]-Table410016115911211512020113[[#This Row],[1994]]</f>
        <v>-5</v>
      </c>
      <c r="H19" s="84">
        <f>SUM(H10:H18)</f>
        <v>2</v>
      </c>
      <c r="I19" s="80">
        <f>Table410016115911211512020113[[#This Row],[2002]]-Table410016115911211512020113[[#This Row],[1998]]</f>
        <v>2</v>
      </c>
      <c r="J19" s="84">
        <f>SUM(J10:J18)</f>
        <v>4</v>
      </c>
      <c r="K19" s="80">
        <f>Table410016115911211512020113[[#This Row],[2006]]-Table410016115911211512020113[[#This Row],[2002]]</f>
        <v>2</v>
      </c>
      <c r="L19" s="84">
        <f>SUM(L10:L18)</f>
        <v>6</v>
      </c>
      <c r="M19" s="80">
        <f>Table410016115911211512020113[[#This Row],[2010]]-Table410016115911211512020113[[#This Row],[2006]]</f>
        <v>1</v>
      </c>
      <c r="N19" s="84">
        <f>SUM(N10:N18)</f>
        <v>7</v>
      </c>
      <c r="O19" s="80">
        <f>Table410016115911211512020113[[#This Row],[2014]]-Table410016115911211512020113[[#This Row],[2010]]</f>
        <v>1</v>
      </c>
      <c r="P19" s="84">
        <f>SUM(P10:P18)</f>
        <v>8</v>
      </c>
      <c r="Q19" s="85">
        <f>SUM(Q10:Q18)</f>
        <v>44</v>
      </c>
      <c r="R19" s="43">
        <v>151</v>
      </c>
      <c r="T19" s="44">
        <f>(L9/T18)*100</f>
        <v>3.5087719298245612</v>
      </c>
      <c r="U19" s="44">
        <f>(L19/U18)*100</f>
        <v>3.9735099337748347</v>
      </c>
      <c r="V19" s="44">
        <f>(L25/V18)*100</f>
        <v>2.0408163265306123</v>
      </c>
      <c r="W19" s="44">
        <f>(L30/W18)*100</f>
        <v>6.1452513966480442</v>
      </c>
      <c r="X19" s="44">
        <f>(L34/X18)*100</f>
        <v>3.8961038961038961</v>
      </c>
    </row>
    <row r="20" spans="1:24" ht="19">
      <c r="A20" s="70" t="s">
        <v>97</v>
      </c>
      <c r="B20" s="71"/>
      <c r="C20" s="72">
        <f>Table410016115911211512020113[[#This Row],[1990]]-Table410016115911211512020113[[#This Row],[1986]]</f>
        <v>0</v>
      </c>
      <c r="D20" s="71"/>
      <c r="E20" s="72">
        <f>Table410016115911211512020113[[#This Row],[1994]]-Table410016115911211512020113[[#This Row],[1990]]</f>
        <v>0</v>
      </c>
      <c r="F20" s="71"/>
      <c r="G20" s="72">
        <f>Table410016115911211512020113[[#This Row],[1998]]-Table410016115911211512020113[[#This Row],[1994]]</f>
        <v>0</v>
      </c>
      <c r="H20" s="71"/>
      <c r="I20" s="72">
        <f>Table410016115911211512020113[[#This Row],[2002]]-Table410016115911211512020113[[#This Row],[1998]]</f>
        <v>0</v>
      </c>
      <c r="J20" s="71"/>
      <c r="K20" s="72">
        <f>Table410016115911211512020113[[#This Row],[2006]]-Table410016115911211512020113[[#This Row],[2002]]</f>
        <v>0</v>
      </c>
      <c r="L20" s="71"/>
      <c r="M20" s="72">
        <f>Table410016115911211512020113[[#This Row],[2010]]-Table410016115911211512020113[[#This Row],[2006]]</f>
        <v>1</v>
      </c>
      <c r="N20" s="71">
        <v>1</v>
      </c>
      <c r="O20" s="72">
        <f>Table410016115911211512020113[[#This Row],[2014]]-Table410016115911211512020113[[#This Row],[2010]]</f>
        <v>-1</v>
      </c>
      <c r="P20" s="71"/>
      <c r="Q20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1</v>
      </c>
      <c r="R20" s="75">
        <v>8</v>
      </c>
    </row>
    <row r="21" spans="1:24" ht="19">
      <c r="A21" s="86" t="s">
        <v>94</v>
      </c>
      <c r="B21" s="87"/>
      <c r="C21" s="72">
        <f>Table410016115911211512020113[[#This Row],[1990]]-Table410016115911211512020113[[#This Row],[1986]]</f>
        <v>0</v>
      </c>
      <c r="D21" s="87"/>
      <c r="E21" s="72">
        <f>Table410016115911211512020113[[#This Row],[1994]]-Table410016115911211512020113[[#This Row],[1990]]</f>
        <v>0</v>
      </c>
      <c r="F21" s="87"/>
      <c r="G21" s="72">
        <f>Table410016115911211512020113[[#This Row],[1998]]-Table410016115911211512020113[[#This Row],[1994]]</f>
        <v>0</v>
      </c>
      <c r="H21" s="87"/>
      <c r="I21" s="72">
        <f>Table410016115911211512020113[[#This Row],[2002]]-Table410016115911211512020113[[#This Row],[1998]]</f>
        <v>0</v>
      </c>
      <c r="J21" s="87"/>
      <c r="K21" s="72">
        <f>Table410016115911211512020113[[#This Row],[2006]]-Table410016115911211512020113[[#This Row],[2002]]</f>
        <v>0</v>
      </c>
      <c r="L21" s="87"/>
      <c r="M21" s="72">
        <f>Table410016115911211512020113[[#This Row],[2010]]-Table410016115911211512020113[[#This Row],[2006]]</f>
        <v>1</v>
      </c>
      <c r="N21" s="87">
        <v>1</v>
      </c>
      <c r="O21" s="72">
        <f>Table410016115911211512020113[[#This Row],[2014]]-Table410016115911211512020113[[#This Row],[2010]]</f>
        <v>0</v>
      </c>
      <c r="P21" s="87">
        <v>1</v>
      </c>
      <c r="Q21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2</v>
      </c>
      <c r="R21" s="75">
        <v>17</v>
      </c>
      <c r="T21" s="178" t="s">
        <v>418</v>
      </c>
      <c r="U21" s="178"/>
      <c r="V21" s="178"/>
      <c r="W21" s="178"/>
      <c r="X21" s="178"/>
    </row>
    <row r="22" spans="1:24" ht="19">
      <c r="A22" s="88" t="s">
        <v>85</v>
      </c>
      <c r="B22" s="87"/>
      <c r="C22" s="72">
        <f>Table410016115911211512020113[[#This Row],[1990]]-Table410016115911211512020113[[#This Row],[1986]]</f>
        <v>0</v>
      </c>
      <c r="D22" s="87"/>
      <c r="E22" s="72">
        <f>Table410016115911211512020113[[#This Row],[1994]]-Table410016115911211512020113[[#This Row],[1990]]</f>
        <v>1</v>
      </c>
      <c r="F22" s="87">
        <v>1</v>
      </c>
      <c r="G22" s="72">
        <f>Table410016115911211512020113[[#This Row],[1998]]-Table410016115911211512020113[[#This Row],[1994]]</f>
        <v>-1</v>
      </c>
      <c r="H22" s="87"/>
      <c r="I22" s="72">
        <f>Table410016115911211512020113[[#This Row],[2002]]-Table410016115911211512020113[[#This Row],[1998]]</f>
        <v>0</v>
      </c>
      <c r="J22" s="87"/>
      <c r="K22" s="72">
        <f>Table410016115911211512020113[[#This Row],[2006]]-Table410016115911211512020113[[#This Row],[2002]]</f>
        <v>1</v>
      </c>
      <c r="L22" s="87">
        <v>1</v>
      </c>
      <c r="M22" s="72">
        <f>Table410016115911211512020113[[#This Row],[2010]]-Table410016115911211512020113[[#This Row],[2006]]</f>
        <v>-1</v>
      </c>
      <c r="N22" s="87"/>
      <c r="O22" s="72">
        <f>Table410016115911211512020113[[#This Row],[2014]]-Table410016115911211512020113[[#This Row],[2010]]</f>
        <v>1</v>
      </c>
      <c r="P22" s="87">
        <v>1</v>
      </c>
      <c r="Q22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3</v>
      </c>
      <c r="R22" s="75">
        <v>8</v>
      </c>
      <c r="T22" s="65" t="s">
        <v>410</v>
      </c>
      <c r="U22" s="66" t="s">
        <v>411</v>
      </c>
      <c r="V22" s="67" t="s">
        <v>412</v>
      </c>
      <c r="W22" s="68" t="s">
        <v>413</v>
      </c>
      <c r="X22" s="69" t="s">
        <v>414</v>
      </c>
    </row>
    <row r="23" spans="1:24" ht="19">
      <c r="A23" s="88" t="s">
        <v>83</v>
      </c>
      <c r="B23" s="87"/>
      <c r="C23" s="72">
        <f>Table410016115911211512020113[[#This Row],[1990]]-Table410016115911211512020113[[#This Row],[1986]]</f>
        <v>0</v>
      </c>
      <c r="D23" s="87"/>
      <c r="E23" s="72">
        <f>Table410016115911211512020113[[#This Row],[1994]]-Table410016115911211512020113[[#This Row],[1990]]</f>
        <v>1</v>
      </c>
      <c r="F23" s="87">
        <v>1</v>
      </c>
      <c r="G23" s="72">
        <f>Table410016115911211512020113[[#This Row],[1998]]-Table410016115911211512020113[[#This Row],[1994]]</f>
        <v>-1</v>
      </c>
      <c r="H23" s="87"/>
      <c r="I23" s="72">
        <f>Table410016115911211512020113[[#This Row],[2002]]-Table410016115911211512020113[[#This Row],[1998]]</f>
        <v>0</v>
      </c>
      <c r="J23" s="87"/>
      <c r="K23" s="72">
        <f>Table410016115911211512020113[[#This Row],[2006]]-Table410016115911211512020113[[#This Row],[2002]]</f>
        <v>0</v>
      </c>
      <c r="L23" s="87"/>
      <c r="M23" s="72">
        <f>Table410016115911211512020113[[#This Row],[2010]]-Table410016115911211512020113[[#This Row],[2006]]</f>
        <v>0</v>
      </c>
      <c r="N23" s="87"/>
      <c r="O23" s="72">
        <f>Table410016115911211512020113[[#This Row],[2014]]-Table410016115911211512020113[[#This Row],[2010]]</f>
        <v>0</v>
      </c>
      <c r="P23" s="87"/>
      <c r="Q23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1</v>
      </c>
      <c r="R23" s="75">
        <v>8</v>
      </c>
      <c r="T23" s="9">
        <f>R9</f>
        <v>57</v>
      </c>
      <c r="U23" s="9">
        <f>R19</f>
        <v>151</v>
      </c>
      <c r="V23" s="9">
        <f>R25</f>
        <v>49</v>
      </c>
      <c r="W23" s="9">
        <f>R30</f>
        <v>179</v>
      </c>
      <c r="X23" s="9">
        <f>R34</f>
        <v>77</v>
      </c>
    </row>
    <row r="24" spans="1:24" ht="19">
      <c r="A24" s="88" t="s">
        <v>52</v>
      </c>
      <c r="B24" s="71"/>
      <c r="C24" s="72">
        <f>Table410016115911211512020113[[#This Row],[1990]]-Table410016115911211512020113[[#This Row],[1986]]</f>
        <v>0</v>
      </c>
      <c r="D24" s="71"/>
      <c r="E24" s="72">
        <f>Table410016115911211512020113[[#This Row],[1994]]-Table410016115911211512020113[[#This Row],[1990]]</f>
        <v>0</v>
      </c>
      <c r="F24" s="71"/>
      <c r="G24" s="72">
        <f>Table410016115911211512020113[[#This Row],[1998]]-Table410016115911211512020113[[#This Row],[1994]]</f>
        <v>0</v>
      </c>
      <c r="H24" s="71"/>
      <c r="I24" s="72">
        <f>Table410016115911211512020113[[#This Row],[2002]]-Table410016115911211512020113[[#This Row],[1998]]</f>
        <v>0</v>
      </c>
      <c r="J24" s="71"/>
      <c r="K24" s="72">
        <f>Table410016115911211512020113[[#This Row],[2006]]-Table410016115911211512020113[[#This Row],[2002]]</f>
        <v>0</v>
      </c>
      <c r="L24" s="71"/>
      <c r="M24" s="72">
        <f>Table410016115911211512020113[[#This Row],[2010]]-Table410016115911211512020113[[#This Row],[2006]]</f>
        <v>0</v>
      </c>
      <c r="N24" s="71"/>
      <c r="O24" s="72">
        <f>Table410016115911211512020113[[#This Row],[2014]]-Table410016115911211512020113[[#This Row],[2010]]</f>
        <v>0</v>
      </c>
      <c r="P24" s="71"/>
      <c r="Q24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0</v>
      </c>
      <c r="R24" s="75">
        <v>8</v>
      </c>
      <c r="T24" s="44">
        <f>(J9/T23)*100</f>
        <v>7.0175438596491224</v>
      </c>
      <c r="U24" s="44">
        <f>(J19/U23)*100</f>
        <v>2.6490066225165565</v>
      </c>
      <c r="V24" s="44">
        <f>(J25/V23)*100</f>
        <v>0</v>
      </c>
      <c r="W24" s="44">
        <f>(J30/W23)*100</f>
        <v>3.9106145251396649</v>
      </c>
      <c r="X24" s="44">
        <f>(J34/X23)*100</f>
        <v>6.4935064935064926</v>
      </c>
    </row>
    <row r="25" spans="1:24" ht="19">
      <c r="A25" s="89" t="s">
        <v>412</v>
      </c>
      <c r="B25" s="79">
        <f>SUM(B20:B24)</f>
        <v>0</v>
      </c>
      <c r="C25" s="79">
        <f>Table410016115911211512020113[[#This Row],[1990]]-Table410016115911211512020113[[#This Row],[1986]]</f>
        <v>0</v>
      </c>
      <c r="D25" s="79">
        <f>SUM(D20:D24)</f>
        <v>0</v>
      </c>
      <c r="E25" s="80">
        <f>Table410016115911211512020113[[#This Row],[1994]]-Table410016115911211512020113[[#This Row],[1990]]</f>
        <v>2</v>
      </c>
      <c r="F25" s="79">
        <f>SUM(F20:F24)</f>
        <v>2</v>
      </c>
      <c r="G25" s="80">
        <f>Table410016115911211512020113[[#This Row],[1998]]-Table410016115911211512020113[[#This Row],[1994]]</f>
        <v>-2</v>
      </c>
      <c r="H25" s="79">
        <f>SUM(H20:H24)</f>
        <v>0</v>
      </c>
      <c r="I25" s="80">
        <f>Table410016115911211512020113[[#This Row],[2002]]-Table410016115911211512020113[[#This Row],[1998]]</f>
        <v>0</v>
      </c>
      <c r="J25" s="79">
        <f>SUM(J20:J24)</f>
        <v>0</v>
      </c>
      <c r="K25" s="80">
        <f>Table410016115911211512020113[[#This Row],[2006]]-Table410016115911211512020113[[#This Row],[2002]]</f>
        <v>1</v>
      </c>
      <c r="L25" s="79">
        <f>SUM(L20:L24)</f>
        <v>1</v>
      </c>
      <c r="M25" s="80">
        <f>Table410016115911211512020113[[#This Row],[2010]]-Table410016115911211512020113[[#This Row],[2006]]</f>
        <v>1</v>
      </c>
      <c r="N25" s="79">
        <f>SUM(N20:N24)</f>
        <v>2</v>
      </c>
      <c r="O25" s="80">
        <f>Table410016115911211512020113[[#This Row],[2014]]-Table410016115911211512020113[[#This Row],[2010]]</f>
        <v>0</v>
      </c>
      <c r="P25" s="79">
        <f>SUM(P20:P24)</f>
        <v>2</v>
      </c>
      <c r="Q25" s="90">
        <f>SUM(Table410016115911211512020113[[#This Row],[2014]],Table410016115911211512020113[[#This Row],[2010]],Table410016115911211512020113[[#This Row],[2006]],Table410016115911211512020113[[#This Row],[2002]],Table410016115911211512020113[[#This Row],[1998]],Table410016115911211512020113[[#This Row],[1994]],Table410016115911211512020113[[#This Row],[1986]])</f>
        <v>7</v>
      </c>
      <c r="R25" s="91">
        <v>49</v>
      </c>
    </row>
    <row r="26" spans="1:24" ht="19">
      <c r="A26" s="88" t="s">
        <v>95</v>
      </c>
      <c r="B26" s="71"/>
      <c r="C26" s="72">
        <f>Table410016115911211512020113[[#This Row],[1990]]-Table410016115911211512020113[[#This Row],[1986]]</f>
        <v>1</v>
      </c>
      <c r="D26" s="71">
        <v>1</v>
      </c>
      <c r="E26" s="72">
        <f>Table410016115911211512020113[[#This Row],[1994]]-Table410016115911211512020113[[#This Row],[1990]]</f>
        <v>1</v>
      </c>
      <c r="F26" s="71">
        <v>2</v>
      </c>
      <c r="G26" s="72">
        <f>Table410016115911211512020113[[#This Row],[1998]]-Table410016115911211512020113[[#This Row],[1994]]</f>
        <v>-2</v>
      </c>
      <c r="H26" s="71"/>
      <c r="I26" s="72">
        <f>Table410016115911211512020113[[#This Row],[2002]]-Table410016115911211512020113[[#This Row],[1998]]</f>
        <v>1</v>
      </c>
      <c r="J26" s="71">
        <v>1</v>
      </c>
      <c r="K26" s="72">
        <f>Table410016115911211512020113[[#This Row],[2006]]-Table410016115911211512020113[[#This Row],[2002]]</f>
        <v>1</v>
      </c>
      <c r="L26" s="71">
        <v>2</v>
      </c>
      <c r="M26" s="72">
        <f>Table410016115911211512020113[[#This Row],[2010]]-Table410016115911211512020113[[#This Row],[2006]]</f>
        <v>1</v>
      </c>
      <c r="N26" s="71">
        <v>3</v>
      </c>
      <c r="O26" s="72">
        <f>Table410016115911211512020113[[#This Row],[2014]]-Table410016115911211512020113[[#This Row],[2010]]</f>
        <v>-2</v>
      </c>
      <c r="P26" s="71">
        <v>1</v>
      </c>
      <c r="Q26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10</v>
      </c>
      <c r="R26" s="75">
        <v>10</v>
      </c>
      <c r="T26" s="178" t="s">
        <v>419</v>
      </c>
      <c r="U26" s="178"/>
      <c r="V26" s="178"/>
      <c r="W26" s="178"/>
      <c r="X26" s="178"/>
    </row>
    <row r="27" spans="1:24" ht="19">
      <c r="A27" s="88" t="s">
        <v>88</v>
      </c>
      <c r="B27" s="71">
        <v>1</v>
      </c>
      <c r="C27" s="72">
        <f>Table410016115911211512020113[[#This Row],[1990]]-Table410016115911211512020113[[#This Row],[1986]]</f>
        <v>-1</v>
      </c>
      <c r="D27" s="71"/>
      <c r="E27" s="72">
        <f>Table410016115911211512020113[[#This Row],[1994]]-Table410016115911211512020113[[#This Row],[1990]]</f>
        <v>1</v>
      </c>
      <c r="F27" s="71">
        <v>1</v>
      </c>
      <c r="G27" s="72">
        <f>Table410016115911211512020113[[#This Row],[1998]]-Table410016115911211512020113[[#This Row],[1994]]</f>
        <v>0</v>
      </c>
      <c r="H27" s="71">
        <v>1</v>
      </c>
      <c r="I27" s="72">
        <f>Table410016115911211512020113[[#This Row],[2002]]-Table410016115911211512020113[[#This Row],[1998]]</f>
        <v>1</v>
      </c>
      <c r="J27" s="71">
        <v>2</v>
      </c>
      <c r="K27" s="72">
        <f>Table410016115911211512020113[[#This Row],[2006]]-Table410016115911211512020113[[#This Row],[2002]]</f>
        <v>0</v>
      </c>
      <c r="L27" s="71">
        <v>2</v>
      </c>
      <c r="M27" s="72">
        <f>Table410016115911211512020113[[#This Row],[2010]]-Table410016115911211512020113[[#This Row],[2006]]</f>
        <v>0</v>
      </c>
      <c r="N27" s="71">
        <v>2</v>
      </c>
      <c r="O27" s="72">
        <f>Table410016115911211512020113[[#This Row],[2014]]-Table410016115911211512020113[[#This Row],[2010]]</f>
        <v>0</v>
      </c>
      <c r="P27" s="71">
        <v>2</v>
      </c>
      <c r="Q27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11</v>
      </c>
      <c r="R27" s="75">
        <v>53</v>
      </c>
      <c r="T27" s="65" t="s">
        <v>410</v>
      </c>
      <c r="U27" s="66" t="s">
        <v>411</v>
      </c>
      <c r="V27" s="67" t="s">
        <v>412</v>
      </c>
      <c r="W27" s="68" t="s">
        <v>413</v>
      </c>
      <c r="X27" s="69" t="s">
        <v>414</v>
      </c>
    </row>
    <row r="28" spans="1:24" ht="19">
      <c r="A28" s="88" t="s">
        <v>72</v>
      </c>
      <c r="B28" s="71">
        <v>13</v>
      </c>
      <c r="C28" s="72">
        <f>Table410016115911211512020113[[#This Row],[1990]]-Table410016115911211512020113[[#This Row],[1986]]</f>
        <v>3</v>
      </c>
      <c r="D28" s="71">
        <v>16</v>
      </c>
      <c r="E28" s="72">
        <f>Table410016115911211512020113[[#This Row],[1994]]-Table410016115911211512020113[[#This Row],[1990]]</f>
        <v>-8</v>
      </c>
      <c r="F28" s="71">
        <v>8</v>
      </c>
      <c r="G28" s="72">
        <f>Table410016115911211512020113[[#This Row],[1998]]-Table410016115911211512020113[[#This Row],[1994]]</f>
        <v>-1</v>
      </c>
      <c r="H28" s="71">
        <v>7</v>
      </c>
      <c r="I28" s="72">
        <f>Table410016115911211512020113[[#This Row],[2002]]-Table410016115911211512020113[[#This Row],[1998]]</f>
        <v>-4</v>
      </c>
      <c r="J28" s="71">
        <v>3</v>
      </c>
      <c r="K28" s="72">
        <f>Table410016115911211512020113[[#This Row],[2006]]-Table410016115911211512020113[[#This Row],[2002]]</f>
        <v>0</v>
      </c>
      <c r="L28" s="71">
        <v>3</v>
      </c>
      <c r="M28" s="72">
        <f>Table410016115911211512020113[[#This Row],[2010]]-Table410016115911211512020113[[#This Row],[2006]]</f>
        <v>0</v>
      </c>
      <c r="N28" s="71">
        <v>3</v>
      </c>
      <c r="O28" s="72">
        <f>Table410016115911211512020113[[#This Row],[2014]]-Table410016115911211512020113[[#This Row],[2010]]</f>
        <v>-2</v>
      </c>
      <c r="P28" s="71">
        <v>1</v>
      </c>
      <c r="Q28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54</v>
      </c>
      <c r="R28" s="75">
        <v>46</v>
      </c>
      <c r="T28" s="9">
        <f>R9</f>
        <v>57</v>
      </c>
      <c r="U28" s="9">
        <f>R19</f>
        <v>151</v>
      </c>
      <c r="V28" s="9">
        <f>R25</f>
        <v>49</v>
      </c>
      <c r="W28" s="9">
        <f>R30</f>
        <v>179</v>
      </c>
      <c r="X28" s="9">
        <f>R34</f>
        <v>77</v>
      </c>
    </row>
    <row r="29" spans="1:24" ht="19">
      <c r="A29" s="88" t="s">
        <v>54</v>
      </c>
      <c r="B29" s="71">
        <v>2</v>
      </c>
      <c r="C29" s="72">
        <f>Table410016115911211512020113[[#This Row],[1990]]-Table410016115911211512020113[[#This Row],[1986]]</f>
        <v>0</v>
      </c>
      <c r="D29" s="71">
        <v>2</v>
      </c>
      <c r="E29" s="72">
        <f>Table410016115911211512020113[[#This Row],[1994]]-Table410016115911211512020113[[#This Row],[1990]]</f>
        <v>0</v>
      </c>
      <c r="F29" s="71">
        <v>2</v>
      </c>
      <c r="G29" s="72">
        <f>Table410016115911211512020113[[#This Row],[1998]]-Table410016115911211512020113[[#This Row],[1994]]</f>
        <v>2</v>
      </c>
      <c r="H29" s="71">
        <v>4</v>
      </c>
      <c r="I29" s="72">
        <f>Table410016115911211512020113[[#This Row],[2002]]-Table410016115911211512020113[[#This Row],[1998]]</f>
        <v>-3</v>
      </c>
      <c r="J29" s="71">
        <v>1</v>
      </c>
      <c r="K29" s="72">
        <f>Table410016115911211512020113[[#This Row],[2006]]-Table410016115911211512020113[[#This Row],[2002]]</f>
        <v>3</v>
      </c>
      <c r="L29" s="71">
        <v>4</v>
      </c>
      <c r="M29" s="72">
        <f>Table410016115911211512020113[[#This Row],[2010]]-Table410016115911211512020113[[#This Row],[2006]]</f>
        <v>-1</v>
      </c>
      <c r="N29" s="71">
        <v>3</v>
      </c>
      <c r="O29" s="72">
        <f>Table410016115911211512020113[[#This Row],[2014]]-Table410016115911211512020113[[#This Row],[2010]]</f>
        <v>-3</v>
      </c>
      <c r="P29" s="71"/>
      <c r="Q29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18</v>
      </c>
      <c r="R29" s="75">
        <v>70</v>
      </c>
      <c r="T29" s="44">
        <f>(H9/T28)*100</f>
        <v>7.0175438596491224</v>
      </c>
      <c r="U29" s="44">
        <f>(H19/U28)*100</f>
        <v>1.3245033112582782</v>
      </c>
      <c r="V29" s="44">
        <f>(H25/V28)*100</f>
        <v>0</v>
      </c>
      <c r="W29" s="44">
        <f>(H30/W28)*100</f>
        <v>6.7039106145251397</v>
      </c>
      <c r="X29" s="44">
        <f>(H34/X28)*100</f>
        <v>9.0909090909090917</v>
      </c>
    </row>
    <row r="30" spans="1:24" ht="19">
      <c r="A30" s="93" t="s">
        <v>413</v>
      </c>
      <c r="B30" s="79">
        <f>SUM(B26:B29)</f>
        <v>16</v>
      </c>
      <c r="C30" s="79">
        <f>Table410016115911211512020113[[#This Row],[1990]]-Table410016115911211512020113[[#This Row],[1986]]</f>
        <v>3</v>
      </c>
      <c r="D30" s="79">
        <f>SUM(D26:D29)</f>
        <v>19</v>
      </c>
      <c r="E30" s="80">
        <f>Table410016115911211512020113[[#This Row],[1994]]-Table410016115911211512020113[[#This Row],[1990]]</f>
        <v>-6</v>
      </c>
      <c r="F30" s="79">
        <f>SUM(F26:F29)</f>
        <v>13</v>
      </c>
      <c r="G30" s="80">
        <f>Table410016115911211512020113[[#This Row],[1998]]-Table410016115911211512020113[[#This Row],[1994]]</f>
        <v>-1</v>
      </c>
      <c r="H30" s="79">
        <f>SUM(H26:H29)</f>
        <v>12</v>
      </c>
      <c r="I30" s="80">
        <f>Table410016115911211512020113[[#This Row],[2002]]-Table410016115911211512020113[[#This Row],[1998]]</f>
        <v>-5</v>
      </c>
      <c r="J30" s="79">
        <f>SUM(J26:J29)</f>
        <v>7</v>
      </c>
      <c r="K30" s="80">
        <f>Table410016115911211512020113[[#This Row],[2006]]-Table410016115911211512020113[[#This Row],[2002]]</f>
        <v>4</v>
      </c>
      <c r="L30" s="79">
        <f>SUM(L26:L29)</f>
        <v>11</v>
      </c>
      <c r="M30" s="80">
        <f>Table410016115911211512020113[[#This Row],[2010]]-Table410016115911211512020113[[#This Row],[2006]]</f>
        <v>0</v>
      </c>
      <c r="N30" s="79">
        <f>SUM(N26:N29)</f>
        <v>11</v>
      </c>
      <c r="O30" s="80">
        <f>Table410016115911211512020113[[#This Row],[2014]]-Table410016115911211512020113[[#This Row],[2010]]</f>
        <v>-7</v>
      </c>
      <c r="P30" s="79">
        <f>SUM(P26:P29)</f>
        <v>4</v>
      </c>
      <c r="Q30" s="94">
        <f>SUM(Table410016115911211512020113[[#This Row],[2014]],Table410016115911211512020113[[#This Row],[2010]],Table410016115911211512020113[[#This Row],[2006]],Table410016115911211512020113[[#This Row],[2002]],Table410016115911211512020113[[#This Row],[1998]],Table410016115911211512020113[[#This Row],[1994]],Table410016115911211512020113[[#This Row],[1986]])</f>
        <v>74</v>
      </c>
      <c r="R30" s="95">
        <v>179</v>
      </c>
    </row>
    <row r="31" spans="1:24" ht="19">
      <c r="A31" s="88" t="s">
        <v>13</v>
      </c>
      <c r="B31" s="71">
        <v>1</v>
      </c>
      <c r="C31" s="72">
        <f>Table410016115911211512020113[[#This Row],[1990]]-Table410016115911211512020113[[#This Row],[1986]]</f>
        <v>1</v>
      </c>
      <c r="D31" s="71">
        <v>2</v>
      </c>
      <c r="E31" s="72">
        <f>Table410016115911211512020113[[#This Row],[1994]]-Table410016115911211512020113[[#This Row],[1990]]</f>
        <v>1</v>
      </c>
      <c r="F31" s="71">
        <v>3</v>
      </c>
      <c r="G31" s="72">
        <f>Table410016115911211512020113[[#This Row],[1998]]-Table410016115911211512020113[[#This Row],[1994]]</f>
        <v>-2</v>
      </c>
      <c r="H31" s="71">
        <v>1</v>
      </c>
      <c r="I31" s="72">
        <f>Table410016115911211512020113[[#This Row],[2002]]-Table410016115911211512020113[[#This Row],[1998]]</f>
        <v>0</v>
      </c>
      <c r="J31" s="71">
        <v>1</v>
      </c>
      <c r="K31" s="72">
        <f>Table410016115911211512020113[[#This Row],[2006]]-Table410016115911211512020113[[#This Row],[2002]]</f>
        <v>0</v>
      </c>
      <c r="L31" s="71">
        <v>1</v>
      </c>
      <c r="M31" s="72">
        <f>Table410016115911211512020113[[#This Row],[2010]]-Table410016115911211512020113[[#This Row],[2006]]</f>
        <v>-1</v>
      </c>
      <c r="N31" s="71"/>
      <c r="O31" s="72">
        <f>Table410016115911211512020113[[#This Row],[2014]]-Table410016115911211512020113[[#This Row],[2010]]</f>
        <v>0</v>
      </c>
      <c r="P31" s="71"/>
      <c r="Q31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9</v>
      </c>
      <c r="R31" s="75">
        <v>30</v>
      </c>
      <c r="T31" s="178" t="s">
        <v>421</v>
      </c>
      <c r="U31" s="178"/>
      <c r="V31" s="178"/>
      <c r="W31" s="178"/>
      <c r="X31" s="178"/>
    </row>
    <row r="32" spans="1:24" ht="19">
      <c r="A32" s="88" t="s">
        <v>62</v>
      </c>
      <c r="B32" s="72">
        <v>5</v>
      </c>
      <c r="C32" s="72">
        <f>Table410016115911211512020113[[#This Row],[1990]]-Table410016115911211512020113[[#This Row],[1986]]</f>
        <v>1</v>
      </c>
      <c r="D32" s="72">
        <v>6</v>
      </c>
      <c r="E32" s="72">
        <f>Table410016115911211512020113[[#This Row],[1994]]-Table410016115911211512020113[[#This Row],[1990]]</f>
        <v>-1</v>
      </c>
      <c r="F32" s="72">
        <v>5</v>
      </c>
      <c r="G32" s="72">
        <f>Table410016115911211512020113[[#This Row],[1998]]-Table410016115911211512020113[[#This Row],[1994]]</f>
        <v>-1</v>
      </c>
      <c r="H32" s="72">
        <v>4</v>
      </c>
      <c r="I32" s="72">
        <f>Table410016115911211512020113[[#This Row],[2002]]-Table410016115911211512020113[[#This Row],[1998]]</f>
        <v>-1</v>
      </c>
      <c r="J32" s="72">
        <v>3</v>
      </c>
      <c r="K32" s="72">
        <f>Table410016115911211512020113[[#This Row],[2006]]-Table410016115911211512020113[[#This Row],[2002]]</f>
        <v>-1</v>
      </c>
      <c r="L32" s="72">
        <v>2</v>
      </c>
      <c r="M32" s="72">
        <f>Table410016115911211512020113[[#This Row],[2010]]-Table410016115911211512020113[[#This Row],[2006]]</f>
        <v>1</v>
      </c>
      <c r="N32" s="72">
        <v>3</v>
      </c>
      <c r="O32" s="72">
        <f>Table410016115911211512020113[[#This Row],[2014]]-Table410016115911211512020113[[#This Row],[2010]]</f>
        <v>0</v>
      </c>
      <c r="P32" s="72">
        <v>3</v>
      </c>
      <c r="Q32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31</v>
      </c>
      <c r="R32" s="75">
        <v>31</v>
      </c>
      <c r="T32" s="65" t="s">
        <v>410</v>
      </c>
      <c r="U32" s="66" t="s">
        <v>411</v>
      </c>
      <c r="V32" s="67" t="s">
        <v>412</v>
      </c>
      <c r="W32" s="68" t="s">
        <v>413</v>
      </c>
      <c r="X32" s="69" t="s">
        <v>414</v>
      </c>
    </row>
    <row r="33" spans="1:24" ht="19">
      <c r="A33" s="88" t="s">
        <v>60</v>
      </c>
      <c r="B33" s="71"/>
      <c r="C33" s="72">
        <f>Table410016115911211512020113[[#This Row],[1990]]-Table410016115911211512020113[[#This Row],[1986]]</f>
        <v>1</v>
      </c>
      <c r="D33" s="71">
        <v>1</v>
      </c>
      <c r="E33" s="72">
        <f>Table410016115911211512020113[[#This Row],[1994]]-Table410016115911211512020113[[#This Row],[1990]]</f>
        <v>1</v>
      </c>
      <c r="F33" s="71">
        <v>2</v>
      </c>
      <c r="G33" s="72">
        <f>Table410016115911211512020113[[#This Row],[1998]]-Table410016115911211512020113[[#This Row],[1994]]</f>
        <v>0</v>
      </c>
      <c r="H33" s="71">
        <v>2</v>
      </c>
      <c r="I33" s="72">
        <f>Table410016115911211512020113[[#This Row],[2002]]-Table410016115911211512020113[[#This Row],[1998]]</f>
        <v>-1</v>
      </c>
      <c r="J33" s="71">
        <v>1</v>
      </c>
      <c r="K33" s="72">
        <f>Table410016115911211512020113[[#This Row],[2006]]-Table410016115911211512020113[[#This Row],[2002]]</f>
        <v>-1</v>
      </c>
      <c r="L33" s="71"/>
      <c r="M33" s="72">
        <f>Table410016115911211512020113[[#This Row],[2010]]-Table410016115911211512020113[[#This Row],[2006]]</f>
        <v>0</v>
      </c>
      <c r="N33" s="71"/>
      <c r="O33" s="72">
        <f>Table410016115911211512020113[[#This Row],[2014]]-Table410016115911211512020113[[#This Row],[2010]]</f>
        <v>0</v>
      </c>
      <c r="P33" s="71"/>
      <c r="Q33" s="73">
        <f>SUM(Table410016115911211512020113[[#This Row],[1986]],Table410016115911211512020113[[#This Row],[1990]],Table410016115911211512020113[[#This Row],[1994]],Table410016115911211512020113[[#This Row],[1998]],Table410016115911211512020113[[#This Row],[2002]],Table410016115911211512020113[[#This Row],[2006]],Table410016115911211512020113[[#This Row],[2010]],Table410016115911211512020113[[#This Row],[2014]])</f>
        <v>6</v>
      </c>
      <c r="R33" s="75">
        <v>16</v>
      </c>
      <c r="T33" s="9">
        <f>R9</f>
        <v>57</v>
      </c>
      <c r="U33" s="9">
        <f>R19</f>
        <v>151</v>
      </c>
      <c r="V33" s="9">
        <f>R25</f>
        <v>49</v>
      </c>
      <c r="W33" s="9">
        <f>R30</f>
        <v>179</v>
      </c>
      <c r="X33" s="9">
        <f>R34</f>
        <v>77</v>
      </c>
    </row>
    <row r="34" spans="1:24" ht="19">
      <c r="A34" s="96" t="s">
        <v>414</v>
      </c>
      <c r="B34" s="97">
        <f>SUM(B31:B33)</f>
        <v>6</v>
      </c>
      <c r="C34" s="97">
        <f>Table410016115911211512020113[[#This Row],[1990]]-Table410016115911211512020113[[#This Row],[1986]]</f>
        <v>3</v>
      </c>
      <c r="D34" s="97">
        <f>SUM(D31:D33)</f>
        <v>9</v>
      </c>
      <c r="E34" s="80">
        <f>Table410016115911211512020113[[#This Row],[1994]]-Table410016115911211512020113[[#This Row],[1990]]</f>
        <v>1</v>
      </c>
      <c r="F34" s="97">
        <f>SUM(F31:F33)</f>
        <v>10</v>
      </c>
      <c r="G34" s="80">
        <f>Table410016115911211512020113[[#This Row],[1998]]-Table410016115911211512020113[[#This Row],[1994]]</f>
        <v>-3</v>
      </c>
      <c r="H34" s="97">
        <f>SUM(H31:H33)</f>
        <v>7</v>
      </c>
      <c r="I34" s="80">
        <f>Table410016115911211512020113[[#This Row],[2002]]-Table410016115911211512020113[[#This Row],[1998]]</f>
        <v>-2</v>
      </c>
      <c r="J34" s="97">
        <f>SUM(J31:J33)</f>
        <v>5</v>
      </c>
      <c r="K34" s="80">
        <f>Table410016115911211512020113[[#This Row],[2006]]-Table410016115911211512020113[[#This Row],[2002]]</f>
        <v>-2</v>
      </c>
      <c r="L34" s="97">
        <f>SUM(L31:L33)</f>
        <v>3</v>
      </c>
      <c r="M34" s="80">
        <f>Table410016115911211512020113[[#This Row],[2010]]-Table410016115911211512020113[[#This Row],[2006]]</f>
        <v>0</v>
      </c>
      <c r="N34" s="97">
        <f>SUM(N31:N33)</f>
        <v>3</v>
      </c>
      <c r="O34" s="80">
        <f>Table410016115911211512020113[[#This Row],[2014]]-Table410016115911211512020113[[#This Row],[2010]]</f>
        <v>0</v>
      </c>
      <c r="P34" s="97">
        <f>SUM(P31:P33)</f>
        <v>3</v>
      </c>
      <c r="Q34" s="104">
        <f>SUM(Table410016115911211512020113[[#This Row],[2014]],Table410016115911211512020113[[#This Row],[2010]],Table410016115911211512020113[[#This Row],[2006]],Table410016115911211512020113[[#This Row],[2002]],Table410016115911211512020113[[#This Row],[1998]],Table410016115911211512020113[[#This Row],[1994]],Table410016115911211512020113[[#This Row],[1986]])</f>
        <v>37</v>
      </c>
      <c r="R34" s="99">
        <v>77</v>
      </c>
      <c r="T34" s="44">
        <f>(F9/T33)*100</f>
        <v>3.5087719298245612</v>
      </c>
      <c r="U34" s="44">
        <f>(F19/U33)*100</f>
        <v>4.6357615894039732</v>
      </c>
      <c r="V34" s="44">
        <f>(F25/V33)*100</f>
        <v>4.0816326530612246</v>
      </c>
      <c r="W34" s="44">
        <f>(F30/W33)*100</f>
        <v>7.2625698324022352</v>
      </c>
      <c r="X34" s="44">
        <f>(F34/X33)*100</f>
        <v>12.987012987012985</v>
      </c>
    </row>
    <row r="35" spans="1:24" ht="19">
      <c r="A35" s="100" t="s">
        <v>420</v>
      </c>
      <c r="B35" s="101">
        <f>SUM(B9,B19,B25,B30,B34)</f>
        <v>24</v>
      </c>
      <c r="C35" s="101">
        <f>Table410016115911211512020113[[#This Row],[1990]]-Table410016115911211512020113[[#This Row],[1986]]</f>
        <v>15</v>
      </c>
      <c r="D35" s="101">
        <f>SUM(D9,D19,D25,D30,D34)</f>
        <v>39</v>
      </c>
      <c r="E35" s="80">
        <f>Table410016115911211512020113[[#This Row],[1994]]-Table410016115911211512020113[[#This Row],[1990]]</f>
        <v>-5</v>
      </c>
      <c r="F35" s="101">
        <f>SUM(F9,F19,F25,F30,F34)</f>
        <v>34</v>
      </c>
      <c r="G35" s="80">
        <f>Table410016115911211512020113[[#This Row],[1998]]-Table410016115911211512020113[[#This Row],[1994]]</f>
        <v>-9</v>
      </c>
      <c r="H35" s="101">
        <f>SUM(H9,H19,H25,H30,H34)</f>
        <v>25</v>
      </c>
      <c r="I35" s="80">
        <f>Table410016115911211512020113[[#This Row],[2002]]-Table410016115911211512020113[[#This Row],[1998]]</f>
        <v>-5</v>
      </c>
      <c r="J35" s="101">
        <f>SUM(J9,J19,J25,J30,J34)</f>
        <v>20</v>
      </c>
      <c r="K35" s="80">
        <f>Table410016115911211512020113[[#This Row],[2006]]-Table410016115911211512020113[[#This Row],[2002]]</f>
        <v>3</v>
      </c>
      <c r="L35" s="101">
        <f>SUM(L9,L19,L25,L30,L34)</f>
        <v>23</v>
      </c>
      <c r="M35" s="80">
        <f>Table410016115911211512020113[[#This Row],[2010]]-Table410016115911211512020113[[#This Row],[2006]]</f>
        <v>2</v>
      </c>
      <c r="N35" s="101">
        <f>SUM(N9,N19,N25,N30,N34)</f>
        <v>25</v>
      </c>
      <c r="O35" s="80">
        <f>Table410016115911211512020113[[#This Row],[2014]]-Table410016115911211512020113[[#This Row],[2010]]</f>
        <v>-4</v>
      </c>
      <c r="P35" s="101">
        <f>SUM(P9,P19,P25,P30,P34)</f>
        <v>21</v>
      </c>
      <c r="Q35" s="102">
        <f>SUM(Q9,Q19,Q25,Q30,Q34)</f>
        <v>183</v>
      </c>
      <c r="R35" s="75">
        <v>513</v>
      </c>
    </row>
    <row r="36" spans="1:24">
      <c r="T36" s="178" t="s">
        <v>422</v>
      </c>
      <c r="U36" s="178"/>
      <c r="V36" s="178"/>
      <c r="W36" s="178"/>
      <c r="X36" s="178"/>
    </row>
    <row r="37" spans="1:24">
      <c r="T37" s="65" t="s">
        <v>410</v>
      </c>
      <c r="U37" s="66" t="s">
        <v>411</v>
      </c>
      <c r="V37" s="67" t="s">
        <v>412</v>
      </c>
      <c r="W37" s="68" t="s">
        <v>413</v>
      </c>
      <c r="X37" s="69" t="s">
        <v>414</v>
      </c>
    </row>
    <row r="38" spans="1:24">
      <c r="T38" s="9">
        <f>R9</f>
        <v>57</v>
      </c>
      <c r="U38" s="9">
        <f>R19</f>
        <v>151</v>
      </c>
      <c r="V38" s="9">
        <f>R25</f>
        <v>49</v>
      </c>
      <c r="W38" s="9">
        <f>(R30-10)</f>
        <v>169</v>
      </c>
      <c r="X38" s="9">
        <f>R34</f>
        <v>77</v>
      </c>
    </row>
    <row r="39" spans="1:24">
      <c r="T39" s="44">
        <f>(D9/T38)*100</f>
        <v>3.5087719298245612</v>
      </c>
      <c r="U39" s="44">
        <f>(D19/U38)*100</f>
        <v>5.9602649006622519</v>
      </c>
      <c r="V39" s="44">
        <f>(D25/V38)*100</f>
        <v>0</v>
      </c>
      <c r="W39" s="44">
        <f>(D30/W38)*100</f>
        <v>11.242603550295858</v>
      </c>
      <c r="X39" s="44">
        <f>(D34/X38)*100</f>
        <v>11.688311688311687</v>
      </c>
    </row>
    <row r="41" spans="1:24">
      <c r="T41" s="178" t="s">
        <v>428</v>
      </c>
      <c r="U41" s="178"/>
      <c r="V41" s="178"/>
      <c r="W41" s="178"/>
      <c r="X41" s="178"/>
    </row>
    <row r="42" spans="1:24">
      <c r="T42" s="65" t="s">
        <v>410</v>
      </c>
      <c r="U42" s="66" t="s">
        <v>411</v>
      </c>
      <c r="V42" s="67" t="s">
        <v>412</v>
      </c>
      <c r="W42" s="68" t="s">
        <v>413</v>
      </c>
      <c r="X42" s="69" t="s">
        <v>414</v>
      </c>
    </row>
    <row r="43" spans="1:24">
      <c r="T43" s="9">
        <f>R9</f>
        <v>57</v>
      </c>
      <c r="U43" s="9">
        <f>R19</f>
        <v>151</v>
      </c>
      <c r="V43" s="9">
        <f>R25</f>
        <v>49</v>
      </c>
      <c r="W43" s="17">
        <f>(R30-19)</f>
        <v>160</v>
      </c>
      <c r="X43" s="9">
        <f>R34</f>
        <v>77</v>
      </c>
    </row>
    <row r="44" spans="1:24">
      <c r="T44" s="44">
        <f>(B9/T43)*100</f>
        <v>1.7543859649122806</v>
      </c>
      <c r="U44" s="44">
        <f>(B19/U43)*100</f>
        <v>0.66225165562913912</v>
      </c>
      <c r="V44" s="44">
        <f>(B25/V43)*100</f>
        <v>0</v>
      </c>
      <c r="W44" s="44">
        <f>(B30/W43)*100</f>
        <v>10</v>
      </c>
      <c r="X44" s="44">
        <f>(B34/X43)*100</f>
        <v>7.7922077922077921</v>
      </c>
    </row>
  </sheetData>
  <mergeCells count="10">
    <mergeCell ref="T26:X26"/>
    <mergeCell ref="T31:X31"/>
    <mergeCell ref="T36:X36"/>
    <mergeCell ref="T41:X41"/>
    <mergeCell ref="A1:Q1"/>
    <mergeCell ref="T1:X1"/>
    <mergeCell ref="T6:X6"/>
    <mergeCell ref="T11:X11"/>
    <mergeCell ref="T16:X16"/>
    <mergeCell ref="T21:X21"/>
  </mergeCells>
  <conditionalFormatting sqref="C4:C35">
    <cfRule type="cellIs" dxfId="296" priority="11" operator="greaterThan">
      <formula>0</formula>
    </cfRule>
  </conditionalFormatting>
  <conditionalFormatting sqref="C3">
    <cfRule type="cellIs" dxfId="295" priority="8" operator="greaterThan">
      <formula>0</formula>
    </cfRule>
  </conditionalFormatting>
  <conditionalFormatting sqref="E3">
    <cfRule type="cellIs" dxfId="294" priority="5" operator="greaterThan">
      <formula>0</formula>
    </cfRule>
  </conditionalFormatting>
  <conditionalFormatting sqref="O3:O35">
    <cfRule type="cellIs" dxfId="293" priority="1" operator="lessThan">
      <formula>0</formula>
    </cfRule>
    <cfRule type="cellIs" dxfId="292" priority="2" operator="greaterThan">
      <formula>0</formula>
    </cfRule>
  </conditionalFormatting>
  <conditionalFormatting sqref="C4:C35 E4:E35 G3:G35 I3:I35 K3:K35 M3:M35">
    <cfRule type="cellIs" dxfId="291" priority="10" operator="greaterThan">
      <formula>0</formula>
    </cfRule>
  </conditionalFormatting>
  <conditionalFormatting sqref="C4:C35 E4:E35 G3:G35 I3:I35 K3:K35 M3:M35">
    <cfRule type="cellIs" dxfId="290" priority="9" operator="lessThan">
      <formula>0</formula>
    </cfRule>
  </conditionalFormatting>
  <conditionalFormatting sqref="C3">
    <cfRule type="cellIs" dxfId="289" priority="7" operator="greaterThan">
      <formula>0</formula>
    </cfRule>
  </conditionalFormatting>
  <conditionalFormatting sqref="C3">
    <cfRule type="cellIs" dxfId="288" priority="6" operator="lessThan">
      <formula>0</formula>
    </cfRule>
  </conditionalFormatting>
  <conditionalFormatting sqref="E3">
    <cfRule type="cellIs" dxfId="287" priority="4" operator="greaterThan">
      <formula>0</formula>
    </cfRule>
  </conditionalFormatting>
  <conditionalFormatting sqref="E3">
    <cfRule type="cellIs" dxfId="286" priority="3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4"/>
  <sheetViews>
    <sheetView topLeftCell="J22" workbookViewId="0">
      <selection activeCell="W43" sqref="W43"/>
    </sheetView>
  </sheetViews>
  <sheetFormatPr baseColWidth="10" defaultRowHeight="16"/>
  <cols>
    <col min="1" max="1" width="19" customWidth="1"/>
    <col min="17" max="17" width="17.1640625" customWidth="1"/>
    <col min="18" max="18" width="20.1640625" customWidth="1"/>
  </cols>
  <sheetData>
    <row r="1" spans="1:24" ht="19">
      <c r="A1" s="184" t="s">
        <v>16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T1" s="178" t="s">
        <v>391</v>
      </c>
      <c r="U1" s="178"/>
      <c r="V1" s="178"/>
      <c r="W1" s="178"/>
      <c r="X1" s="178"/>
    </row>
    <row r="2" spans="1:24" ht="19">
      <c r="A2" s="63" t="s">
        <v>392</v>
      </c>
      <c r="B2" s="63" t="s">
        <v>393</v>
      </c>
      <c r="C2" s="63" t="s">
        <v>394</v>
      </c>
      <c r="D2" s="63" t="s">
        <v>395</v>
      </c>
      <c r="E2" s="63" t="s">
        <v>396</v>
      </c>
      <c r="F2" s="63" t="s">
        <v>397</v>
      </c>
      <c r="G2" s="63" t="s">
        <v>398</v>
      </c>
      <c r="H2" s="63" t="s">
        <v>399</v>
      </c>
      <c r="I2" s="63" t="s">
        <v>400</v>
      </c>
      <c r="J2" s="63" t="s">
        <v>401</v>
      </c>
      <c r="K2" s="63" t="s">
        <v>402</v>
      </c>
      <c r="L2" s="63" t="s">
        <v>403</v>
      </c>
      <c r="M2" s="63" t="s">
        <v>404</v>
      </c>
      <c r="N2" s="63" t="s">
        <v>405</v>
      </c>
      <c r="O2" s="63" t="s">
        <v>406</v>
      </c>
      <c r="P2" s="63" t="s">
        <v>407</v>
      </c>
      <c r="Q2" s="64" t="s">
        <v>408</v>
      </c>
      <c r="R2" s="64" t="s">
        <v>427</v>
      </c>
      <c r="T2" s="65" t="s">
        <v>410</v>
      </c>
      <c r="U2" s="66" t="s">
        <v>411</v>
      </c>
      <c r="V2" s="67" t="s">
        <v>412</v>
      </c>
      <c r="W2" s="68" t="s">
        <v>413</v>
      </c>
      <c r="X2" s="69" t="s">
        <v>414</v>
      </c>
    </row>
    <row r="3" spans="1:24" ht="19">
      <c r="A3" s="70" t="s">
        <v>110</v>
      </c>
      <c r="B3" s="71"/>
      <c r="C3" s="72">
        <f>Table410016115911211512024120[[#This Row],[1990]]-Table410016115911211512024120[[#This Row],[1986]]</f>
        <v>0</v>
      </c>
      <c r="D3" s="71"/>
      <c r="E3" s="72">
        <f>Table410016115911211512024120[[#This Row],[1994]]-Table410016115911211512024120[[#This Row],[1990]]</f>
        <v>0</v>
      </c>
      <c r="F3" s="71"/>
      <c r="G3" s="72">
        <f>Table410016115911211512024120[[#This Row],[1998]]-Table410016115911211512024120[[#This Row],[1994]]</f>
        <v>0</v>
      </c>
      <c r="H3" s="71"/>
      <c r="I3" s="72">
        <f>Table410016115911211512024120[[#This Row],[2002]]-Table410016115911211512024120[[#This Row],[1998]]</f>
        <v>1</v>
      </c>
      <c r="J3" s="71">
        <v>1</v>
      </c>
      <c r="K3" s="72">
        <f>Table410016115911211512024120[[#This Row],[2006]]-Table410016115911211512024120[[#This Row],[2002]]</f>
        <v>0</v>
      </c>
      <c r="L3" s="71">
        <v>1</v>
      </c>
      <c r="M3" s="72">
        <f>Table410016115911211512024120[[#This Row],[2010]]-Table410016115911211512024120[[#This Row],[2006]]</f>
        <v>-1</v>
      </c>
      <c r="N3" s="71"/>
      <c r="O3" s="72">
        <f>Table410016115911211512024120[[#This Row],[2014]]-Table410016115911211512024120[[#This Row],[2010]]</f>
        <v>0</v>
      </c>
      <c r="P3" s="71"/>
      <c r="Q3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2</v>
      </c>
      <c r="R3" s="74">
        <v>8</v>
      </c>
      <c r="T3" s="9">
        <f>R9*8</f>
        <v>456</v>
      </c>
      <c r="U3" s="9">
        <f>R19*8</f>
        <v>1208</v>
      </c>
      <c r="V3" s="9">
        <f>R25*8</f>
        <v>392</v>
      </c>
      <c r="W3" s="9">
        <f>R30*8</f>
        <v>1432</v>
      </c>
      <c r="X3" s="9">
        <f>R34*8</f>
        <v>616</v>
      </c>
    </row>
    <row r="4" spans="1:24" ht="19">
      <c r="A4" s="70" t="s">
        <v>106</v>
      </c>
      <c r="B4" s="71"/>
      <c r="C4" s="72">
        <f>Table410016115911211512024120[[#This Row],[1990]]-Table410016115911211512024120[[#This Row],[1986]]</f>
        <v>0</v>
      </c>
      <c r="D4" s="71"/>
      <c r="E4" s="72">
        <f>Table410016115911211512024120[[#This Row],[1994]]-Table410016115911211512024120[[#This Row],[1990]]</f>
        <v>0</v>
      </c>
      <c r="F4" s="71"/>
      <c r="G4" s="72">
        <f>Table410016115911211512024120[[#This Row],[1998]]-Table410016115911211512024120[[#This Row],[1994]]</f>
        <v>0</v>
      </c>
      <c r="H4" s="71"/>
      <c r="I4" s="72">
        <f>Table410016115911211512024120[[#This Row],[2002]]-Table410016115911211512024120[[#This Row],[1998]]</f>
        <v>0</v>
      </c>
      <c r="J4" s="71"/>
      <c r="K4" s="72">
        <f>Table410016115911211512024120[[#This Row],[2006]]-Table410016115911211512024120[[#This Row],[2002]]</f>
        <v>0</v>
      </c>
      <c r="L4" s="71"/>
      <c r="M4" s="72">
        <f>Table410016115911211512024120[[#This Row],[2010]]-Table410016115911211512024120[[#This Row],[2006]]</f>
        <v>0</v>
      </c>
      <c r="N4" s="71"/>
      <c r="O4" s="72">
        <f>Table410016115911211512024120[[#This Row],[2014]]-Table410016115911211512024120[[#This Row],[2010]]</f>
        <v>0</v>
      </c>
      <c r="P4" s="71"/>
      <c r="Q4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0</v>
      </c>
      <c r="R4" s="75">
        <v>8</v>
      </c>
      <c r="T4" s="44">
        <f>(Q9/T3)*100</f>
        <v>1.5350877192982455</v>
      </c>
      <c r="U4" s="44">
        <f>(Q19/U3)*100</f>
        <v>0.74503311258278149</v>
      </c>
      <c r="V4" s="44">
        <f>(Q25/V3)*100</f>
        <v>1.7857142857142856</v>
      </c>
      <c r="W4" s="44">
        <f>(Q30/W3)*100</f>
        <v>1.6061452513966481</v>
      </c>
      <c r="X4" s="76">
        <f>(Q34/X3)*100</f>
        <v>0</v>
      </c>
    </row>
    <row r="5" spans="1:24" ht="19">
      <c r="A5" s="70" t="s">
        <v>104</v>
      </c>
      <c r="B5" s="71"/>
      <c r="C5" s="72">
        <f>Table410016115911211512024120[[#This Row],[1990]]-Table410016115911211512024120[[#This Row],[1986]]</f>
        <v>0</v>
      </c>
      <c r="D5" s="71"/>
      <c r="E5" s="72">
        <f>Table410016115911211512024120[[#This Row],[1994]]-Table410016115911211512024120[[#This Row],[1990]]</f>
        <v>0</v>
      </c>
      <c r="F5" s="71"/>
      <c r="G5" s="72">
        <f>Table410016115911211512024120[[#This Row],[1998]]-Table410016115911211512024120[[#This Row],[1994]]</f>
        <v>0</v>
      </c>
      <c r="H5" s="71"/>
      <c r="I5" s="72">
        <f>Table410016115911211512024120[[#This Row],[2002]]-Table410016115911211512024120[[#This Row],[1998]]</f>
        <v>0</v>
      </c>
      <c r="J5" s="71"/>
      <c r="K5" s="72">
        <f>Table410016115911211512024120[[#This Row],[2006]]-Table410016115911211512024120[[#This Row],[2002]]</f>
        <v>0</v>
      </c>
      <c r="L5" s="71"/>
      <c r="M5" s="72">
        <f>Table410016115911211512024120[[#This Row],[2010]]-Table410016115911211512024120[[#This Row],[2006]]</f>
        <v>0</v>
      </c>
      <c r="N5" s="71"/>
      <c r="O5" s="72">
        <f>Table410016115911211512024120[[#This Row],[2014]]-Table410016115911211512024120[[#This Row],[2010]]</f>
        <v>0</v>
      </c>
      <c r="P5" s="71"/>
      <c r="Q5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0</v>
      </c>
      <c r="R5" s="75">
        <v>8</v>
      </c>
    </row>
    <row r="6" spans="1:24" ht="19">
      <c r="A6" s="70" t="s">
        <v>73</v>
      </c>
      <c r="B6" s="71"/>
      <c r="C6" s="72">
        <f>Table410016115911211512024120[[#This Row],[1990]]-Table410016115911211512024120[[#This Row],[1986]]</f>
        <v>0</v>
      </c>
      <c r="D6" s="71"/>
      <c r="E6" s="72">
        <f>Table410016115911211512024120[[#This Row],[1994]]-Table410016115911211512024120[[#This Row],[1990]]</f>
        <v>0</v>
      </c>
      <c r="F6" s="71"/>
      <c r="G6" s="72">
        <f>Table410016115911211512024120[[#This Row],[1998]]-Table410016115911211512024120[[#This Row],[1994]]</f>
        <v>0</v>
      </c>
      <c r="H6" s="71"/>
      <c r="I6" s="72">
        <f>Table410016115911211512024120[[#This Row],[2002]]-Table410016115911211512024120[[#This Row],[1998]]</f>
        <v>0</v>
      </c>
      <c r="J6" s="71"/>
      <c r="K6" s="72">
        <f>Table410016115911211512024120[[#This Row],[2006]]-Table410016115911211512024120[[#This Row],[2002]]</f>
        <v>0</v>
      </c>
      <c r="L6" s="71"/>
      <c r="M6" s="72">
        <f>Table410016115911211512024120[[#This Row],[2010]]-Table410016115911211512024120[[#This Row],[2006]]</f>
        <v>1</v>
      </c>
      <c r="N6" s="71">
        <v>1</v>
      </c>
      <c r="O6" s="72">
        <f>Table410016115911211512024120[[#This Row],[2014]]-Table410016115911211512024120[[#This Row],[2010]]</f>
        <v>0</v>
      </c>
      <c r="P6" s="71">
        <v>1</v>
      </c>
      <c r="Q6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2</v>
      </c>
      <c r="R6" s="75">
        <v>17</v>
      </c>
      <c r="T6" s="178" t="s">
        <v>415</v>
      </c>
      <c r="U6" s="178"/>
      <c r="V6" s="178"/>
      <c r="W6" s="178"/>
      <c r="X6" s="178"/>
    </row>
    <row r="7" spans="1:24" ht="19">
      <c r="A7" s="70" t="s">
        <v>67</v>
      </c>
      <c r="B7" s="77"/>
      <c r="C7" s="72">
        <f>Table410016115911211512024120[[#This Row],[1990]]-Table410016115911211512024120[[#This Row],[1986]]</f>
        <v>0</v>
      </c>
      <c r="D7" s="77"/>
      <c r="E7" s="72">
        <f>Table410016115911211512024120[[#This Row],[1994]]-Table410016115911211512024120[[#This Row],[1990]]</f>
        <v>0</v>
      </c>
      <c r="F7" s="77"/>
      <c r="G7" s="72">
        <f>Table410016115911211512024120[[#This Row],[1998]]-Table410016115911211512024120[[#This Row],[1994]]</f>
        <v>0</v>
      </c>
      <c r="H7" s="77"/>
      <c r="I7" s="72">
        <f>Table410016115911211512024120[[#This Row],[2002]]-Table410016115911211512024120[[#This Row],[1998]]</f>
        <v>1</v>
      </c>
      <c r="J7" s="77">
        <v>1</v>
      </c>
      <c r="K7" s="72">
        <f>Table410016115911211512024120[[#This Row],[2006]]-Table410016115911211512024120[[#This Row],[2002]]</f>
        <v>0</v>
      </c>
      <c r="L7" s="77">
        <v>1</v>
      </c>
      <c r="M7" s="72">
        <f>Table410016115911211512024120[[#This Row],[2010]]-Table410016115911211512024120[[#This Row],[2006]]</f>
        <v>0</v>
      </c>
      <c r="N7" s="77">
        <v>1</v>
      </c>
      <c r="O7" s="72">
        <f>Table410016115911211512024120[[#This Row],[2014]]-Table410016115911211512024120[[#This Row],[2010]]</f>
        <v>-1</v>
      </c>
      <c r="P7" s="77"/>
      <c r="Q7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3</v>
      </c>
      <c r="R7" s="75">
        <v>8</v>
      </c>
      <c r="T7" s="65" t="s">
        <v>410</v>
      </c>
      <c r="U7" s="66" t="s">
        <v>411</v>
      </c>
      <c r="V7" s="67" t="s">
        <v>412</v>
      </c>
      <c r="W7" s="68" t="s">
        <v>413</v>
      </c>
      <c r="X7" s="69" t="s">
        <v>414</v>
      </c>
    </row>
    <row r="8" spans="1:24" ht="19">
      <c r="A8" s="70" t="s">
        <v>65</v>
      </c>
      <c r="B8" s="71"/>
      <c r="C8" s="72">
        <f>Table410016115911211512024120[[#This Row],[1990]]-Table410016115911211512024120[[#This Row],[1986]]</f>
        <v>0</v>
      </c>
      <c r="D8" s="71"/>
      <c r="E8" s="72">
        <f>Table410016115911211512024120[[#This Row],[1994]]-Table410016115911211512024120[[#This Row],[1990]]</f>
        <v>0</v>
      </c>
      <c r="F8" s="71"/>
      <c r="G8" s="72">
        <f>Table410016115911211512024120[[#This Row],[1998]]-Table410016115911211512024120[[#This Row],[1994]]</f>
        <v>0</v>
      </c>
      <c r="H8" s="71"/>
      <c r="I8" s="72">
        <f>Table410016115911211512024120[[#This Row],[2002]]-Table410016115911211512024120[[#This Row],[1998]]</f>
        <v>0</v>
      </c>
      <c r="J8" s="71"/>
      <c r="K8" s="72">
        <f>Table410016115911211512024120[[#This Row],[2006]]-Table410016115911211512024120[[#This Row],[2002]]</f>
        <v>0</v>
      </c>
      <c r="L8" s="71"/>
      <c r="M8" s="72">
        <f>Table410016115911211512024120[[#This Row],[2010]]-Table410016115911211512024120[[#This Row],[2006]]</f>
        <v>0</v>
      </c>
      <c r="N8" s="71"/>
      <c r="O8" s="72">
        <f>Table410016115911211512024120[[#This Row],[2014]]-Table410016115911211512024120[[#This Row],[2010]]</f>
        <v>0</v>
      </c>
      <c r="P8" s="71"/>
      <c r="Q8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0</v>
      </c>
      <c r="R8" s="75">
        <v>8</v>
      </c>
      <c r="T8" s="9">
        <f>R9</f>
        <v>57</v>
      </c>
      <c r="U8" s="9">
        <f>R19</f>
        <v>151</v>
      </c>
      <c r="V8" s="9">
        <f>R25</f>
        <v>49</v>
      </c>
      <c r="W8" s="9">
        <f>R30</f>
        <v>179</v>
      </c>
      <c r="X8" s="9">
        <f>R34</f>
        <v>77</v>
      </c>
    </row>
    <row r="9" spans="1:24" ht="19">
      <c r="A9" s="78" t="s">
        <v>410</v>
      </c>
      <c r="B9" s="79">
        <f>SUM(B3:B8)</f>
        <v>0</v>
      </c>
      <c r="C9" s="79">
        <f>Table410016115911211512024120[[#This Row],[1990]]-Table410016115911211512024120[[#This Row],[1986]]</f>
        <v>0</v>
      </c>
      <c r="D9" s="79">
        <f>SUM(D3:D8)</f>
        <v>0</v>
      </c>
      <c r="E9" s="80">
        <f>Table410016115911211512024120[[#This Row],[1994]]-Table410016115911211512024120[[#This Row],[1990]]</f>
        <v>0</v>
      </c>
      <c r="F9" s="79">
        <f>SUM(F3:F8)</f>
        <v>0</v>
      </c>
      <c r="G9" s="80">
        <f>Table410016115911211512024120[[#This Row],[1998]]-Table410016115911211512024120[[#This Row],[1994]]</f>
        <v>0</v>
      </c>
      <c r="H9" s="79">
        <f>SUM(H3:H8)</f>
        <v>0</v>
      </c>
      <c r="I9" s="80">
        <f>Table410016115911211512024120[[#This Row],[2002]]-Table410016115911211512024120[[#This Row],[1998]]</f>
        <v>2</v>
      </c>
      <c r="J9" s="79">
        <f>SUM(J3:J8)</f>
        <v>2</v>
      </c>
      <c r="K9" s="80">
        <f>Table410016115911211512024120[[#This Row],[2006]]-Table410016115911211512024120[[#This Row],[2002]]</f>
        <v>0</v>
      </c>
      <c r="L9" s="79">
        <f>SUM(L3:L8)</f>
        <v>2</v>
      </c>
      <c r="M9" s="80">
        <f>Table410016115911211512024120[[#This Row],[2010]]-Table410016115911211512024120[[#This Row],[2006]]</f>
        <v>0</v>
      </c>
      <c r="N9" s="79">
        <f>SUM(N3:N8)</f>
        <v>2</v>
      </c>
      <c r="O9" s="80">
        <f>Table410016115911211512024120[[#This Row],[2014]]-Table410016115911211512024120[[#This Row],[2010]]</f>
        <v>-1</v>
      </c>
      <c r="P9" s="79">
        <f>SUM(P3:P8)</f>
        <v>1</v>
      </c>
      <c r="Q9" s="81">
        <f>SUM(Q3:Q8)</f>
        <v>7</v>
      </c>
      <c r="R9" s="82">
        <v>57</v>
      </c>
      <c r="T9" s="44">
        <f>(Table410016115911211512024120[[#This Row],[2014]]/T8)*100</f>
        <v>1.7543859649122806</v>
      </c>
      <c r="U9" s="44">
        <f>(P19/U8)*100</f>
        <v>1.3245033112582782</v>
      </c>
      <c r="V9" s="44">
        <f>(P25/V8)*100</f>
        <v>2.0408163265306123</v>
      </c>
      <c r="W9" s="44">
        <f>(P30/W8)*100</f>
        <v>0.55865921787709494</v>
      </c>
      <c r="X9" s="44">
        <f>(P34/X8)*100</f>
        <v>3.8961038961038961</v>
      </c>
    </row>
    <row r="10" spans="1:24" ht="19">
      <c r="A10" s="70" t="s">
        <v>108</v>
      </c>
      <c r="B10" s="71"/>
      <c r="C10" s="72">
        <f>Table410016115911211512024120[[#This Row],[1990]]-Table410016115911211512024120[[#This Row],[1986]]</f>
        <v>0</v>
      </c>
      <c r="D10" s="71"/>
      <c r="E10" s="72">
        <f>Table410016115911211512024120[[#This Row],[1994]]-Table410016115911211512024120[[#This Row],[1990]]</f>
        <v>0</v>
      </c>
      <c r="F10" s="71"/>
      <c r="G10" s="72">
        <f>Table410016115911211512024120[[#This Row],[1998]]-Table410016115911211512024120[[#This Row],[1994]]</f>
        <v>1</v>
      </c>
      <c r="H10" s="71">
        <v>1</v>
      </c>
      <c r="I10" s="72">
        <f>Table410016115911211512024120[[#This Row],[2002]]-Table410016115911211512024120[[#This Row],[1998]]</f>
        <v>-1</v>
      </c>
      <c r="J10" s="71"/>
      <c r="K10" s="72">
        <f>Table410016115911211512024120[[#This Row],[2006]]-Table410016115911211512024120[[#This Row],[2002]]</f>
        <v>0</v>
      </c>
      <c r="L10" s="71"/>
      <c r="M10" s="72">
        <f>Table410016115911211512024120[[#This Row],[2010]]-Table410016115911211512024120[[#This Row],[2006]]</f>
        <v>0</v>
      </c>
      <c r="N10" s="71"/>
      <c r="O10" s="72">
        <f>Table410016115911211512024120[[#This Row],[2014]]-Table410016115911211512024120[[#This Row],[2010]]</f>
        <v>0</v>
      </c>
      <c r="P10" s="71"/>
      <c r="Q10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1</v>
      </c>
      <c r="R10" s="75">
        <v>9</v>
      </c>
    </row>
    <row r="11" spans="1:24" ht="19">
      <c r="A11" s="70" t="s">
        <v>101</v>
      </c>
      <c r="B11" s="71"/>
      <c r="C11" s="72">
        <f>Table410016115911211512024120[[#This Row],[1990]]-Table410016115911211512024120[[#This Row],[1986]]</f>
        <v>0</v>
      </c>
      <c r="D11" s="71"/>
      <c r="E11" s="72">
        <f>Table410016115911211512024120[[#This Row],[1994]]-Table410016115911211512024120[[#This Row],[1990]]</f>
        <v>0</v>
      </c>
      <c r="F11" s="71"/>
      <c r="G11" s="72">
        <f>Table410016115911211512024120[[#This Row],[1998]]-Table410016115911211512024120[[#This Row],[1994]]</f>
        <v>0</v>
      </c>
      <c r="H11" s="71"/>
      <c r="I11" s="72">
        <f>Table410016115911211512024120[[#This Row],[2002]]-Table410016115911211512024120[[#This Row],[1998]]</f>
        <v>1</v>
      </c>
      <c r="J11" s="71">
        <v>1</v>
      </c>
      <c r="K11" s="72">
        <f>Table410016115911211512024120[[#This Row],[2006]]-Table410016115911211512024120[[#This Row],[2002]]</f>
        <v>-1</v>
      </c>
      <c r="L11" s="71"/>
      <c r="M11" s="72">
        <f>Table410016115911211512024120[[#This Row],[2010]]-Table410016115911211512024120[[#This Row],[2006]]</f>
        <v>0</v>
      </c>
      <c r="N11" s="71"/>
      <c r="O11" s="72">
        <f>Table410016115911211512024120[[#This Row],[2014]]-Table410016115911211512024120[[#This Row],[2010]]</f>
        <v>0</v>
      </c>
      <c r="P11" s="71"/>
      <c r="Q11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1</v>
      </c>
      <c r="R11" s="75">
        <v>39</v>
      </c>
      <c r="T11" s="178" t="s">
        <v>416</v>
      </c>
      <c r="U11" s="178"/>
      <c r="V11" s="178"/>
      <c r="W11" s="178"/>
      <c r="X11" s="178"/>
    </row>
    <row r="12" spans="1:24" ht="19">
      <c r="A12" s="70" t="s">
        <v>99</v>
      </c>
      <c r="B12" s="71"/>
      <c r="C12" s="72">
        <f>Table410016115911211512024120[[#This Row],[1990]]-Table410016115911211512024120[[#This Row],[1986]]</f>
        <v>0</v>
      </c>
      <c r="D12" s="71"/>
      <c r="E12" s="72">
        <f>Table410016115911211512024120[[#This Row],[1994]]-Table410016115911211512024120[[#This Row],[1990]]</f>
        <v>0</v>
      </c>
      <c r="F12" s="71"/>
      <c r="G12" s="72">
        <f>Table410016115911211512024120[[#This Row],[1998]]-Table410016115911211512024120[[#This Row],[1994]]</f>
        <v>0</v>
      </c>
      <c r="H12" s="71"/>
      <c r="I12" s="72">
        <f>Table410016115911211512024120[[#This Row],[2002]]-Table410016115911211512024120[[#This Row],[1998]]</f>
        <v>1</v>
      </c>
      <c r="J12" s="71">
        <v>1</v>
      </c>
      <c r="K12" s="72">
        <f>Table410016115911211512024120[[#This Row],[2006]]-Table410016115911211512024120[[#This Row],[2002]]</f>
        <v>-1</v>
      </c>
      <c r="L12" s="71"/>
      <c r="M12" s="72">
        <f>Table410016115911211512024120[[#This Row],[2010]]-Table410016115911211512024120[[#This Row],[2006]]</f>
        <v>0</v>
      </c>
      <c r="N12" s="71"/>
      <c r="O12" s="72">
        <f>Table410016115911211512024120[[#This Row],[2014]]-Table410016115911211512024120[[#This Row],[2010]]</f>
        <v>1</v>
      </c>
      <c r="P12" s="71">
        <v>1</v>
      </c>
      <c r="Q12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2</v>
      </c>
      <c r="R12" s="75">
        <v>22</v>
      </c>
      <c r="T12" s="65" t="s">
        <v>410</v>
      </c>
      <c r="U12" s="66" t="s">
        <v>411</v>
      </c>
      <c r="V12" s="67" t="s">
        <v>412</v>
      </c>
      <c r="W12" s="68" t="s">
        <v>413</v>
      </c>
      <c r="X12" s="69" t="s">
        <v>414</v>
      </c>
    </row>
    <row r="13" spans="1:24" ht="19">
      <c r="A13" s="70" t="s">
        <v>90</v>
      </c>
      <c r="B13" s="71"/>
      <c r="C13" s="72">
        <f>Table410016115911211512024120[[#This Row],[1990]]-Table410016115911211512024120[[#This Row],[1986]]</f>
        <v>0</v>
      </c>
      <c r="D13" s="71"/>
      <c r="E13" s="72">
        <f>Table410016115911211512024120[[#This Row],[1994]]-Table410016115911211512024120[[#This Row],[1990]]</f>
        <v>0</v>
      </c>
      <c r="F13" s="71"/>
      <c r="G13" s="72">
        <f>Table410016115911211512024120[[#This Row],[1998]]-Table410016115911211512024120[[#This Row],[1994]]</f>
        <v>0</v>
      </c>
      <c r="H13" s="71"/>
      <c r="I13" s="72">
        <f>Table410016115911211512024120[[#This Row],[2002]]-Table410016115911211512024120[[#This Row],[1998]]</f>
        <v>0</v>
      </c>
      <c r="J13" s="71"/>
      <c r="K13" s="72">
        <f>Table410016115911211512024120[[#This Row],[2006]]-Table410016115911211512024120[[#This Row],[2002]]</f>
        <v>0</v>
      </c>
      <c r="L13" s="71"/>
      <c r="M13" s="72">
        <f>Table410016115911211512024120[[#This Row],[2010]]-Table410016115911211512024120[[#This Row],[2006]]</f>
        <v>0</v>
      </c>
      <c r="N13" s="71"/>
      <c r="O13" s="72">
        <f>Table410016115911211512024120[[#This Row],[2014]]-Table410016115911211512024120[[#This Row],[2010]]</f>
        <v>1</v>
      </c>
      <c r="P13" s="71">
        <v>1</v>
      </c>
      <c r="Q13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1</v>
      </c>
      <c r="R13" s="75">
        <v>18</v>
      </c>
      <c r="T13" s="9">
        <f>R9</f>
        <v>57</v>
      </c>
      <c r="U13" s="9">
        <f>R19</f>
        <v>151</v>
      </c>
      <c r="V13" s="9">
        <f>R25</f>
        <v>49</v>
      </c>
      <c r="W13" s="9">
        <f>R30</f>
        <v>179</v>
      </c>
      <c r="X13" s="9">
        <f>R34</f>
        <v>77</v>
      </c>
    </row>
    <row r="14" spans="1:24" ht="19">
      <c r="A14" s="70" t="s">
        <v>79</v>
      </c>
      <c r="B14" s="71"/>
      <c r="C14" s="72">
        <f>Table410016115911211512024120[[#This Row],[1990]]-Table410016115911211512024120[[#This Row],[1986]]</f>
        <v>0</v>
      </c>
      <c r="D14" s="71"/>
      <c r="E14" s="72">
        <f>Table410016115911211512024120[[#This Row],[1994]]-Table410016115911211512024120[[#This Row],[1990]]</f>
        <v>0</v>
      </c>
      <c r="F14" s="71"/>
      <c r="G14" s="72">
        <f>Table410016115911211512024120[[#This Row],[1998]]-Table410016115911211512024120[[#This Row],[1994]]</f>
        <v>0</v>
      </c>
      <c r="H14" s="71"/>
      <c r="I14" s="72">
        <f>Table410016115911211512024120[[#This Row],[2002]]-Table410016115911211512024120[[#This Row],[1998]]</f>
        <v>0</v>
      </c>
      <c r="J14" s="71"/>
      <c r="K14" s="72">
        <f>Table410016115911211512024120[[#This Row],[2006]]-Table410016115911211512024120[[#This Row],[2002]]</f>
        <v>0</v>
      </c>
      <c r="L14" s="71"/>
      <c r="M14" s="72">
        <f>Table410016115911211512024120[[#This Row],[2010]]-Table410016115911211512024120[[#This Row],[2006]]</f>
        <v>0</v>
      </c>
      <c r="N14" s="71"/>
      <c r="O14" s="72">
        <f>Table410016115911211512024120[[#This Row],[2014]]-Table410016115911211512024120[[#This Row],[2010]]</f>
        <v>0</v>
      </c>
      <c r="P14" s="71"/>
      <c r="Q14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0</v>
      </c>
      <c r="R14" s="75">
        <v>12</v>
      </c>
      <c r="T14" s="44">
        <f>(N9/T13)*100</f>
        <v>3.5087719298245612</v>
      </c>
      <c r="U14" s="44">
        <f>(N19/U13)*100</f>
        <v>0</v>
      </c>
      <c r="V14" s="44">
        <f>(N25/V13)*100</f>
        <v>2.0408163265306123</v>
      </c>
      <c r="W14" s="44">
        <f>(N30/W13)*100</f>
        <v>3.3519553072625698</v>
      </c>
      <c r="X14" s="44">
        <f>(N34/X13)*100</f>
        <v>3.8961038961038961</v>
      </c>
    </row>
    <row r="15" spans="1:24" ht="19">
      <c r="A15" s="70" t="s">
        <v>77</v>
      </c>
      <c r="B15" s="71"/>
      <c r="C15" s="72">
        <f>Table410016115911211512024120[[#This Row],[1990]]-Table410016115911211512024120[[#This Row],[1986]]</f>
        <v>1</v>
      </c>
      <c r="D15" s="71">
        <v>1</v>
      </c>
      <c r="E15" s="72">
        <f>Table410016115911211512024120[[#This Row],[1994]]-Table410016115911211512024120[[#This Row],[1990]]</f>
        <v>-1</v>
      </c>
      <c r="F15" s="71"/>
      <c r="G15" s="72">
        <f>Table410016115911211512024120[[#This Row],[1998]]-Table410016115911211512024120[[#This Row],[1994]]</f>
        <v>0</v>
      </c>
      <c r="H15" s="71"/>
      <c r="I15" s="72">
        <f>Table410016115911211512024120[[#This Row],[2002]]-Table410016115911211512024120[[#This Row],[1998]]</f>
        <v>1</v>
      </c>
      <c r="J15" s="71">
        <v>1</v>
      </c>
      <c r="K15" s="72">
        <f>Table410016115911211512024120[[#This Row],[2006]]-Table410016115911211512024120[[#This Row],[2002]]</f>
        <v>0</v>
      </c>
      <c r="L15" s="71">
        <v>1</v>
      </c>
      <c r="M15" s="72">
        <f>Table410016115911211512024120[[#This Row],[2010]]-Table410016115911211512024120[[#This Row],[2006]]</f>
        <v>-1</v>
      </c>
      <c r="N15" s="71"/>
      <c r="O15" s="72">
        <f>Table410016115911211512024120[[#This Row],[2014]]-Table410016115911211512024120[[#This Row],[2010]]</f>
        <v>0</v>
      </c>
      <c r="P15" s="71"/>
      <c r="Q15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3</v>
      </c>
      <c r="R15" s="75">
        <v>25</v>
      </c>
    </row>
    <row r="16" spans="1:24" ht="19">
      <c r="A16" s="70" t="s">
        <v>75</v>
      </c>
      <c r="B16" s="72"/>
      <c r="C16" s="72">
        <f>Table410016115911211512024120[[#This Row],[1990]]-Table410016115911211512024120[[#This Row],[1986]]</f>
        <v>0</v>
      </c>
      <c r="D16" s="72"/>
      <c r="E16" s="72">
        <f>Table410016115911211512024120[[#This Row],[1994]]-Table410016115911211512024120[[#This Row],[1990]]</f>
        <v>0</v>
      </c>
      <c r="F16" s="72"/>
      <c r="G16" s="72">
        <f>Table410016115911211512024120[[#This Row],[1998]]-Table410016115911211512024120[[#This Row],[1994]]</f>
        <v>0</v>
      </c>
      <c r="H16" s="72"/>
      <c r="I16" s="72">
        <f>Table410016115911211512024120[[#This Row],[2002]]-Table410016115911211512024120[[#This Row],[1998]]</f>
        <v>0</v>
      </c>
      <c r="J16" s="72"/>
      <c r="K16" s="72">
        <f>Table410016115911211512024120[[#This Row],[2006]]-Table410016115911211512024120[[#This Row],[2002]]</f>
        <v>0</v>
      </c>
      <c r="L16" s="72"/>
      <c r="M16" s="72">
        <f>Table410016115911211512024120[[#This Row],[2010]]-Table410016115911211512024120[[#This Row],[2006]]</f>
        <v>0</v>
      </c>
      <c r="N16" s="72"/>
      <c r="O16" s="72">
        <f>Table410016115911211512024120[[#This Row],[2014]]-Table410016115911211512024120[[#This Row],[2010]]</f>
        <v>0</v>
      </c>
      <c r="P16" s="72"/>
      <c r="Q16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0</v>
      </c>
      <c r="R16" s="75">
        <v>10</v>
      </c>
      <c r="T16" s="178" t="s">
        <v>417</v>
      </c>
      <c r="U16" s="178"/>
      <c r="V16" s="178"/>
      <c r="W16" s="178"/>
      <c r="X16" s="178"/>
    </row>
    <row r="17" spans="1:24" ht="19">
      <c r="A17" s="70" t="s">
        <v>69</v>
      </c>
      <c r="B17" s="71"/>
      <c r="C17" s="72">
        <f>Table410016115911211512024120[[#This Row],[1990]]-Table410016115911211512024120[[#This Row],[1986]]</f>
        <v>0</v>
      </c>
      <c r="D17" s="71"/>
      <c r="E17" s="72">
        <f>Table410016115911211512024120[[#This Row],[1994]]-Table410016115911211512024120[[#This Row],[1990]]</f>
        <v>0</v>
      </c>
      <c r="F17" s="71"/>
      <c r="G17" s="72">
        <f>Table410016115911211512024120[[#This Row],[1998]]-Table410016115911211512024120[[#This Row],[1994]]</f>
        <v>0</v>
      </c>
      <c r="H17" s="71"/>
      <c r="I17" s="72">
        <f>Table410016115911211512024120[[#This Row],[2002]]-Table410016115911211512024120[[#This Row],[1998]]</f>
        <v>0</v>
      </c>
      <c r="J17" s="71"/>
      <c r="K17" s="72">
        <f>Table410016115911211512024120[[#This Row],[2006]]-Table410016115911211512024120[[#This Row],[2002]]</f>
        <v>0</v>
      </c>
      <c r="L17" s="71"/>
      <c r="M17" s="72">
        <f>Table410016115911211512024120[[#This Row],[2010]]-Table410016115911211512024120[[#This Row],[2006]]</f>
        <v>0</v>
      </c>
      <c r="N17" s="71"/>
      <c r="O17" s="72">
        <f>Table410016115911211512024120[[#This Row],[2014]]-Table410016115911211512024120[[#This Row],[2010]]</f>
        <v>0</v>
      </c>
      <c r="P17" s="71"/>
      <c r="Q17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0</v>
      </c>
      <c r="R17" s="75">
        <v>8</v>
      </c>
      <c r="T17" s="65" t="s">
        <v>410</v>
      </c>
      <c r="U17" s="66" t="s">
        <v>411</v>
      </c>
      <c r="V17" s="67" t="s">
        <v>412</v>
      </c>
      <c r="W17" s="68" t="s">
        <v>413</v>
      </c>
      <c r="X17" s="69" t="s">
        <v>414</v>
      </c>
    </row>
    <row r="18" spans="1:24" ht="19">
      <c r="A18" s="70" t="s">
        <v>56</v>
      </c>
      <c r="B18" s="71"/>
      <c r="C18" s="72">
        <f>Table410016115911211512024120[[#This Row],[1990]]-Table410016115911211512024120[[#This Row],[1986]]</f>
        <v>0</v>
      </c>
      <c r="D18" s="71"/>
      <c r="E18" s="72">
        <f>Table410016115911211512024120[[#This Row],[1994]]-Table410016115911211512024120[[#This Row],[1990]]</f>
        <v>0</v>
      </c>
      <c r="F18" s="71"/>
      <c r="G18" s="72">
        <f>Table410016115911211512024120[[#This Row],[1998]]-Table410016115911211512024120[[#This Row],[1994]]</f>
        <v>1</v>
      </c>
      <c r="H18" s="71">
        <v>1</v>
      </c>
      <c r="I18" s="72">
        <f>Table410016115911211512024120[[#This Row],[2002]]-Table410016115911211512024120[[#This Row],[1998]]</f>
        <v>-1</v>
      </c>
      <c r="J18" s="71"/>
      <c r="K18" s="72">
        <f>Table410016115911211512024120[[#This Row],[2006]]-Table410016115911211512024120[[#This Row],[2002]]</f>
        <v>0</v>
      </c>
      <c r="L18" s="71"/>
      <c r="M18" s="72">
        <f>Table410016115911211512024120[[#This Row],[2010]]-Table410016115911211512024120[[#This Row],[2006]]</f>
        <v>0</v>
      </c>
      <c r="N18" s="71"/>
      <c r="O18" s="72">
        <f>Table410016115911211512024120[[#This Row],[2014]]-Table410016115911211512024120[[#This Row],[2010]]</f>
        <v>0</v>
      </c>
      <c r="P18" s="71"/>
      <c r="Q18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1</v>
      </c>
      <c r="R18" s="75">
        <v>8</v>
      </c>
      <c r="T18" s="9">
        <f>R9</f>
        <v>57</v>
      </c>
      <c r="U18" s="9">
        <f>R19</f>
        <v>151</v>
      </c>
      <c r="V18" s="9">
        <f>R25</f>
        <v>49</v>
      </c>
      <c r="W18" s="9">
        <f>R30</f>
        <v>179</v>
      </c>
      <c r="X18" s="9">
        <f>R34</f>
        <v>77</v>
      </c>
    </row>
    <row r="19" spans="1:24" ht="19">
      <c r="A19" s="83" t="s">
        <v>411</v>
      </c>
      <c r="B19" s="84">
        <f>SUM(B10:B18)</f>
        <v>0</v>
      </c>
      <c r="C19" s="84">
        <f>Table410016115911211512024120[[#This Row],[1990]]-Table410016115911211512024120[[#This Row],[1986]]</f>
        <v>1</v>
      </c>
      <c r="D19" s="84">
        <f>SUM(D10:D18)</f>
        <v>1</v>
      </c>
      <c r="E19" s="80">
        <f>Table410016115911211512024120[[#This Row],[1994]]-Table410016115911211512024120[[#This Row],[1990]]</f>
        <v>-1</v>
      </c>
      <c r="F19" s="84">
        <f>SUM(F10:F18)</f>
        <v>0</v>
      </c>
      <c r="G19" s="80">
        <f>Table410016115911211512024120[[#This Row],[1998]]-Table410016115911211512024120[[#This Row],[1994]]</f>
        <v>2</v>
      </c>
      <c r="H19" s="84">
        <f>SUM(H10:H18)</f>
        <v>2</v>
      </c>
      <c r="I19" s="80">
        <f>Table410016115911211512024120[[#This Row],[2002]]-Table410016115911211512024120[[#This Row],[1998]]</f>
        <v>1</v>
      </c>
      <c r="J19" s="84">
        <f>SUM(J10:J18)</f>
        <v>3</v>
      </c>
      <c r="K19" s="80">
        <f>Table410016115911211512024120[[#This Row],[2006]]-Table410016115911211512024120[[#This Row],[2002]]</f>
        <v>-2</v>
      </c>
      <c r="L19" s="84">
        <f>SUM(L10:L18)</f>
        <v>1</v>
      </c>
      <c r="M19" s="80">
        <f>Table410016115911211512024120[[#This Row],[2010]]-Table410016115911211512024120[[#This Row],[2006]]</f>
        <v>-1</v>
      </c>
      <c r="N19" s="84">
        <f>SUM(N10:N18)</f>
        <v>0</v>
      </c>
      <c r="O19" s="80">
        <f>Table410016115911211512024120[[#This Row],[2014]]-Table410016115911211512024120[[#This Row],[2010]]</f>
        <v>2</v>
      </c>
      <c r="P19" s="84">
        <f>SUM(P10:P18)</f>
        <v>2</v>
      </c>
      <c r="Q19" s="85">
        <f>SUM(Q10:Q18)</f>
        <v>9</v>
      </c>
      <c r="R19" s="43">
        <v>151</v>
      </c>
      <c r="T19" s="44">
        <f>(L9/T18)*100</f>
        <v>3.5087719298245612</v>
      </c>
      <c r="U19" s="44">
        <f>(L19/U18)*100</f>
        <v>0.66225165562913912</v>
      </c>
      <c r="V19" s="44">
        <f>(L25/V18)*100</f>
        <v>4.0816326530612246</v>
      </c>
      <c r="W19" s="44">
        <f>(L30/W18)*100</f>
        <v>4.4692737430167595</v>
      </c>
      <c r="X19" s="44">
        <f>(L34/X18)*100</f>
        <v>3.8961038961038961</v>
      </c>
    </row>
    <row r="20" spans="1:24" ht="19">
      <c r="A20" s="70" t="s">
        <v>97</v>
      </c>
      <c r="B20" s="71"/>
      <c r="C20" s="72">
        <f>Table410016115911211512024120[[#This Row],[1990]]-Table410016115911211512024120[[#This Row],[1986]]</f>
        <v>1</v>
      </c>
      <c r="D20" s="71">
        <v>1</v>
      </c>
      <c r="E20" s="72">
        <f>Table410016115911211512024120[[#This Row],[1994]]-Table410016115911211512024120[[#This Row],[1990]]</f>
        <v>0</v>
      </c>
      <c r="F20" s="71">
        <v>1</v>
      </c>
      <c r="G20" s="72">
        <f>Table410016115911211512024120[[#This Row],[1998]]-Table410016115911211512024120[[#This Row],[1994]]</f>
        <v>-1</v>
      </c>
      <c r="H20" s="71"/>
      <c r="I20" s="72">
        <f>Table410016115911211512024120[[#This Row],[2002]]-Table410016115911211512024120[[#This Row],[1998]]</f>
        <v>0</v>
      </c>
      <c r="J20" s="71"/>
      <c r="K20" s="72">
        <f>Table410016115911211512024120[[#This Row],[2006]]-Table410016115911211512024120[[#This Row],[2002]]</f>
        <v>1</v>
      </c>
      <c r="L20" s="71">
        <v>1</v>
      </c>
      <c r="M20" s="72">
        <f>Table410016115911211512024120[[#This Row],[2010]]-Table410016115911211512024120[[#This Row],[2006]]</f>
        <v>-1</v>
      </c>
      <c r="N20" s="71"/>
      <c r="O20" s="72">
        <f>Table410016115911211512024120[[#This Row],[2014]]-Table410016115911211512024120[[#This Row],[2010]]</f>
        <v>0</v>
      </c>
      <c r="P20" s="71"/>
      <c r="Q20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3</v>
      </c>
      <c r="R20" s="75">
        <v>8</v>
      </c>
    </row>
    <row r="21" spans="1:24" ht="19">
      <c r="A21" s="86" t="s">
        <v>94</v>
      </c>
      <c r="B21" s="71"/>
      <c r="C21" s="72">
        <f>Table410016115911211512024120[[#This Row],[1990]]-Table410016115911211512024120[[#This Row],[1986]]</f>
        <v>0</v>
      </c>
      <c r="D21" s="71"/>
      <c r="E21" s="72">
        <f>Table410016115911211512024120[[#This Row],[1994]]-Table410016115911211512024120[[#This Row],[1990]]</f>
        <v>0</v>
      </c>
      <c r="F21" s="71"/>
      <c r="G21" s="72">
        <f>Table410016115911211512024120[[#This Row],[1998]]-Table410016115911211512024120[[#This Row],[1994]]</f>
        <v>0</v>
      </c>
      <c r="H21" s="71"/>
      <c r="I21" s="72">
        <f>Table410016115911211512024120[[#This Row],[2002]]-Table410016115911211512024120[[#This Row],[1998]]</f>
        <v>0</v>
      </c>
      <c r="J21" s="71"/>
      <c r="K21" s="72">
        <f>Table410016115911211512024120[[#This Row],[2006]]-Table410016115911211512024120[[#This Row],[2002]]</f>
        <v>0</v>
      </c>
      <c r="L21" s="71"/>
      <c r="M21" s="72">
        <f>Table410016115911211512024120[[#This Row],[2010]]-Table410016115911211512024120[[#This Row],[2006]]</f>
        <v>0</v>
      </c>
      <c r="N21" s="71"/>
      <c r="O21" s="72">
        <f>Table410016115911211512024120[[#This Row],[2014]]-Table410016115911211512024120[[#This Row],[2010]]</f>
        <v>1</v>
      </c>
      <c r="P21" s="71">
        <v>1</v>
      </c>
      <c r="Q21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1</v>
      </c>
      <c r="R21" s="75">
        <v>17</v>
      </c>
      <c r="T21" s="178" t="s">
        <v>418</v>
      </c>
      <c r="U21" s="178"/>
      <c r="V21" s="178"/>
      <c r="W21" s="178"/>
      <c r="X21" s="178"/>
    </row>
    <row r="22" spans="1:24" ht="19">
      <c r="A22" s="88" t="s">
        <v>85</v>
      </c>
      <c r="B22" s="71"/>
      <c r="C22" s="72">
        <f>Table410016115911211512024120[[#This Row],[1990]]-Table410016115911211512024120[[#This Row],[1986]]</f>
        <v>0</v>
      </c>
      <c r="D22" s="71"/>
      <c r="E22" s="72">
        <f>Table410016115911211512024120[[#This Row],[1994]]-Table410016115911211512024120[[#This Row],[1990]]</f>
        <v>0</v>
      </c>
      <c r="F22" s="71"/>
      <c r="G22" s="72">
        <f>Table410016115911211512024120[[#This Row],[1998]]-Table410016115911211512024120[[#This Row],[1994]]</f>
        <v>0</v>
      </c>
      <c r="H22" s="71"/>
      <c r="I22" s="72">
        <f>Table410016115911211512024120[[#This Row],[2002]]-Table410016115911211512024120[[#This Row],[1998]]</f>
        <v>1</v>
      </c>
      <c r="J22" s="71">
        <v>1</v>
      </c>
      <c r="K22" s="72">
        <f>Table410016115911211512024120[[#This Row],[2006]]-Table410016115911211512024120[[#This Row],[2002]]</f>
        <v>0</v>
      </c>
      <c r="L22" s="71">
        <v>1</v>
      </c>
      <c r="M22" s="72">
        <f>Table410016115911211512024120[[#This Row],[2010]]-Table410016115911211512024120[[#This Row],[2006]]</f>
        <v>-1</v>
      </c>
      <c r="N22" s="71"/>
      <c r="O22" s="72">
        <f>Table410016115911211512024120[[#This Row],[2014]]-Table410016115911211512024120[[#This Row],[2010]]</f>
        <v>0</v>
      </c>
      <c r="P22" s="71"/>
      <c r="Q22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2</v>
      </c>
      <c r="R22" s="75">
        <v>8</v>
      </c>
      <c r="T22" s="65" t="s">
        <v>410</v>
      </c>
      <c r="U22" s="66" t="s">
        <v>411</v>
      </c>
      <c r="V22" s="67" t="s">
        <v>412</v>
      </c>
      <c r="W22" s="68" t="s">
        <v>413</v>
      </c>
      <c r="X22" s="69" t="s">
        <v>414</v>
      </c>
    </row>
    <row r="23" spans="1:24" ht="19">
      <c r="A23" s="88" t="s">
        <v>83</v>
      </c>
      <c r="B23" s="71"/>
      <c r="C23" s="72">
        <f>Table410016115911211512024120[[#This Row],[1990]]-Table410016115911211512024120[[#This Row],[1986]]</f>
        <v>0</v>
      </c>
      <c r="D23" s="71"/>
      <c r="E23" s="72">
        <f>Table410016115911211512024120[[#This Row],[1994]]-Table410016115911211512024120[[#This Row],[1990]]</f>
        <v>0</v>
      </c>
      <c r="F23" s="71"/>
      <c r="G23" s="72">
        <f>Table410016115911211512024120[[#This Row],[1998]]-Table410016115911211512024120[[#This Row],[1994]]</f>
        <v>0</v>
      </c>
      <c r="H23" s="71"/>
      <c r="I23" s="72">
        <f>Table410016115911211512024120[[#This Row],[2002]]-Table410016115911211512024120[[#This Row],[1998]]</f>
        <v>0</v>
      </c>
      <c r="J23" s="71"/>
      <c r="K23" s="72">
        <f>Table410016115911211512024120[[#This Row],[2006]]-Table410016115911211512024120[[#This Row],[2002]]</f>
        <v>0</v>
      </c>
      <c r="L23" s="71"/>
      <c r="M23" s="72">
        <f>Table410016115911211512024120[[#This Row],[2010]]-Table410016115911211512024120[[#This Row],[2006]]</f>
        <v>0</v>
      </c>
      <c r="N23" s="71"/>
      <c r="O23" s="72">
        <f>Table410016115911211512024120[[#This Row],[2014]]-Table410016115911211512024120[[#This Row],[2010]]</f>
        <v>0</v>
      </c>
      <c r="P23" s="71"/>
      <c r="Q23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0</v>
      </c>
      <c r="R23" s="75">
        <v>8</v>
      </c>
      <c r="T23" s="9">
        <f>R9</f>
        <v>57</v>
      </c>
      <c r="U23" s="9">
        <f>R19</f>
        <v>151</v>
      </c>
      <c r="V23" s="9">
        <f>R25</f>
        <v>49</v>
      </c>
      <c r="W23" s="9">
        <f>R30</f>
        <v>179</v>
      </c>
      <c r="X23" s="9">
        <f>R34</f>
        <v>77</v>
      </c>
    </row>
    <row r="24" spans="1:24" ht="19">
      <c r="A24" s="88" t="s">
        <v>52</v>
      </c>
      <c r="B24" s="71"/>
      <c r="C24" s="72">
        <f>Table410016115911211512024120[[#This Row],[1990]]-Table410016115911211512024120[[#This Row],[1986]]</f>
        <v>0</v>
      </c>
      <c r="D24" s="71"/>
      <c r="E24" s="72">
        <f>Table410016115911211512024120[[#This Row],[1994]]-Table410016115911211512024120[[#This Row],[1990]]</f>
        <v>0</v>
      </c>
      <c r="F24" s="71"/>
      <c r="G24" s="72">
        <f>Table410016115911211512024120[[#This Row],[1998]]-Table410016115911211512024120[[#This Row],[1994]]</f>
        <v>0</v>
      </c>
      <c r="H24" s="71"/>
      <c r="I24" s="72">
        <f>Table410016115911211512024120[[#This Row],[2002]]-Table410016115911211512024120[[#This Row],[1998]]</f>
        <v>0</v>
      </c>
      <c r="J24" s="71"/>
      <c r="K24" s="72">
        <f>Table410016115911211512024120[[#This Row],[2006]]-Table410016115911211512024120[[#This Row],[2002]]</f>
        <v>0</v>
      </c>
      <c r="L24" s="71"/>
      <c r="M24" s="72">
        <f>Table410016115911211512024120[[#This Row],[2010]]-Table410016115911211512024120[[#This Row],[2006]]</f>
        <v>1</v>
      </c>
      <c r="N24" s="71">
        <v>1</v>
      </c>
      <c r="O24" s="72">
        <f>Table410016115911211512024120[[#This Row],[2014]]-Table410016115911211512024120[[#This Row],[2010]]</f>
        <v>-1</v>
      </c>
      <c r="P24" s="71"/>
      <c r="Q24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1</v>
      </c>
      <c r="R24" s="75">
        <v>8</v>
      </c>
      <c r="T24" s="44">
        <f>(J9/T23)*100</f>
        <v>3.5087719298245612</v>
      </c>
      <c r="U24" s="44">
        <f>(J19/U23)*100</f>
        <v>1.9867549668874174</v>
      </c>
      <c r="V24" s="44">
        <f>(J25/V23)*100</f>
        <v>2.0408163265306123</v>
      </c>
      <c r="W24" s="44">
        <f>(J30/W23)*100</f>
        <v>2.7932960893854748</v>
      </c>
      <c r="X24" s="44">
        <f>(J34/X23)*100</f>
        <v>3.8961038961038961</v>
      </c>
    </row>
    <row r="25" spans="1:24" ht="19">
      <c r="A25" s="89" t="s">
        <v>412</v>
      </c>
      <c r="B25" s="79">
        <f>SUM(B20:B24)</f>
        <v>0</v>
      </c>
      <c r="C25" s="79">
        <f>Table410016115911211512024120[[#This Row],[1990]]-Table410016115911211512024120[[#This Row],[1986]]</f>
        <v>1</v>
      </c>
      <c r="D25" s="79">
        <f>SUM(D20:D24)</f>
        <v>1</v>
      </c>
      <c r="E25" s="80">
        <f>Table410016115911211512024120[[#This Row],[1994]]-Table410016115911211512024120[[#This Row],[1990]]</f>
        <v>0</v>
      </c>
      <c r="F25" s="79">
        <f>SUM(F20:F24)</f>
        <v>1</v>
      </c>
      <c r="G25" s="80">
        <f>Table410016115911211512024120[[#This Row],[1998]]-Table410016115911211512024120[[#This Row],[1994]]</f>
        <v>-1</v>
      </c>
      <c r="H25" s="79">
        <f>SUM(H20:H24)</f>
        <v>0</v>
      </c>
      <c r="I25" s="80">
        <f>Table410016115911211512024120[[#This Row],[2002]]-Table410016115911211512024120[[#This Row],[1998]]</f>
        <v>1</v>
      </c>
      <c r="J25" s="79">
        <f>SUM(J20:J24)</f>
        <v>1</v>
      </c>
      <c r="K25" s="80">
        <f>Table410016115911211512024120[[#This Row],[2006]]-Table410016115911211512024120[[#This Row],[2002]]</f>
        <v>1</v>
      </c>
      <c r="L25" s="79">
        <f>SUM(L20:L24)</f>
        <v>2</v>
      </c>
      <c r="M25" s="80">
        <f>Table410016115911211512024120[[#This Row],[2010]]-Table410016115911211512024120[[#This Row],[2006]]</f>
        <v>-1</v>
      </c>
      <c r="N25" s="79">
        <f>SUM(N20:N24)</f>
        <v>1</v>
      </c>
      <c r="O25" s="80">
        <f>Table410016115911211512024120[[#This Row],[2014]]-Table410016115911211512024120[[#This Row],[2010]]</f>
        <v>0</v>
      </c>
      <c r="P25" s="79">
        <f>SUM(P20:P24)</f>
        <v>1</v>
      </c>
      <c r="Q25" s="90">
        <f>SUM(Q20:Q24)</f>
        <v>7</v>
      </c>
      <c r="R25" s="91">
        <v>49</v>
      </c>
    </row>
    <row r="26" spans="1:24" ht="19">
      <c r="A26" s="88" t="s">
        <v>95</v>
      </c>
      <c r="B26" s="71"/>
      <c r="C26" s="72">
        <f>Table410016115911211512024120[[#This Row],[1990]]-Table410016115911211512024120[[#This Row],[1986]]</f>
        <v>0</v>
      </c>
      <c r="D26" s="71"/>
      <c r="E26" s="72">
        <f>Table410016115911211512024120[[#This Row],[1994]]-Table410016115911211512024120[[#This Row],[1990]]</f>
        <v>0</v>
      </c>
      <c r="F26" s="71"/>
      <c r="G26" s="72">
        <f>Table410016115911211512024120[[#This Row],[1998]]-Table410016115911211512024120[[#This Row],[1994]]</f>
        <v>0</v>
      </c>
      <c r="H26" s="71"/>
      <c r="I26" s="72">
        <f>Table410016115911211512024120[[#This Row],[2002]]-Table410016115911211512024120[[#This Row],[1998]]</f>
        <v>0</v>
      </c>
      <c r="J26" s="71"/>
      <c r="K26" s="72">
        <f>Table410016115911211512024120[[#This Row],[2006]]-Table410016115911211512024120[[#This Row],[2002]]</f>
        <v>0</v>
      </c>
      <c r="L26" s="71"/>
      <c r="M26" s="72">
        <f>Table410016115911211512024120[[#This Row],[2010]]-Table410016115911211512024120[[#This Row],[2006]]</f>
        <v>0</v>
      </c>
      <c r="N26" s="71"/>
      <c r="O26" s="72">
        <f>Table410016115911211512024120[[#This Row],[2014]]-Table410016115911211512024120[[#This Row],[2010]]</f>
        <v>0</v>
      </c>
      <c r="P26" s="71"/>
      <c r="Q26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0</v>
      </c>
      <c r="R26" s="75">
        <v>10</v>
      </c>
      <c r="T26" s="178" t="s">
        <v>419</v>
      </c>
      <c r="U26" s="178"/>
      <c r="V26" s="178"/>
      <c r="W26" s="178"/>
      <c r="X26" s="178"/>
    </row>
    <row r="27" spans="1:24" ht="19">
      <c r="A27" s="88" t="s">
        <v>88</v>
      </c>
      <c r="B27" s="71"/>
      <c r="C27" s="72">
        <f>Table410016115911211512024120[[#This Row],[1990]]-Table410016115911211512024120[[#This Row],[1986]]</f>
        <v>0</v>
      </c>
      <c r="D27" s="71"/>
      <c r="E27" s="72">
        <f>Table410016115911211512024120[[#This Row],[1994]]-Table410016115911211512024120[[#This Row],[1990]]</f>
        <v>0</v>
      </c>
      <c r="F27" s="71"/>
      <c r="G27" s="72">
        <f>Table410016115911211512024120[[#This Row],[1998]]-Table410016115911211512024120[[#This Row],[1994]]</f>
        <v>0</v>
      </c>
      <c r="H27" s="71"/>
      <c r="I27" s="72">
        <f>Table410016115911211512024120[[#This Row],[2002]]-Table410016115911211512024120[[#This Row],[1998]]</f>
        <v>2</v>
      </c>
      <c r="J27" s="71">
        <v>2</v>
      </c>
      <c r="K27" s="72">
        <f>Table410016115911211512024120[[#This Row],[2006]]-Table410016115911211512024120[[#This Row],[2002]]</f>
        <v>2</v>
      </c>
      <c r="L27" s="71">
        <v>4</v>
      </c>
      <c r="M27" s="72">
        <f>Table410016115911211512024120[[#This Row],[2010]]-Table410016115911211512024120[[#This Row],[2006]]</f>
        <v>-2</v>
      </c>
      <c r="N27" s="71">
        <v>2</v>
      </c>
      <c r="O27" s="72">
        <f>Table410016115911211512024120[[#This Row],[2014]]-Table410016115911211512024120[[#This Row],[2010]]</f>
        <v>-2</v>
      </c>
      <c r="P27" s="71"/>
      <c r="Q27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8</v>
      </c>
      <c r="R27" s="75">
        <v>53</v>
      </c>
      <c r="T27" s="65" t="s">
        <v>410</v>
      </c>
      <c r="U27" s="66" t="s">
        <v>411</v>
      </c>
      <c r="V27" s="67" t="s">
        <v>412</v>
      </c>
      <c r="W27" s="68" t="s">
        <v>413</v>
      </c>
      <c r="X27" s="69" t="s">
        <v>414</v>
      </c>
    </row>
    <row r="28" spans="1:24" ht="19">
      <c r="A28" s="88" t="s">
        <v>72</v>
      </c>
      <c r="B28" s="71"/>
      <c r="C28" s="72">
        <f>Table410016115911211512024120[[#This Row],[1990]]-Table410016115911211512024120[[#This Row],[1986]]</f>
        <v>1</v>
      </c>
      <c r="D28" s="71">
        <v>1</v>
      </c>
      <c r="E28" s="72">
        <f>Table410016115911211512024120[[#This Row],[1994]]-Table410016115911211512024120[[#This Row],[1990]]</f>
        <v>0</v>
      </c>
      <c r="F28" s="71">
        <v>1</v>
      </c>
      <c r="G28" s="72">
        <f>Table410016115911211512024120[[#This Row],[1998]]-Table410016115911211512024120[[#This Row],[1994]]</f>
        <v>-1</v>
      </c>
      <c r="H28" s="71"/>
      <c r="I28" s="72">
        <f>Table410016115911211512024120[[#This Row],[2002]]-Table410016115911211512024120[[#This Row],[1998]]</f>
        <v>0</v>
      </c>
      <c r="J28" s="71"/>
      <c r="K28" s="72">
        <f>Table410016115911211512024120[[#This Row],[2006]]-Table410016115911211512024120[[#This Row],[2002]]</f>
        <v>2</v>
      </c>
      <c r="L28" s="71">
        <v>2</v>
      </c>
      <c r="M28" s="72">
        <f>Table410016115911211512024120[[#This Row],[2010]]-Table410016115911211512024120[[#This Row],[2006]]</f>
        <v>-1</v>
      </c>
      <c r="N28" s="71">
        <v>1</v>
      </c>
      <c r="O28" s="72">
        <f>Table410016115911211512024120[[#This Row],[2014]]-Table410016115911211512024120[[#This Row],[2010]]</f>
        <v>-1</v>
      </c>
      <c r="P28" s="71"/>
      <c r="Q28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5</v>
      </c>
      <c r="R28" s="75">
        <v>46</v>
      </c>
      <c r="T28" s="9">
        <f>R9</f>
        <v>57</v>
      </c>
      <c r="U28" s="9">
        <f>R19</f>
        <v>151</v>
      </c>
      <c r="V28" s="9">
        <f>R25</f>
        <v>49</v>
      </c>
      <c r="W28" s="9">
        <f>R30</f>
        <v>179</v>
      </c>
      <c r="X28" s="9">
        <f>R34</f>
        <v>77</v>
      </c>
    </row>
    <row r="29" spans="1:24" ht="19">
      <c r="A29" s="88" t="s">
        <v>54</v>
      </c>
      <c r="B29" s="71"/>
      <c r="C29" s="72">
        <f>Table410016115911211512024120[[#This Row],[1990]]-Table410016115911211512024120[[#This Row],[1986]]</f>
        <v>0</v>
      </c>
      <c r="D29" s="71"/>
      <c r="E29" s="72">
        <f>Table410016115911211512024120[[#This Row],[1994]]-Table410016115911211512024120[[#This Row],[1990]]</f>
        <v>0</v>
      </c>
      <c r="F29" s="71"/>
      <c r="G29" s="72">
        <f>Table410016115911211512024120[[#This Row],[1998]]-Table410016115911211512024120[[#This Row],[1994]]</f>
        <v>1</v>
      </c>
      <c r="H29" s="71">
        <v>1</v>
      </c>
      <c r="I29" s="72">
        <f>Table410016115911211512024120[[#This Row],[2002]]-Table410016115911211512024120[[#This Row],[1998]]</f>
        <v>2</v>
      </c>
      <c r="J29" s="71">
        <v>3</v>
      </c>
      <c r="K29" s="72">
        <f>Table410016115911211512024120[[#This Row],[2006]]-Table410016115911211512024120[[#This Row],[2002]]</f>
        <v>-1</v>
      </c>
      <c r="L29" s="71">
        <v>2</v>
      </c>
      <c r="M29" s="72">
        <f>Table410016115911211512024120[[#This Row],[2010]]-Table410016115911211512024120[[#This Row],[2006]]</f>
        <v>1</v>
      </c>
      <c r="N29" s="71">
        <v>3</v>
      </c>
      <c r="O29" s="72">
        <f>Table410016115911211512024120[[#This Row],[2014]]-Table410016115911211512024120[[#This Row],[2010]]</f>
        <v>-2</v>
      </c>
      <c r="P29" s="71">
        <v>1</v>
      </c>
      <c r="Q29" s="73">
        <f>SUM(Table410016115911211512024120[[#This Row],[1986]],Table410016115911211512024120[[#This Row],[1990]],Table410016115911211512024120[[#This Row],[1994]],Table410016115911211512024120[[#This Row],[1998]],Table410016115911211512024120[[#This Row],[2002]],Table410016115911211512024120[[#This Row],[2006]],Table410016115911211512024120[[#This Row],[2010]],Table410016115911211512024120[[#This Row],[2014]])</f>
        <v>10</v>
      </c>
      <c r="R29" s="75">
        <v>70</v>
      </c>
      <c r="T29" s="44">
        <f>(H9/T28)*100</f>
        <v>0</v>
      </c>
      <c r="U29" s="44">
        <f>(H19/U28)*100</f>
        <v>1.3245033112582782</v>
      </c>
      <c r="V29" s="44">
        <f>(H25/V28)*100</f>
        <v>0</v>
      </c>
      <c r="W29" s="44">
        <f>(H30/W28)*100</f>
        <v>0.55865921787709494</v>
      </c>
      <c r="X29" s="44">
        <f>(H34/X28)*100</f>
        <v>0</v>
      </c>
    </row>
    <row r="30" spans="1:24" ht="19">
      <c r="A30" s="93" t="s">
        <v>413</v>
      </c>
      <c r="B30" s="79">
        <f>SUM(B26:B29)</f>
        <v>0</v>
      </c>
      <c r="C30" s="79">
        <f>Table410016115911211512024120[[#This Row],[1990]]-Table410016115911211512024120[[#This Row],[1986]]</f>
        <v>1</v>
      </c>
      <c r="D30" s="79">
        <f>SUM(D26:D29)</f>
        <v>1</v>
      </c>
      <c r="E30" s="80">
        <f>Table410016115911211512024120[[#This Row],[1994]]-Table410016115911211512024120[[#This Row],[1990]]</f>
        <v>0</v>
      </c>
      <c r="F30" s="79">
        <f>SUM(F26:F29)</f>
        <v>1</v>
      </c>
      <c r="G30" s="80">
        <f>Table410016115911211512024120[[#This Row],[1998]]-Table410016115911211512024120[[#This Row],[1994]]</f>
        <v>0</v>
      </c>
      <c r="H30" s="79">
        <f>SUM(H26:H29)</f>
        <v>1</v>
      </c>
      <c r="I30" s="80">
        <f>Table410016115911211512024120[[#This Row],[2002]]-Table410016115911211512024120[[#This Row],[1998]]</f>
        <v>4</v>
      </c>
      <c r="J30" s="79">
        <f>SUM(J26:J29)</f>
        <v>5</v>
      </c>
      <c r="K30" s="79">
        <f>Table410016115911211512024120[[#This Row],[2006]]-Table410016115911211512024120[[#This Row],[2002]]</f>
        <v>3</v>
      </c>
      <c r="L30" s="79">
        <f>SUM(L26:L29)</f>
        <v>8</v>
      </c>
      <c r="M30" s="79">
        <f>Table410016115911211512024120[[#This Row],[2010]]-Table410016115911211512024120[[#This Row],[2006]]</f>
        <v>-2</v>
      </c>
      <c r="N30" s="79">
        <f>SUM(N26:N29)</f>
        <v>6</v>
      </c>
      <c r="O30" s="79">
        <f>Table410016115911211512024120[[#This Row],[2014]]-Table410016115911211512024120[[#This Row],[2010]]</f>
        <v>-5</v>
      </c>
      <c r="P30" s="79">
        <f>SUM(P26:P29)</f>
        <v>1</v>
      </c>
      <c r="Q30" s="94">
        <f>SUM(Q26:Q29)</f>
        <v>23</v>
      </c>
      <c r="R30" s="95">
        <v>179</v>
      </c>
    </row>
    <row r="31" spans="1:24" ht="19">
      <c r="A31" s="88" t="s">
        <v>13</v>
      </c>
      <c r="B31" s="71"/>
      <c r="C31" s="72">
        <f>Table410016115911211512024120[[#This Row],[1990]]-Table410016115911211512024120[[#This Row],[1986]]</f>
        <v>0</v>
      </c>
      <c r="D31" s="71"/>
      <c r="E31" s="72">
        <f>Table410016115911211512024120[[#This Row],[1994]]-Table410016115911211512024120[[#This Row],[1990]]</f>
        <v>0</v>
      </c>
      <c r="F31" s="71"/>
      <c r="G31" s="72">
        <f>Table410016115911211512024120[[#This Row],[1998]]-Table410016115911211512024120[[#This Row],[1994]]</f>
        <v>0</v>
      </c>
      <c r="H31" s="71"/>
      <c r="I31" s="72">
        <f>Table410016115911211512024120[[#This Row],[2002]]-Table410016115911211512024120[[#This Row],[1998]]</f>
        <v>2</v>
      </c>
      <c r="J31" s="71">
        <v>2</v>
      </c>
      <c r="K31" s="72">
        <f>Table410016115911211512024120[[#This Row],[2006]]-Table410016115911211512024120[[#This Row],[2002]]</f>
        <v>0</v>
      </c>
      <c r="L31" s="71">
        <v>2</v>
      </c>
      <c r="M31" s="72">
        <f>Table410016115911211512024120[[#This Row],[2010]]-Table410016115911211512024120[[#This Row],[2006]]</f>
        <v>1</v>
      </c>
      <c r="N31" s="71">
        <v>3</v>
      </c>
      <c r="O31" s="72">
        <f>Table410016115911211512024120[[#This Row],[2014]]-Table410016115911211512024120[[#This Row],[2010]]</f>
        <v>-1</v>
      </c>
      <c r="P31" s="71">
        <v>2</v>
      </c>
      <c r="Q31" s="103">
        <v>0</v>
      </c>
      <c r="R31" s="75">
        <v>30</v>
      </c>
      <c r="T31" s="178" t="s">
        <v>421</v>
      </c>
      <c r="U31" s="178"/>
      <c r="V31" s="178"/>
      <c r="W31" s="178"/>
      <c r="X31" s="178"/>
    </row>
    <row r="32" spans="1:24" ht="19">
      <c r="A32" s="88" t="s">
        <v>62</v>
      </c>
      <c r="B32" s="72"/>
      <c r="C32" s="72">
        <f>Table410016115911211512024120[[#This Row],[1990]]-Table410016115911211512024120[[#This Row],[1986]]</f>
        <v>0</v>
      </c>
      <c r="D32" s="72"/>
      <c r="E32" s="72">
        <f>Table410016115911211512024120[[#This Row],[1994]]-Table410016115911211512024120[[#This Row],[1990]]</f>
        <v>0</v>
      </c>
      <c r="F32" s="72"/>
      <c r="G32" s="72">
        <f>Table410016115911211512024120[[#This Row],[1998]]-Table410016115911211512024120[[#This Row],[1994]]</f>
        <v>0</v>
      </c>
      <c r="H32" s="72"/>
      <c r="I32" s="72">
        <f>Table410016115911211512024120[[#This Row],[2002]]-Table410016115911211512024120[[#This Row],[1998]]</f>
        <v>1</v>
      </c>
      <c r="J32" s="72">
        <v>1</v>
      </c>
      <c r="K32" s="72">
        <f>Table410016115911211512024120[[#This Row],[2006]]-Table410016115911211512024120[[#This Row],[2002]]</f>
        <v>-1</v>
      </c>
      <c r="L32" s="72"/>
      <c r="M32" s="72">
        <f>Table410016115911211512024120[[#This Row],[2010]]-Table410016115911211512024120[[#This Row],[2006]]</f>
        <v>0</v>
      </c>
      <c r="N32" s="72"/>
      <c r="O32" s="72">
        <f>Table410016115911211512024120[[#This Row],[2014]]-Table410016115911211512024120[[#This Row],[2010]]</f>
        <v>0</v>
      </c>
      <c r="P32" s="72"/>
      <c r="Q32" s="103">
        <v>0</v>
      </c>
      <c r="R32" s="75">
        <v>31</v>
      </c>
      <c r="T32" s="65" t="s">
        <v>410</v>
      </c>
      <c r="U32" s="66" t="s">
        <v>411</v>
      </c>
      <c r="V32" s="67" t="s">
        <v>412</v>
      </c>
      <c r="W32" s="68" t="s">
        <v>413</v>
      </c>
      <c r="X32" s="69" t="s">
        <v>414</v>
      </c>
    </row>
    <row r="33" spans="1:24" ht="19">
      <c r="A33" s="88" t="s">
        <v>60</v>
      </c>
      <c r="B33" s="71"/>
      <c r="C33" s="72">
        <f>Table410016115911211512024120[[#This Row],[1990]]-Table410016115911211512024120[[#This Row],[1986]]</f>
        <v>0</v>
      </c>
      <c r="D33" s="71"/>
      <c r="E33" s="72">
        <f>Table410016115911211512024120[[#This Row],[1994]]-Table410016115911211512024120[[#This Row],[1990]]</f>
        <v>0</v>
      </c>
      <c r="F33" s="71"/>
      <c r="G33" s="72">
        <f>Table410016115911211512024120[[#This Row],[1998]]-Table410016115911211512024120[[#This Row],[1994]]</f>
        <v>0</v>
      </c>
      <c r="H33" s="71"/>
      <c r="I33" s="72">
        <f>Table410016115911211512024120[[#This Row],[2002]]-Table410016115911211512024120[[#This Row],[1998]]</f>
        <v>0</v>
      </c>
      <c r="J33" s="71"/>
      <c r="K33" s="72">
        <f>Table410016115911211512024120[[#This Row],[2006]]-Table410016115911211512024120[[#This Row],[2002]]</f>
        <v>1</v>
      </c>
      <c r="L33" s="71">
        <v>1</v>
      </c>
      <c r="M33" s="72">
        <f>Table410016115911211512024120[[#This Row],[2010]]-Table410016115911211512024120[[#This Row],[2006]]</f>
        <v>-1</v>
      </c>
      <c r="N33" s="71"/>
      <c r="O33" s="72">
        <f>Table410016115911211512024120[[#This Row],[2014]]-Table410016115911211512024120[[#This Row],[2010]]</f>
        <v>1</v>
      </c>
      <c r="P33" s="71">
        <v>1</v>
      </c>
      <c r="Q33" s="103">
        <v>0</v>
      </c>
      <c r="R33" s="75">
        <v>16</v>
      </c>
      <c r="T33" s="9">
        <f>R9</f>
        <v>57</v>
      </c>
      <c r="U33" s="9">
        <f>R19</f>
        <v>151</v>
      </c>
      <c r="V33" s="9">
        <f>R25</f>
        <v>49</v>
      </c>
      <c r="W33" s="9">
        <f>R30</f>
        <v>179</v>
      </c>
      <c r="X33" s="9">
        <f>R34</f>
        <v>77</v>
      </c>
    </row>
    <row r="34" spans="1:24" ht="19">
      <c r="A34" s="96" t="s">
        <v>414</v>
      </c>
      <c r="B34" s="97">
        <f>SUM(B31:B33)</f>
        <v>0</v>
      </c>
      <c r="C34" s="97">
        <f>Table410016115911211512024120[[#This Row],[1990]]-Table410016115911211512024120[[#This Row],[1986]]</f>
        <v>0</v>
      </c>
      <c r="D34" s="97">
        <f>SUM(D31:D33)</f>
        <v>0</v>
      </c>
      <c r="E34" s="80">
        <f>Table410016115911211512024120[[#This Row],[1994]]-Table410016115911211512024120[[#This Row],[1990]]</f>
        <v>0</v>
      </c>
      <c r="F34" s="97">
        <f>SUM(F31:F33)</f>
        <v>0</v>
      </c>
      <c r="G34" s="80">
        <f>Table410016115911211512024120[[#This Row],[1998]]-Table410016115911211512024120[[#This Row],[1994]]</f>
        <v>0</v>
      </c>
      <c r="H34" s="97">
        <f>SUM(H31:H33)</f>
        <v>0</v>
      </c>
      <c r="I34" s="80">
        <f>Table410016115911211512024120[[#This Row],[2002]]-Table410016115911211512024120[[#This Row],[1998]]</f>
        <v>3</v>
      </c>
      <c r="J34" s="97">
        <f>SUM(J31:J33)</f>
        <v>3</v>
      </c>
      <c r="K34" s="80">
        <f>Table410016115911211512024120[[#This Row],[2006]]-Table410016115911211512024120[[#This Row],[2002]]</f>
        <v>0</v>
      </c>
      <c r="L34" s="97">
        <f>SUM(L31:L33)</f>
        <v>3</v>
      </c>
      <c r="M34" s="80">
        <f>Table410016115911211512024120[[#This Row],[2010]]-Table410016115911211512024120[[#This Row],[2006]]</f>
        <v>0</v>
      </c>
      <c r="N34" s="97">
        <f>SUM(N31:N33)</f>
        <v>3</v>
      </c>
      <c r="O34" s="80">
        <f>Table410016115911211512024120[[#This Row],[2014]]-Table410016115911211512024120[[#This Row],[2010]]</f>
        <v>0</v>
      </c>
      <c r="P34" s="97">
        <f>SUM(P31:P33)</f>
        <v>3</v>
      </c>
      <c r="Q34" s="98">
        <f>SUM(Q31:Q33)</f>
        <v>0</v>
      </c>
      <c r="R34" s="99">
        <v>77</v>
      </c>
      <c r="T34" s="44">
        <f>(F9/T33)*100</f>
        <v>0</v>
      </c>
      <c r="U34" s="44">
        <f>(F19/U33)*100</f>
        <v>0</v>
      </c>
      <c r="V34" s="44">
        <f>(F25/V33)*100</f>
        <v>2.0408163265306123</v>
      </c>
      <c r="W34" s="44">
        <f>(F30/W33)*100</f>
        <v>0.55865921787709494</v>
      </c>
      <c r="X34" s="44">
        <f>(F34/X33)*100</f>
        <v>0</v>
      </c>
    </row>
    <row r="35" spans="1:24" ht="19">
      <c r="A35" s="100" t="s">
        <v>420</v>
      </c>
      <c r="B35" s="101">
        <f>SUM(B9,B19,B25,B30,B34)</f>
        <v>0</v>
      </c>
      <c r="C35" s="101">
        <f>Table410016115911211512024120[[#This Row],[1990]]-Table410016115911211512024120[[#This Row],[1986]]</f>
        <v>3</v>
      </c>
      <c r="D35" s="101">
        <f>SUM(D9,D19,D25,D30,D34)</f>
        <v>3</v>
      </c>
      <c r="E35" s="80">
        <f>Table410016115911211512024120[[#This Row],[1994]]-Table410016115911211512024120[[#This Row],[1990]]</f>
        <v>-1</v>
      </c>
      <c r="F35" s="101">
        <f>SUM(F9,F19,F25,F30,F34)</f>
        <v>2</v>
      </c>
      <c r="G35" s="80">
        <f>Table410016115911211512024120[[#This Row],[1998]]-Table410016115911211512024120[[#This Row],[1994]]</f>
        <v>1</v>
      </c>
      <c r="H35" s="101">
        <f>SUM(H9,H19,H25,H30,H34)</f>
        <v>3</v>
      </c>
      <c r="I35" s="80">
        <f>Table410016115911211512024120[[#This Row],[2002]]-Table410016115911211512024120[[#This Row],[1998]]</f>
        <v>11</v>
      </c>
      <c r="J35" s="101">
        <f>SUM(J9,J19,J25,J30,J34)</f>
        <v>14</v>
      </c>
      <c r="K35" s="80">
        <f>Table410016115911211512024120[[#This Row],[2006]]-Table410016115911211512024120[[#This Row],[2002]]</f>
        <v>2</v>
      </c>
      <c r="L35" s="101">
        <f>SUM(L9,L19,L25,L30,L34)</f>
        <v>16</v>
      </c>
      <c r="M35" s="80">
        <f>Table410016115911211512024120[[#This Row],[2010]]-Table410016115911211512024120[[#This Row],[2006]]</f>
        <v>-4</v>
      </c>
      <c r="N35" s="101">
        <f>SUM(N9,N19,N25,N30,N34)</f>
        <v>12</v>
      </c>
      <c r="O35" s="80">
        <f>Table410016115911211512024120[[#This Row],[2014]]-Table410016115911211512024120[[#This Row],[2010]]</f>
        <v>-4</v>
      </c>
      <c r="P35" s="101">
        <f>SUM(P9,P19,P25,P30,P34)</f>
        <v>8</v>
      </c>
      <c r="Q35" s="102">
        <f>SUM(Q9,Q19,Q25,Q30,Q34)</f>
        <v>46</v>
      </c>
      <c r="R35" s="75">
        <v>513</v>
      </c>
    </row>
    <row r="36" spans="1:24">
      <c r="T36" s="178" t="s">
        <v>422</v>
      </c>
      <c r="U36" s="178"/>
      <c r="V36" s="178"/>
      <c r="W36" s="178"/>
      <c r="X36" s="178"/>
    </row>
    <row r="37" spans="1:24">
      <c r="T37" s="65" t="s">
        <v>410</v>
      </c>
      <c r="U37" s="66" t="s">
        <v>411</v>
      </c>
      <c r="V37" s="67" t="s">
        <v>412</v>
      </c>
      <c r="W37" s="68" t="s">
        <v>413</v>
      </c>
      <c r="X37" s="69" t="s">
        <v>414</v>
      </c>
    </row>
    <row r="38" spans="1:24">
      <c r="T38" s="9">
        <f>R9</f>
        <v>57</v>
      </c>
      <c r="U38" s="9">
        <f>R19</f>
        <v>151</v>
      </c>
      <c r="V38" s="9">
        <f>R25</f>
        <v>49</v>
      </c>
      <c r="W38" s="9">
        <f>(R30-10)</f>
        <v>169</v>
      </c>
      <c r="X38" s="9">
        <f>R34</f>
        <v>77</v>
      </c>
    </row>
    <row r="39" spans="1:24">
      <c r="T39" s="44">
        <f>(D9/T38)*100</f>
        <v>0</v>
      </c>
      <c r="U39" s="44">
        <f>(D19/U38)*100</f>
        <v>0.66225165562913912</v>
      </c>
      <c r="V39" s="44">
        <f>(D25/V38)*100</f>
        <v>2.0408163265306123</v>
      </c>
      <c r="W39" s="44">
        <f>(D30/W38)*100</f>
        <v>0.59171597633136097</v>
      </c>
      <c r="X39" s="44">
        <f>(D34/X38)*100</f>
        <v>0</v>
      </c>
    </row>
    <row r="41" spans="1:24">
      <c r="T41" s="178" t="s">
        <v>428</v>
      </c>
      <c r="U41" s="178"/>
      <c r="V41" s="178"/>
      <c r="W41" s="178"/>
      <c r="X41" s="178"/>
    </row>
    <row r="42" spans="1:24">
      <c r="T42" s="65" t="s">
        <v>410</v>
      </c>
      <c r="U42" s="66" t="s">
        <v>411</v>
      </c>
      <c r="V42" s="67" t="s">
        <v>412</v>
      </c>
      <c r="W42" s="68" t="s">
        <v>413</v>
      </c>
      <c r="X42" s="69" t="s">
        <v>414</v>
      </c>
    </row>
    <row r="43" spans="1:24">
      <c r="T43" s="9">
        <f>R9</f>
        <v>57</v>
      </c>
      <c r="U43" s="9">
        <f>R19</f>
        <v>151</v>
      </c>
      <c r="V43" s="9">
        <f>R25</f>
        <v>49</v>
      </c>
      <c r="W43" s="17">
        <f>(R30-19)</f>
        <v>160</v>
      </c>
      <c r="X43" s="9">
        <f>R34</f>
        <v>77</v>
      </c>
    </row>
    <row r="44" spans="1:24">
      <c r="T44" s="44">
        <f>(B9/T43)*100</f>
        <v>0</v>
      </c>
      <c r="U44" s="44">
        <f>(B19/U43)*100</f>
        <v>0</v>
      </c>
      <c r="V44" s="44">
        <f>(B25/V43)*100</f>
        <v>0</v>
      </c>
      <c r="W44" s="44">
        <f>(B30/W43)*100</f>
        <v>0</v>
      </c>
      <c r="X44" s="44">
        <f>(B34/X43)*100</f>
        <v>0</v>
      </c>
    </row>
  </sheetData>
  <mergeCells count="10">
    <mergeCell ref="T26:X26"/>
    <mergeCell ref="T31:X31"/>
    <mergeCell ref="T36:X36"/>
    <mergeCell ref="T41:X41"/>
    <mergeCell ref="A1:R1"/>
    <mergeCell ref="T1:X1"/>
    <mergeCell ref="T6:X6"/>
    <mergeCell ref="T11:X11"/>
    <mergeCell ref="T16:X16"/>
    <mergeCell ref="T21:X21"/>
  </mergeCells>
  <conditionalFormatting sqref="C4:C35">
    <cfRule type="cellIs" dxfId="272" priority="16" operator="greaterThan">
      <formula>0</formula>
    </cfRule>
  </conditionalFormatting>
  <conditionalFormatting sqref="C3">
    <cfRule type="cellIs" dxfId="271" priority="13" operator="greaterThan">
      <formula>0</formula>
    </cfRule>
  </conditionalFormatting>
  <conditionalFormatting sqref="E3">
    <cfRule type="cellIs" dxfId="270" priority="10" operator="greaterThan">
      <formula>0</formula>
    </cfRule>
  </conditionalFormatting>
  <conditionalFormatting sqref="O3">
    <cfRule type="cellIs" dxfId="269" priority="7" operator="greaterThan">
      <formula>0</formula>
    </cfRule>
  </conditionalFormatting>
  <conditionalFormatting sqref="C4:C35 E4:E35 G3:G35 I3:I35 K3:K29 K31:K35 M31:M35 M3:M29">
    <cfRule type="cellIs" dxfId="268" priority="15" operator="greaterThan">
      <formula>0</formula>
    </cfRule>
  </conditionalFormatting>
  <conditionalFormatting sqref="C4:C35 E4:E35 G3:G35 I3:I35 K3:K29 K31:K35 M31:M35 M3:M29">
    <cfRule type="cellIs" dxfId="267" priority="14" operator="lessThan">
      <formula>0</formula>
    </cfRule>
  </conditionalFormatting>
  <conditionalFormatting sqref="C3">
    <cfRule type="cellIs" dxfId="266" priority="12" operator="greaterThan">
      <formula>0</formula>
    </cfRule>
  </conditionalFormatting>
  <conditionalFormatting sqref="C3">
    <cfRule type="cellIs" dxfId="265" priority="11" operator="lessThan">
      <formula>0</formula>
    </cfRule>
  </conditionalFormatting>
  <conditionalFormatting sqref="E3">
    <cfRule type="cellIs" dxfId="264" priority="9" operator="greaterThan">
      <formula>0</formula>
    </cfRule>
  </conditionalFormatting>
  <conditionalFormatting sqref="E3">
    <cfRule type="cellIs" dxfId="263" priority="8" operator="lessThan">
      <formula>0</formula>
    </cfRule>
  </conditionalFormatting>
  <conditionalFormatting sqref="O3">
    <cfRule type="cellIs" dxfId="262" priority="6" operator="lessThan">
      <formula>0</formula>
    </cfRule>
  </conditionalFormatting>
  <conditionalFormatting sqref="O3:O35">
    <cfRule type="cellIs" dxfId="261" priority="1" operator="lessThan">
      <formula>0</formula>
    </cfRule>
    <cfRule type="cellIs" dxfId="260" priority="2" operator="greaterThan">
      <formula>0</formula>
    </cfRule>
    <cfRule type="cellIs" dxfId="259" priority="4" operator="lessThan">
      <formula>0</formula>
    </cfRule>
    <cfRule type="cellIs" dxfId="258" priority="5" operator="greaterThan">
      <formula>0</formula>
    </cfRule>
  </conditionalFormatting>
  <conditionalFormatting sqref="O35">
    <cfRule type="cellIs" dxfId="257" priority="3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4"/>
  <sheetViews>
    <sheetView topLeftCell="I21" workbookViewId="0">
      <selection activeCell="W43" sqref="W43"/>
    </sheetView>
  </sheetViews>
  <sheetFormatPr baseColWidth="10" defaultRowHeight="16"/>
  <cols>
    <col min="1" max="1" width="17.83203125" customWidth="1"/>
    <col min="17" max="17" width="17.6640625" customWidth="1"/>
    <col min="18" max="18" width="20.1640625" customWidth="1"/>
  </cols>
  <sheetData>
    <row r="1" spans="1:24" ht="19">
      <c r="A1" s="183" t="s">
        <v>424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T1" s="178" t="s">
        <v>391</v>
      </c>
      <c r="U1" s="178"/>
      <c r="V1" s="178"/>
      <c r="W1" s="178"/>
      <c r="X1" s="178"/>
    </row>
    <row r="2" spans="1:24" ht="19">
      <c r="A2" s="63" t="s">
        <v>392</v>
      </c>
      <c r="B2" s="63" t="s">
        <v>393</v>
      </c>
      <c r="C2" s="63" t="s">
        <v>394</v>
      </c>
      <c r="D2" s="63" t="s">
        <v>395</v>
      </c>
      <c r="E2" s="63" t="s">
        <v>396</v>
      </c>
      <c r="F2" s="63" t="s">
        <v>397</v>
      </c>
      <c r="G2" s="63" t="s">
        <v>398</v>
      </c>
      <c r="H2" s="63" t="s">
        <v>399</v>
      </c>
      <c r="I2" s="63" t="s">
        <v>400</v>
      </c>
      <c r="J2" s="63" t="s">
        <v>401</v>
      </c>
      <c r="K2" s="63" t="s">
        <v>402</v>
      </c>
      <c r="L2" s="63" t="s">
        <v>403</v>
      </c>
      <c r="M2" s="63" t="s">
        <v>404</v>
      </c>
      <c r="N2" s="63" t="s">
        <v>405</v>
      </c>
      <c r="O2" s="63" t="s">
        <v>406</v>
      </c>
      <c r="P2" s="63" t="s">
        <v>407</v>
      </c>
      <c r="Q2" s="64" t="s">
        <v>408</v>
      </c>
      <c r="R2" s="64" t="s">
        <v>427</v>
      </c>
      <c r="T2" s="65" t="s">
        <v>410</v>
      </c>
      <c r="U2" s="66" t="s">
        <v>411</v>
      </c>
      <c r="V2" s="67" t="s">
        <v>412</v>
      </c>
      <c r="W2" s="68" t="s">
        <v>413</v>
      </c>
      <c r="X2" s="69" t="s">
        <v>414</v>
      </c>
    </row>
    <row r="3" spans="1:24" ht="19">
      <c r="A3" s="70" t="s">
        <v>110</v>
      </c>
      <c r="B3" s="71"/>
      <c r="C3" s="71">
        <f>Table4100161159112115120192930179116[[#This Row],[1990]]-Table4100161159112115120192930179116[[#This Row],[1986]]</f>
        <v>0</v>
      </c>
      <c r="D3" s="71"/>
      <c r="E3" s="71">
        <f>Table4100161159112115120192930179116[[#This Row],[1994]]-Table4100161159112115120192930179116[[#This Row],[1990]]</f>
        <v>0</v>
      </c>
      <c r="F3" s="71"/>
      <c r="G3" s="71">
        <f>Table4100161159112115120192930179116[[#This Row],[1998]]-Table4100161159112115120192930179116[[#This Row],[1994]]</f>
        <v>0</v>
      </c>
      <c r="H3" s="71"/>
      <c r="I3" s="71">
        <f>Table4100161159112115120192930179116[[#This Row],[2002]]-Table4100161159112115120192930179116[[#This Row],[1998]]</f>
        <v>0</v>
      </c>
      <c r="J3" s="71"/>
      <c r="K3" s="71">
        <f>Table4100161159112115120192930179116[[#This Row],[2006]]-Table4100161159112115120192930179116[[#This Row],[2002]]</f>
        <v>0</v>
      </c>
      <c r="L3" s="71"/>
      <c r="M3" s="71">
        <f>Table4100161159112115120192930179116[[#This Row],[2010]]-Table4100161159112115120192930179116[[#This Row],[2006]]</f>
        <v>0</v>
      </c>
      <c r="N3" s="71"/>
      <c r="O3" s="71">
        <f>Table4100161159112115120192930179116[[#This Row],[2014]]-Table4100161159112115120192930179116[[#This Row],[2010]]</f>
        <v>0</v>
      </c>
      <c r="P3" s="71"/>
      <c r="Q3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0</v>
      </c>
      <c r="R3" s="74">
        <v>8</v>
      </c>
      <c r="T3" s="9">
        <f>R9*8</f>
        <v>456</v>
      </c>
      <c r="U3" s="9">
        <f>R19*8</f>
        <v>1208</v>
      </c>
      <c r="V3" s="9">
        <f>R25*8</f>
        <v>392</v>
      </c>
      <c r="W3" s="9">
        <f>R30*8</f>
        <v>1432</v>
      </c>
      <c r="X3" s="9">
        <f>R34*8</f>
        <v>616</v>
      </c>
    </row>
    <row r="4" spans="1:24" ht="19">
      <c r="A4" s="70" t="s">
        <v>106</v>
      </c>
      <c r="B4" s="71"/>
      <c r="C4" s="71">
        <f>Table4100161159112115120192930179116[[#This Row],[1990]]-Table4100161159112115120192930179116[[#This Row],[1986]]</f>
        <v>0</v>
      </c>
      <c r="D4" s="71"/>
      <c r="E4" s="71">
        <f>Table4100161159112115120192930179116[[#This Row],[1994]]-Table4100161159112115120192930179116[[#This Row],[1990]]</f>
        <v>0</v>
      </c>
      <c r="F4" s="71"/>
      <c r="G4" s="71">
        <f>Table4100161159112115120192930179116[[#This Row],[1998]]-Table4100161159112115120192930179116[[#This Row],[1994]]</f>
        <v>1</v>
      </c>
      <c r="H4" s="71">
        <v>1</v>
      </c>
      <c r="I4" s="71">
        <f>Table4100161159112115120192930179116[[#This Row],[2002]]-Table4100161159112115120192930179116[[#This Row],[1998]]</f>
        <v>2</v>
      </c>
      <c r="J4" s="71">
        <v>3</v>
      </c>
      <c r="K4" s="71">
        <f>Table4100161159112115120192930179116[[#This Row],[2006]]-Table4100161159112115120192930179116[[#This Row],[2002]]</f>
        <v>-3</v>
      </c>
      <c r="L4" s="71"/>
      <c r="M4" s="71">
        <f>Table4100161159112115120192930179116[[#This Row],[2010]]-Table4100161159112115120192930179116[[#This Row],[2006]]</f>
        <v>1</v>
      </c>
      <c r="N4" s="71">
        <v>1</v>
      </c>
      <c r="O4" s="71">
        <f>Table4100161159112115120192930179116[[#This Row],[2014]]-Table4100161159112115120192930179116[[#This Row],[2010]]</f>
        <v>0</v>
      </c>
      <c r="P4" s="71">
        <v>1</v>
      </c>
      <c r="Q4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6</v>
      </c>
      <c r="R4" s="75">
        <v>8</v>
      </c>
      <c r="T4" s="44">
        <f>(Q9/T3)*100</f>
        <v>3.9473684210526314</v>
      </c>
      <c r="U4" s="44">
        <f>(Q19/U3)*100</f>
        <v>3.5596026490066226</v>
      </c>
      <c r="V4" s="44">
        <f>(Q25/V3)*100</f>
        <v>5.8673469387755102</v>
      </c>
      <c r="W4" s="44">
        <f>(Q30/W3)*100</f>
        <v>6.983240223463687</v>
      </c>
      <c r="X4" s="76">
        <f>(Q34/X3)*100</f>
        <v>2.2727272727272729</v>
      </c>
    </row>
    <row r="5" spans="1:24" ht="19">
      <c r="A5" s="70" t="s">
        <v>104</v>
      </c>
      <c r="B5" s="71"/>
      <c r="C5" s="71">
        <f>Table4100161159112115120192930179116[[#This Row],[1990]]-Table4100161159112115120192930179116[[#This Row],[1986]]</f>
        <v>0</v>
      </c>
      <c r="D5" s="71"/>
      <c r="E5" s="71">
        <f>Table4100161159112115120192930179116[[#This Row],[1994]]-Table4100161159112115120192930179116[[#This Row],[1990]]</f>
        <v>0</v>
      </c>
      <c r="F5" s="71"/>
      <c r="G5" s="71">
        <f>Table4100161159112115120192930179116[[#This Row],[1998]]-Table4100161159112115120192930179116[[#This Row],[1994]]</f>
        <v>0</v>
      </c>
      <c r="H5" s="71"/>
      <c r="I5" s="71">
        <f>Table4100161159112115120192930179116[[#This Row],[2002]]-Table4100161159112115120192930179116[[#This Row],[1998]]</f>
        <v>0</v>
      </c>
      <c r="J5" s="71"/>
      <c r="K5" s="71">
        <f>Table4100161159112115120192930179116[[#This Row],[2006]]-Table4100161159112115120192930179116[[#This Row],[2002]]</f>
        <v>1</v>
      </c>
      <c r="L5" s="71">
        <v>1</v>
      </c>
      <c r="M5" s="71">
        <f>Table4100161159112115120192930179116[[#This Row],[2010]]-Table4100161159112115120192930179116[[#This Row],[2006]]</f>
        <v>-1</v>
      </c>
      <c r="N5" s="71"/>
      <c r="O5" s="71">
        <f>Table4100161159112115120192930179116[[#This Row],[2014]]-Table4100161159112115120192930179116[[#This Row],[2010]]</f>
        <v>1</v>
      </c>
      <c r="P5" s="71">
        <v>1</v>
      </c>
      <c r="Q5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2</v>
      </c>
      <c r="R5" s="75">
        <v>8</v>
      </c>
    </row>
    <row r="6" spans="1:24" ht="19">
      <c r="A6" s="70" t="s">
        <v>73</v>
      </c>
      <c r="B6" s="71"/>
      <c r="C6" s="71">
        <f>Table4100161159112115120192930179116[[#This Row],[1990]]-Table4100161159112115120192930179116[[#This Row],[1986]]</f>
        <v>0</v>
      </c>
      <c r="D6" s="71"/>
      <c r="E6" s="71">
        <f>Table4100161159112115120192930179116[[#This Row],[1994]]-Table4100161159112115120192930179116[[#This Row],[1990]]</f>
        <v>0</v>
      </c>
      <c r="F6" s="71"/>
      <c r="G6" s="71">
        <f>Table4100161159112115120192930179116[[#This Row],[1998]]-Table4100161159112115120192930179116[[#This Row],[1994]]</f>
        <v>0</v>
      </c>
      <c r="H6" s="71"/>
      <c r="I6" s="71">
        <f>Table4100161159112115120192930179116[[#This Row],[2002]]-Table4100161159112115120192930179116[[#This Row],[1998]]</f>
        <v>1</v>
      </c>
      <c r="J6" s="71">
        <v>1</v>
      </c>
      <c r="K6" s="71">
        <f>Table4100161159112115120192930179116[[#This Row],[2006]]-Table4100161159112115120192930179116[[#This Row],[2002]]</f>
        <v>0</v>
      </c>
      <c r="L6" s="71">
        <v>1</v>
      </c>
      <c r="M6" s="71">
        <f>Table4100161159112115120192930179116[[#This Row],[2010]]-Table4100161159112115120192930179116[[#This Row],[2006]]</f>
        <v>0</v>
      </c>
      <c r="N6" s="71">
        <v>1</v>
      </c>
      <c r="O6" s="71">
        <f>Table4100161159112115120192930179116[[#This Row],[2014]]-Table4100161159112115120192930179116[[#This Row],[2010]]</f>
        <v>0</v>
      </c>
      <c r="P6" s="71">
        <v>1</v>
      </c>
      <c r="Q6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4</v>
      </c>
      <c r="R6" s="75">
        <v>17</v>
      </c>
      <c r="T6" s="178" t="s">
        <v>415</v>
      </c>
      <c r="U6" s="178"/>
      <c r="V6" s="178"/>
      <c r="W6" s="178"/>
      <c r="X6" s="178"/>
    </row>
    <row r="7" spans="1:24" ht="19">
      <c r="A7" s="70" t="s">
        <v>67</v>
      </c>
      <c r="B7" s="77"/>
      <c r="C7" s="71">
        <f>Table4100161159112115120192930179116[[#This Row],[1990]]-Table4100161159112115120192930179116[[#This Row],[1986]]</f>
        <v>0</v>
      </c>
      <c r="D7" s="77"/>
      <c r="E7" s="71">
        <f>Table4100161159112115120192930179116[[#This Row],[1994]]-Table4100161159112115120192930179116[[#This Row],[1990]]</f>
        <v>1</v>
      </c>
      <c r="F7" s="77">
        <v>1</v>
      </c>
      <c r="G7" s="71">
        <f>Table4100161159112115120192930179116[[#This Row],[1998]]-Table4100161159112115120192930179116[[#This Row],[1994]]</f>
        <v>-1</v>
      </c>
      <c r="H7" s="77"/>
      <c r="I7" s="71">
        <f>Table4100161159112115120192930179116[[#This Row],[2002]]-Table4100161159112115120192930179116[[#This Row],[1998]]</f>
        <v>0</v>
      </c>
      <c r="J7" s="77"/>
      <c r="K7" s="71">
        <f>Table4100161159112115120192930179116[[#This Row],[2006]]-Table4100161159112115120192930179116[[#This Row],[2002]]</f>
        <v>0</v>
      </c>
      <c r="L7" s="77"/>
      <c r="M7" s="71">
        <f>Table4100161159112115120192930179116[[#This Row],[2010]]-Table4100161159112115120192930179116[[#This Row],[2006]]</f>
        <v>0</v>
      </c>
      <c r="N7" s="77"/>
      <c r="O7" s="71">
        <f>Table4100161159112115120192930179116[[#This Row],[2014]]-Table4100161159112115120192930179116[[#This Row],[2010]]</f>
        <v>1</v>
      </c>
      <c r="P7" s="77">
        <v>1</v>
      </c>
      <c r="Q7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2</v>
      </c>
      <c r="R7" s="75">
        <v>8</v>
      </c>
      <c r="T7" s="65" t="s">
        <v>410</v>
      </c>
      <c r="U7" s="66" t="s">
        <v>411</v>
      </c>
      <c r="V7" s="67" t="s">
        <v>412</v>
      </c>
      <c r="W7" s="68" t="s">
        <v>413</v>
      </c>
      <c r="X7" s="69" t="s">
        <v>414</v>
      </c>
    </row>
    <row r="8" spans="1:24" ht="19">
      <c r="A8" s="70" t="s">
        <v>65</v>
      </c>
      <c r="B8" s="71"/>
      <c r="C8" s="71">
        <f>Table4100161159112115120192930179116[[#This Row],[1990]]-Table4100161159112115120192930179116[[#This Row],[1986]]</f>
        <v>0</v>
      </c>
      <c r="D8" s="71"/>
      <c r="E8" s="71">
        <f>Table4100161159112115120192930179116[[#This Row],[1994]]-Table4100161159112115120192930179116[[#This Row],[1990]]</f>
        <v>0</v>
      </c>
      <c r="F8" s="71"/>
      <c r="G8" s="71">
        <f>Table4100161159112115120192930179116[[#This Row],[1998]]-Table4100161159112115120192930179116[[#This Row],[1994]]</f>
        <v>0</v>
      </c>
      <c r="H8" s="71"/>
      <c r="I8" s="71">
        <f>Table4100161159112115120192930179116[[#This Row],[2002]]-Table4100161159112115120192930179116[[#This Row],[1998]]</f>
        <v>1</v>
      </c>
      <c r="J8" s="71">
        <v>1</v>
      </c>
      <c r="K8" s="71">
        <f>Table4100161159112115120192930179116[[#This Row],[2006]]-Table4100161159112115120192930179116[[#This Row],[2002]]</f>
        <v>0</v>
      </c>
      <c r="L8" s="71">
        <v>1</v>
      </c>
      <c r="M8" s="71">
        <f>Table4100161159112115120192930179116[[#This Row],[2010]]-Table4100161159112115120192930179116[[#This Row],[2006]]</f>
        <v>0</v>
      </c>
      <c r="N8" s="71">
        <v>1</v>
      </c>
      <c r="O8" s="71">
        <f>Table4100161159112115120192930179116[[#This Row],[2014]]-Table4100161159112115120192930179116[[#This Row],[2010]]</f>
        <v>0</v>
      </c>
      <c r="P8" s="71">
        <v>1</v>
      </c>
      <c r="Q8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4</v>
      </c>
      <c r="R8" s="75">
        <v>8</v>
      </c>
      <c r="T8" s="9">
        <f>R9</f>
        <v>57</v>
      </c>
      <c r="U8" s="9">
        <f>R19</f>
        <v>151</v>
      </c>
      <c r="V8" s="9">
        <f>R25</f>
        <v>49</v>
      </c>
      <c r="W8" s="9">
        <f>R30</f>
        <v>179</v>
      </c>
      <c r="X8" s="9">
        <f>R34</f>
        <v>77</v>
      </c>
    </row>
    <row r="9" spans="1:24" ht="19">
      <c r="A9" s="78" t="s">
        <v>410</v>
      </c>
      <c r="B9" s="79">
        <f>SUM(B3:B8)</f>
        <v>0</v>
      </c>
      <c r="C9" s="79">
        <f>Table4100161159112115120192930179116[[#This Row],[1990]]-Table4100161159112115120192930179116[[#This Row],[1986]]</f>
        <v>0</v>
      </c>
      <c r="D9" s="79">
        <f>SUM(D3:D8)</f>
        <v>0</v>
      </c>
      <c r="E9" s="79">
        <f>Table4100161159112115120192930179116[[#This Row],[1994]]-Table4100161159112115120192930179116[[#This Row],[1990]]</f>
        <v>1</v>
      </c>
      <c r="F9" s="79">
        <f>SUM(F3:F8)</f>
        <v>1</v>
      </c>
      <c r="G9" s="79">
        <f>Table4100161159112115120192930179116[[#This Row],[1998]]-Table4100161159112115120192930179116[[#This Row],[1994]]</f>
        <v>0</v>
      </c>
      <c r="H9" s="79">
        <f>SUM(H3:H8)</f>
        <v>1</v>
      </c>
      <c r="I9" s="79">
        <f>Table4100161159112115120192930179116[[#This Row],[2002]]-Table4100161159112115120192930179116[[#This Row],[1998]]</f>
        <v>4</v>
      </c>
      <c r="J9" s="79">
        <f>SUM(J3:J8)</f>
        <v>5</v>
      </c>
      <c r="K9" s="79">
        <f>Table4100161159112115120192930179116[[#This Row],[2006]]-Table4100161159112115120192930179116[[#This Row],[2002]]</f>
        <v>-2</v>
      </c>
      <c r="L9" s="79">
        <f>SUM(L3:L8)</f>
        <v>3</v>
      </c>
      <c r="M9" s="79">
        <f>Table4100161159112115120192930179116[[#This Row],[2010]]-Table4100161159112115120192930179116[[#This Row],[2006]]</f>
        <v>0</v>
      </c>
      <c r="N9" s="79">
        <f>SUM(N3:N8)</f>
        <v>3</v>
      </c>
      <c r="O9" s="79">
        <f>Table4100161159112115120192930179116[[#This Row],[2014]]-Table4100161159112115120192930179116[[#This Row],[2010]]</f>
        <v>2</v>
      </c>
      <c r="P9" s="79">
        <f>SUM(P3:P8)</f>
        <v>5</v>
      </c>
      <c r="Q9" s="81">
        <f>SUM(Q3:Q8)</f>
        <v>18</v>
      </c>
      <c r="R9" s="82">
        <v>57</v>
      </c>
      <c r="T9" s="44">
        <f>(Table4100161159112115120192930179116[[#This Row],[2014]]/T8)*100</f>
        <v>8.7719298245614024</v>
      </c>
      <c r="U9" s="44">
        <f>(P19/U8)*100</f>
        <v>5.298013245033113</v>
      </c>
      <c r="V9" s="44">
        <f>(P25/V8)*100</f>
        <v>6.1224489795918364</v>
      </c>
      <c r="W9" s="44">
        <f>(P30/W8)*100</f>
        <v>8.3798882681564244</v>
      </c>
      <c r="X9" s="44">
        <f>(P34/X8)*100</f>
        <v>3.8961038961038961</v>
      </c>
    </row>
    <row r="10" spans="1:24" ht="19">
      <c r="A10" s="70" t="s">
        <v>108</v>
      </c>
      <c r="B10" s="71"/>
      <c r="C10" s="71">
        <f>Table4100161159112115120192930179116[[#This Row],[1990]]-Table4100161159112115120192930179116[[#This Row],[1986]]</f>
        <v>0</v>
      </c>
      <c r="D10" s="71"/>
      <c r="E10" s="71">
        <f>Table4100161159112115120192930179116[[#This Row],[1994]]-Table4100161159112115120192930179116[[#This Row],[1990]]</f>
        <v>0</v>
      </c>
      <c r="F10" s="71"/>
      <c r="G10" s="71">
        <f>Table4100161159112115120192930179116[[#This Row],[1998]]-Table4100161159112115120192930179116[[#This Row],[1994]]</f>
        <v>0</v>
      </c>
      <c r="H10" s="71"/>
      <c r="I10" s="71">
        <f>Table4100161159112115120192930179116[[#This Row],[2002]]-Table4100161159112115120192930179116[[#This Row],[1998]]</f>
        <v>1</v>
      </c>
      <c r="J10" s="71">
        <v>1</v>
      </c>
      <c r="K10" s="71">
        <f>Table4100161159112115120192930179116[[#This Row],[2006]]-Table4100161159112115120192930179116[[#This Row],[2002]]</f>
        <v>0</v>
      </c>
      <c r="L10" s="71">
        <v>1</v>
      </c>
      <c r="M10" s="71">
        <f>Table4100161159112115120192930179116[[#This Row],[2010]]-Table4100161159112115120192930179116[[#This Row],[2006]]</f>
        <v>0</v>
      </c>
      <c r="N10" s="71">
        <v>1</v>
      </c>
      <c r="O10" s="71">
        <f>Table4100161159112115120192930179116[[#This Row],[2014]]-Table4100161159112115120192930179116[[#This Row],[2010]]</f>
        <v>0</v>
      </c>
      <c r="P10" s="71">
        <v>1</v>
      </c>
      <c r="Q10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4</v>
      </c>
      <c r="R10" s="75">
        <v>9</v>
      </c>
    </row>
    <row r="11" spans="1:24" ht="19">
      <c r="A11" s="70" t="s">
        <v>101</v>
      </c>
      <c r="B11" s="71"/>
      <c r="C11" s="71">
        <f>Table4100161159112115120192930179116[[#This Row],[1990]]-Table4100161159112115120192930179116[[#This Row],[1986]]</f>
        <v>1</v>
      </c>
      <c r="D11" s="71">
        <v>1</v>
      </c>
      <c r="E11" s="71">
        <f>Table4100161159112115120192930179116[[#This Row],[1994]]-Table4100161159112115120192930179116[[#This Row],[1990]]</f>
        <v>1</v>
      </c>
      <c r="F11" s="71">
        <v>2</v>
      </c>
      <c r="G11" s="71">
        <f>Table4100161159112115120192930179116[[#This Row],[1998]]-Table4100161159112115120192930179116[[#This Row],[1994]]</f>
        <v>-1</v>
      </c>
      <c r="H11" s="71">
        <v>1</v>
      </c>
      <c r="I11" s="71">
        <f>Table4100161159112115120192930179116[[#This Row],[2002]]-Table4100161159112115120192930179116[[#This Row],[1998]]</f>
        <v>-1</v>
      </c>
      <c r="J11" s="71"/>
      <c r="K11" s="71">
        <f>Table4100161159112115120192930179116[[#This Row],[2006]]-Table4100161159112115120192930179116[[#This Row],[2002]]</f>
        <v>3</v>
      </c>
      <c r="L11" s="71">
        <v>3</v>
      </c>
      <c r="M11" s="71">
        <f>Table4100161159112115120192930179116[[#This Row],[2010]]-Table4100161159112115120192930179116[[#This Row],[2006]]</f>
        <v>0</v>
      </c>
      <c r="N11" s="71">
        <v>3</v>
      </c>
      <c r="O11" s="71">
        <f>Table4100161159112115120192930179116[[#This Row],[2014]]-Table4100161159112115120192930179116[[#This Row],[2010]]</f>
        <v>-1</v>
      </c>
      <c r="P11" s="71">
        <v>2</v>
      </c>
      <c r="Q11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12</v>
      </c>
      <c r="R11" s="75">
        <v>39</v>
      </c>
      <c r="T11" s="178" t="s">
        <v>416</v>
      </c>
      <c r="U11" s="178"/>
      <c r="V11" s="178"/>
      <c r="W11" s="178"/>
      <c r="X11" s="178"/>
    </row>
    <row r="12" spans="1:24" ht="19">
      <c r="A12" s="70" t="s">
        <v>99</v>
      </c>
      <c r="B12" s="71"/>
      <c r="C12" s="71">
        <f>Table4100161159112115120192930179116[[#This Row],[1990]]-Table4100161159112115120192930179116[[#This Row],[1986]]</f>
        <v>0</v>
      </c>
      <c r="D12" s="71"/>
      <c r="E12" s="71">
        <f>Table4100161159112115120192930179116[[#This Row],[1994]]-Table4100161159112115120192930179116[[#This Row],[1990]]</f>
        <v>0</v>
      </c>
      <c r="F12" s="71"/>
      <c r="G12" s="71">
        <f>Table4100161159112115120192930179116[[#This Row],[1998]]-Table4100161159112115120192930179116[[#This Row],[1994]]</f>
        <v>0</v>
      </c>
      <c r="H12" s="71"/>
      <c r="I12" s="71">
        <f>Table4100161159112115120192930179116[[#This Row],[2002]]-Table4100161159112115120192930179116[[#This Row],[1998]]</f>
        <v>2</v>
      </c>
      <c r="J12" s="71">
        <v>2</v>
      </c>
      <c r="K12" s="71">
        <f>Table4100161159112115120192930179116[[#This Row],[2006]]-Table4100161159112115120192930179116[[#This Row],[2002]]</f>
        <v>-1</v>
      </c>
      <c r="L12" s="71">
        <v>1</v>
      </c>
      <c r="M12" s="71">
        <f>Table4100161159112115120192930179116[[#This Row],[2010]]-Table4100161159112115120192930179116[[#This Row],[2006]]</f>
        <v>1</v>
      </c>
      <c r="N12" s="71">
        <v>2</v>
      </c>
      <c r="O12" s="71">
        <f>Table4100161159112115120192930179116[[#This Row],[2014]]-Table4100161159112115120192930179116[[#This Row],[2010]]</f>
        <v>0</v>
      </c>
      <c r="P12" s="71">
        <v>2</v>
      </c>
      <c r="Q12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7</v>
      </c>
      <c r="R12" s="75">
        <v>22</v>
      </c>
      <c r="T12" s="65" t="s">
        <v>410</v>
      </c>
      <c r="U12" s="66" t="s">
        <v>411</v>
      </c>
      <c r="V12" s="67" t="s">
        <v>412</v>
      </c>
      <c r="W12" s="68" t="s">
        <v>413</v>
      </c>
      <c r="X12" s="69" t="s">
        <v>414</v>
      </c>
    </row>
    <row r="13" spans="1:24" ht="19">
      <c r="A13" s="70" t="s">
        <v>90</v>
      </c>
      <c r="B13" s="71"/>
      <c r="C13" s="71">
        <f>Table4100161159112115120192930179116[[#This Row],[1990]]-Table4100161159112115120192930179116[[#This Row],[1986]]</f>
        <v>1</v>
      </c>
      <c r="D13" s="71">
        <v>1</v>
      </c>
      <c r="E13" s="71">
        <f>Table4100161159112115120192930179116[[#This Row],[1994]]-Table4100161159112115120192930179116[[#This Row],[1990]]</f>
        <v>-1</v>
      </c>
      <c r="F13" s="71"/>
      <c r="G13" s="71">
        <f>Table4100161159112115120192930179116[[#This Row],[1998]]-Table4100161159112115120192930179116[[#This Row],[1994]]</f>
        <v>2</v>
      </c>
      <c r="H13" s="71">
        <v>2</v>
      </c>
      <c r="I13" s="71">
        <f>Table4100161159112115120192930179116[[#This Row],[2002]]-Table4100161159112115120192930179116[[#This Row],[1998]]</f>
        <v>-1</v>
      </c>
      <c r="J13" s="71">
        <v>1</v>
      </c>
      <c r="K13" s="71">
        <f>Table4100161159112115120192930179116[[#This Row],[2006]]-Table4100161159112115120192930179116[[#This Row],[2002]]</f>
        <v>-1</v>
      </c>
      <c r="L13" s="71"/>
      <c r="M13" s="71">
        <f>Table4100161159112115120192930179116[[#This Row],[2010]]-Table4100161159112115120192930179116[[#This Row],[2006]]</f>
        <v>1</v>
      </c>
      <c r="N13" s="71">
        <v>1</v>
      </c>
      <c r="O13" s="71">
        <f>Table4100161159112115120192930179116[[#This Row],[2014]]-Table4100161159112115120192930179116[[#This Row],[2010]]</f>
        <v>-1</v>
      </c>
      <c r="P13" s="71"/>
      <c r="Q13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5</v>
      </c>
      <c r="R13" s="75">
        <v>18</v>
      </c>
      <c r="T13" s="9">
        <f>R9</f>
        <v>57</v>
      </c>
      <c r="U13" s="9">
        <f>R19</f>
        <v>151</v>
      </c>
      <c r="V13" s="9">
        <f>R25</f>
        <v>49</v>
      </c>
      <c r="W13" s="9">
        <f>R30</f>
        <v>179</v>
      </c>
      <c r="X13" s="9">
        <f>R34</f>
        <v>77</v>
      </c>
    </row>
    <row r="14" spans="1:24" ht="19">
      <c r="A14" s="70" t="s">
        <v>79</v>
      </c>
      <c r="B14" s="71"/>
      <c r="C14" s="71">
        <f>Table4100161159112115120192930179116[[#This Row],[1990]]-Table4100161159112115120192930179116[[#This Row],[1986]]</f>
        <v>0</v>
      </c>
      <c r="D14" s="71"/>
      <c r="E14" s="71">
        <f>Table4100161159112115120192930179116[[#This Row],[1994]]-Table4100161159112115120192930179116[[#This Row],[1990]]</f>
        <v>0</v>
      </c>
      <c r="F14" s="71"/>
      <c r="G14" s="71">
        <f>Table4100161159112115120192930179116[[#This Row],[1998]]-Table4100161159112115120192930179116[[#This Row],[1994]]</f>
        <v>0</v>
      </c>
      <c r="H14" s="71"/>
      <c r="I14" s="71">
        <f>Table4100161159112115120192930179116[[#This Row],[2002]]-Table4100161159112115120192930179116[[#This Row],[1998]]</f>
        <v>1</v>
      </c>
      <c r="J14" s="71">
        <v>1</v>
      </c>
      <c r="K14" s="71">
        <f>Table4100161159112115120192930179116[[#This Row],[2006]]-Table4100161159112115120192930179116[[#This Row],[2002]]</f>
        <v>1</v>
      </c>
      <c r="L14" s="71">
        <v>2</v>
      </c>
      <c r="M14" s="71">
        <f>Table4100161159112115120192930179116[[#This Row],[2010]]-Table4100161159112115120192930179116[[#This Row],[2006]]</f>
        <v>-1</v>
      </c>
      <c r="N14" s="71">
        <v>1</v>
      </c>
      <c r="O14" s="71">
        <f>Table4100161159112115120192930179116[[#This Row],[2014]]-Table4100161159112115120192930179116[[#This Row],[2010]]</f>
        <v>0</v>
      </c>
      <c r="P14" s="71">
        <v>1</v>
      </c>
      <c r="Q14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5</v>
      </c>
      <c r="R14" s="75">
        <v>12</v>
      </c>
      <c r="T14" s="44">
        <f>(N9/T13)*100</f>
        <v>5.2631578947368416</v>
      </c>
      <c r="U14" s="44">
        <f>(N19/U13)*100</f>
        <v>7.2847682119205297</v>
      </c>
      <c r="V14" s="44">
        <f>(N25/V13)*100</f>
        <v>12.244897959183673</v>
      </c>
      <c r="W14" s="44">
        <f>(N30/W13)*100</f>
        <v>10.05586592178771</v>
      </c>
      <c r="X14" s="44">
        <f>(N34/X13)*100</f>
        <v>1.2987012987012987</v>
      </c>
    </row>
    <row r="15" spans="1:24" ht="19">
      <c r="A15" s="70" t="s">
        <v>77</v>
      </c>
      <c r="B15" s="71"/>
      <c r="C15" s="71">
        <f>Table4100161159112115120192930179116[[#This Row],[1990]]-Table4100161159112115120192930179116[[#This Row],[1986]]</f>
        <v>0</v>
      </c>
      <c r="D15" s="71"/>
      <c r="E15" s="71">
        <f>Table4100161159112115120192930179116[[#This Row],[1994]]-Table4100161159112115120192930179116[[#This Row],[1990]]</f>
        <v>0</v>
      </c>
      <c r="F15" s="71"/>
      <c r="G15" s="71">
        <f>Table4100161159112115120192930179116[[#This Row],[1998]]-Table4100161159112115120192930179116[[#This Row],[1994]]</f>
        <v>0</v>
      </c>
      <c r="H15" s="71"/>
      <c r="I15" s="71">
        <f>Table4100161159112115120192930179116[[#This Row],[2002]]-Table4100161159112115120192930179116[[#This Row],[1998]]</f>
        <v>1</v>
      </c>
      <c r="J15" s="71">
        <v>1</v>
      </c>
      <c r="K15" s="71">
        <f>Table4100161159112115120192930179116[[#This Row],[2006]]-Table4100161159112115120192930179116[[#This Row],[2002]]</f>
        <v>0</v>
      </c>
      <c r="L15" s="71">
        <v>1</v>
      </c>
      <c r="M15" s="71">
        <f>Table4100161159112115120192930179116[[#This Row],[2010]]-Table4100161159112115120192930179116[[#This Row],[2006]]</f>
        <v>1</v>
      </c>
      <c r="N15" s="71">
        <v>2</v>
      </c>
      <c r="O15" s="71">
        <f>Table4100161159112115120192930179116[[#This Row],[2014]]-Table4100161159112115120192930179116[[#This Row],[2010]]</f>
        <v>-1</v>
      </c>
      <c r="P15" s="71">
        <v>1</v>
      </c>
      <c r="Q15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5</v>
      </c>
      <c r="R15" s="75">
        <v>25</v>
      </c>
    </row>
    <row r="16" spans="1:24" ht="19">
      <c r="A16" s="70" t="s">
        <v>75</v>
      </c>
      <c r="B16" s="71"/>
      <c r="C16" s="71">
        <f>Table4100161159112115120192930179116[[#This Row],[1990]]-Table4100161159112115120192930179116[[#This Row],[1986]]</f>
        <v>0</v>
      </c>
      <c r="D16" s="71"/>
      <c r="E16" s="71">
        <f>Table4100161159112115120192930179116[[#This Row],[1994]]-Table4100161159112115120192930179116[[#This Row],[1990]]</f>
        <v>0</v>
      </c>
      <c r="F16" s="71"/>
      <c r="G16" s="71">
        <f>Table4100161159112115120192930179116[[#This Row],[1998]]-Table4100161159112115120192930179116[[#This Row],[1994]]</f>
        <v>0</v>
      </c>
      <c r="H16" s="71"/>
      <c r="I16" s="71">
        <f>Table4100161159112115120192930179116[[#This Row],[2002]]-Table4100161159112115120192930179116[[#This Row],[1998]]</f>
        <v>0</v>
      </c>
      <c r="J16" s="71"/>
      <c r="K16" s="71">
        <f>Table4100161159112115120192930179116[[#This Row],[2006]]-Table4100161159112115120192930179116[[#This Row],[2002]]</f>
        <v>0</v>
      </c>
      <c r="L16" s="71"/>
      <c r="M16" s="71">
        <f>Table4100161159112115120192930179116[[#This Row],[2010]]-Table4100161159112115120192930179116[[#This Row],[2006]]</f>
        <v>0</v>
      </c>
      <c r="N16" s="71"/>
      <c r="O16" s="71">
        <f>Table4100161159112115120192930179116[[#This Row],[2014]]-Table4100161159112115120192930179116[[#This Row],[2010]]</f>
        <v>0</v>
      </c>
      <c r="P16" s="71"/>
      <c r="Q16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0</v>
      </c>
      <c r="R16" s="75">
        <v>10</v>
      </c>
      <c r="T16" s="178" t="s">
        <v>417</v>
      </c>
      <c r="U16" s="178"/>
      <c r="V16" s="178"/>
      <c r="W16" s="178"/>
      <c r="X16" s="178"/>
    </row>
    <row r="17" spans="1:24" ht="19">
      <c r="A17" s="70" t="s">
        <v>69</v>
      </c>
      <c r="B17" s="71"/>
      <c r="C17" s="71">
        <f>Table4100161159112115120192930179116[[#This Row],[1990]]-Table4100161159112115120192930179116[[#This Row],[1986]]</f>
        <v>1</v>
      </c>
      <c r="D17" s="71">
        <v>1</v>
      </c>
      <c r="E17" s="71">
        <f>Table4100161159112115120192930179116[[#This Row],[1994]]-Table4100161159112115120192930179116[[#This Row],[1990]]</f>
        <v>-1</v>
      </c>
      <c r="F17" s="71"/>
      <c r="G17" s="71">
        <f>Table4100161159112115120192930179116[[#This Row],[1998]]-Table4100161159112115120192930179116[[#This Row],[1994]]</f>
        <v>0</v>
      </c>
      <c r="H17" s="71"/>
      <c r="I17" s="71">
        <f>Table4100161159112115120192930179116[[#This Row],[2002]]-Table4100161159112115120192930179116[[#This Row],[1998]]</f>
        <v>0</v>
      </c>
      <c r="J17" s="71"/>
      <c r="K17" s="71">
        <f>Table4100161159112115120192930179116[[#This Row],[2006]]-Table4100161159112115120192930179116[[#This Row],[2002]]</f>
        <v>1</v>
      </c>
      <c r="L17" s="71">
        <v>1</v>
      </c>
      <c r="M17" s="71">
        <f>Table4100161159112115120192930179116[[#This Row],[2010]]-Table4100161159112115120192930179116[[#This Row],[2006]]</f>
        <v>0</v>
      </c>
      <c r="N17" s="71">
        <v>1</v>
      </c>
      <c r="O17" s="71">
        <f>Table4100161159112115120192930179116[[#This Row],[2014]]-Table4100161159112115120192930179116[[#This Row],[2010]]</f>
        <v>0</v>
      </c>
      <c r="P17" s="71">
        <v>1</v>
      </c>
      <c r="Q17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4</v>
      </c>
      <c r="R17" s="75">
        <v>8</v>
      </c>
      <c r="T17" s="65" t="s">
        <v>410</v>
      </c>
      <c r="U17" s="66" t="s">
        <v>411</v>
      </c>
      <c r="V17" s="67" t="s">
        <v>412</v>
      </c>
      <c r="W17" s="68" t="s">
        <v>413</v>
      </c>
      <c r="X17" s="69" t="s">
        <v>414</v>
      </c>
    </row>
    <row r="18" spans="1:24" ht="19">
      <c r="A18" s="70" t="s">
        <v>56</v>
      </c>
      <c r="B18" s="71"/>
      <c r="C18" s="71">
        <f>Table4100161159112115120192930179116[[#This Row],[1990]]-Table4100161159112115120192930179116[[#This Row],[1986]]</f>
        <v>0</v>
      </c>
      <c r="D18" s="71"/>
      <c r="E18" s="71">
        <f>Table4100161159112115120192930179116[[#This Row],[1994]]-Table4100161159112115120192930179116[[#This Row],[1990]]</f>
        <v>0</v>
      </c>
      <c r="F18" s="71"/>
      <c r="G18" s="71">
        <f>Table4100161159112115120192930179116[[#This Row],[1998]]-Table4100161159112115120192930179116[[#This Row],[1994]]</f>
        <v>0</v>
      </c>
      <c r="H18" s="71"/>
      <c r="I18" s="71">
        <f>Table4100161159112115120192930179116[[#This Row],[2002]]-Table4100161159112115120192930179116[[#This Row],[1998]]</f>
        <v>1</v>
      </c>
      <c r="J18" s="71">
        <v>1</v>
      </c>
      <c r="K18" s="71">
        <f>Table4100161159112115120192930179116[[#This Row],[2006]]-Table4100161159112115120192930179116[[#This Row],[2002]]</f>
        <v>-1</v>
      </c>
      <c r="L18" s="71"/>
      <c r="M18" s="71">
        <f>Table4100161159112115120192930179116[[#This Row],[2010]]-Table4100161159112115120192930179116[[#This Row],[2006]]</f>
        <v>0</v>
      </c>
      <c r="N18" s="71"/>
      <c r="O18" s="71">
        <f>Table4100161159112115120192930179116[[#This Row],[2014]]-Table4100161159112115120192930179116[[#This Row],[2010]]</f>
        <v>0</v>
      </c>
      <c r="P18" s="71"/>
      <c r="Q18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1</v>
      </c>
      <c r="R18" s="75">
        <v>8</v>
      </c>
      <c r="T18" s="9">
        <f>R9</f>
        <v>57</v>
      </c>
      <c r="U18" s="9">
        <f>R19</f>
        <v>151</v>
      </c>
      <c r="V18" s="9">
        <f>R25</f>
        <v>49</v>
      </c>
      <c r="W18" s="9">
        <f>R30</f>
        <v>179</v>
      </c>
      <c r="X18" s="9">
        <f>R34</f>
        <v>77</v>
      </c>
    </row>
    <row r="19" spans="1:24" ht="19">
      <c r="A19" s="83" t="s">
        <v>411</v>
      </c>
      <c r="B19" s="84">
        <f>SUM(B10:B18)</f>
        <v>0</v>
      </c>
      <c r="C19" s="84">
        <f>Table4100161159112115120192930179116[[#This Row],[1990]]-Table4100161159112115120192930179116[[#This Row],[1986]]</f>
        <v>3</v>
      </c>
      <c r="D19" s="84">
        <f>SUM(D10:D18)</f>
        <v>3</v>
      </c>
      <c r="E19" s="79">
        <f>Table4100161159112115120192930179116[[#This Row],[1994]]-Table4100161159112115120192930179116[[#This Row],[1990]]</f>
        <v>-1</v>
      </c>
      <c r="F19" s="84">
        <f>SUM(F10:F18)</f>
        <v>2</v>
      </c>
      <c r="G19" s="79">
        <f>Table4100161159112115120192930179116[[#This Row],[1998]]-Table4100161159112115120192930179116[[#This Row],[1994]]</f>
        <v>1</v>
      </c>
      <c r="H19" s="84">
        <f>SUM(H10:H18)</f>
        <v>3</v>
      </c>
      <c r="I19" s="79">
        <f>Table4100161159112115120192930179116[[#This Row],[2002]]-Table4100161159112115120192930179116[[#This Row],[1998]]</f>
        <v>4</v>
      </c>
      <c r="J19" s="84">
        <f>SUM(J10:J18)</f>
        <v>7</v>
      </c>
      <c r="K19" s="79">
        <f>Table4100161159112115120192930179116[[#This Row],[2006]]-Table4100161159112115120192930179116[[#This Row],[2002]]</f>
        <v>2</v>
      </c>
      <c r="L19" s="84">
        <f>SUM(L10:L18)</f>
        <v>9</v>
      </c>
      <c r="M19" s="79">
        <f>Table4100161159112115120192930179116[[#This Row],[2010]]-Table4100161159112115120192930179116[[#This Row],[2006]]</f>
        <v>2</v>
      </c>
      <c r="N19" s="84">
        <f>SUM(N10:N18)</f>
        <v>11</v>
      </c>
      <c r="O19" s="79">
        <f>Table4100161159112115120192930179116[[#This Row],[2014]]-Table4100161159112115120192930179116[[#This Row],[2010]]</f>
        <v>-3</v>
      </c>
      <c r="P19" s="84">
        <f>SUM(P10:P18)</f>
        <v>8</v>
      </c>
      <c r="Q19" s="85">
        <f>SUM(Q10:Q18)</f>
        <v>43</v>
      </c>
      <c r="R19" s="43">
        <v>151</v>
      </c>
      <c r="T19" s="44">
        <f>(L9/T18)*100</f>
        <v>5.2631578947368416</v>
      </c>
      <c r="U19" s="44">
        <f>(L19/U18)*100</f>
        <v>5.9602649006622519</v>
      </c>
      <c r="V19" s="44">
        <f>(L25/V18)*100</f>
        <v>10.204081632653061</v>
      </c>
      <c r="W19" s="44">
        <f>(L30/W18)*100</f>
        <v>7.2625698324022352</v>
      </c>
      <c r="X19" s="44">
        <f>(L34/X18)*100</f>
        <v>3.8961038961038961</v>
      </c>
    </row>
    <row r="20" spans="1:24" ht="19">
      <c r="A20" s="70" t="s">
        <v>97</v>
      </c>
      <c r="B20" s="71"/>
      <c r="C20" s="71">
        <f>Table4100161159112115120192930179116[[#This Row],[1990]]-Table4100161159112115120192930179116[[#This Row],[1986]]</f>
        <v>0</v>
      </c>
      <c r="D20" s="71"/>
      <c r="E20" s="71">
        <f>Table4100161159112115120192930179116[[#This Row],[1994]]-Table4100161159112115120192930179116[[#This Row],[1990]]</f>
        <v>0</v>
      </c>
      <c r="F20" s="71"/>
      <c r="G20" s="71">
        <f>Table4100161159112115120192930179116[[#This Row],[1998]]-Table4100161159112115120192930179116[[#This Row],[1994]]</f>
        <v>0</v>
      </c>
      <c r="H20" s="71"/>
      <c r="I20" s="71">
        <f>Table4100161159112115120192930179116[[#This Row],[2002]]-Table4100161159112115120192930179116[[#This Row],[1998]]</f>
        <v>0</v>
      </c>
      <c r="J20" s="71"/>
      <c r="K20" s="71">
        <f>Table4100161159112115120192930179116[[#This Row],[2006]]-Table4100161159112115120192930179116[[#This Row],[2002]]</f>
        <v>1</v>
      </c>
      <c r="L20" s="71">
        <v>1</v>
      </c>
      <c r="M20" s="71">
        <f>Table4100161159112115120192930179116[[#This Row],[2010]]-Table4100161159112115120192930179116[[#This Row],[2006]]</f>
        <v>1</v>
      </c>
      <c r="N20" s="71">
        <v>2</v>
      </c>
      <c r="O20" s="71">
        <f>Table4100161159112115120192930179116[[#This Row],[2014]]-Table4100161159112115120192930179116[[#This Row],[2010]]</f>
        <v>-1</v>
      </c>
      <c r="P20" s="71">
        <v>1</v>
      </c>
      <c r="Q20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4</v>
      </c>
      <c r="R20" s="75">
        <v>8</v>
      </c>
    </row>
    <row r="21" spans="1:24" ht="19">
      <c r="A21" s="86" t="s">
        <v>94</v>
      </c>
      <c r="B21" s="71"/>
      <c r="C21" s="71">
        <f>Table4100161159112115120192930179116[[#This Row],[1990]]-Table4100161159112115120192930179116[[#This Row],[1986]]</f>
        <v>0</v>
      </c>
      <c r="D21" s="71"/>
      <c r="E21" s="71">
        <f>Table4100161159112115120192930179116[[#This Row],[1994]]-Table4100161159112115120192930179116[[#This Row],[1990]]</f>
        <v>0</v>
      </c>
      <c r="F21" s="71"/>
      <c r="G21" s="71">
        <f>Table4100161159112115120192930179116[[#This Row],[1998]]-Table4100161159112115120192930179116[[#This Row],[1994]]</f>
        <v>2</v>
      </c>
      <c r="H21" s="71">
        <v>2</v>
      </c>
      <c r="I21" s="71">
        <f>Table4100161159112115120192930179116[[#This Row],[2002]]-Table4100161159112115120192930179116[[#This Row],[1998]]</f>
        <v>-2</v>
      </c>
      <c r="J21" s="71"/>
      <c r="K21" s="71">
        <f>Table4100161159112115120192930179116[[#This Row],[2006]]-Table4100161159112115120192930179116[[#This Row],[2002]]</f>
        <v>1</v>
      </c>
      <c r="L21" s="71">
        <v>1</v>
      </c>
      <c r="M21" s="71">
        <f>Table4100161159112115120192930179116[[#This Row],[2010]]-Table4100161159112115120192930179116[[#This Row],[2006]]</f>
        <v>0</v>
      </c>
      <c r="N21" s="71">
        <v>1</v>
      </c>
      <c r="O21" s="71">
        <f>Table4100161159112115120192930179116[[#This Row],[2014]]-Table4100161159112115120192930179116[[#This Row],[2010]]</f>
        <v>1</v>
      </c>
      <c r="P21" s="71">
        <v>2</v>
      </c>
      <c r="Q21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6</v>
      </c>
      <c r="R21" s="75">
        <v>17</v>
      </c>
      <c r="T21" s="178" t="s">
        <v>418</v>
      </c>
      <c r="U21" s="178"/>
      <c r="V21" s="178"/>
      <c r="W21" s="178"/>
      <c r="X21" s="178"/>
    </row>
    <row r="22" spans="1:24" ht="19">
      <c r="A22" s="88" t="s">
        <v>85</v>
      </c>
      <c r="B22" s="71"/>
      <c r="C22" s="71">
        <f>Table4100161159112115120192930179116[[#This Row],[1990]]-Table4100161159112115120192930179116[[#This Row],[1986]]</f>
        <v>0</v>
      </c>
      <c r="D22" s="71"/>
      <c r="E22" s="71">
        <f>Table4100161159112115120192930179116[[#This Row],[1994]]-Table4100161159112115120192930179116[[#This Row],[1990]]</f>
        <v>0</v>
      </c>
      <c r="F22" s="71"/>
      <c r="G22" s="71">
        <f>Table4100161159112115120192930179116[[#This Row],[1998]]-Table4100161159112115120192930179116[[#This Row],[1994]]</f>
        <v>0</v>
      </c>
      <c r="H22" s="71"/>
      <c r="I22" s="71">
        <f>Table4100161159112115120192930179116[[#This Row],[2002]]-Table4100161159112115120192930179116[[#This Row],[1998]]</f>
        <v>0</v>
      </c>
      <c r="J22" s="71"/>
      <c r="K22" s="71">
        <f>Table4100161159112115120192930179116[[#This Row],[2006]]-Table4100161159112115120192930179116[[#This Row],[2002]]</f>
        <v>0</v>
      </c>
      <c r="L22" s="71"/>
      <c r="M22" s="71">
        <f>Table4100161159112115120192930179116[[#This Row],[2010]]-Table4100161159112115120192930179116[[#This Row],[2006]]</f>
        <v>1</v>
      </c>
      <c r="N22" s="71">
        <v>1</v>
      </c>
      <c r="O22" s="71">
        <f>Table4100161159112115120192930179116[[#This Row],[2014]]-Table4100161159112115120192930179116[[#This Row],[2010]]</f>
        <v>-1</v>
      </c>
      <c r="P22" s="71"/>
      <c r="Q22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1</v>
      </c>
      <c r="R22" s="75">
        <v>8</v>
      </c>
      <c r="T22" s="65" t="s">
        <v>410</v>
      </c>
      <c r="U22" s="66" t="s">
        <v>411</v>
      </c>
      <c r="V22" s="67" t="s">
        <v>412</v>
      </c>
      <c r="W22" s="68" t="s">
        <v>413</v>
      </c>
      <c r="X22" s="69" t="s">
        <v>414</v>
      </c>
    </row>
    <row r="23" spans="1:24" ht="19">
      <c r="A23" s="88" t="s">
        <v>83</v>
      </c>
      <c r="B23" s="71"/>
      <c r="C23" s="71">
        <f>Table4100161159112115120192930179116[[#This Row],[1990]]-Table4100161159112115120192930179116[[#This Row],[1986]]</f>
        <v>4</v>
      </c>
      <c r="D23" s="71">
        <v>4</v>
      </c>
      <c r="E23" s="71">
        <f>Table4100161159112115120192930179116[[#This Row],[1994]]-Table4100161159112115120192930179116[[#This Row],[1990]]</f>
        <v>-3</v>
      </c>
      <c r="F23" s="71">
        <v>1</v>
      </c>
      <c r="G23" s="71">
        <f>Table4100161159112115120192930179116[[#This Row],[1998]]-Table4100161159112115120192930179116[[#This Row],[1994]]</f>
        <v>0</v>
      </c>
      <c r="H23" s="71">
        <v>1</v>
      </c>
      <c r="I23" s="71">
        <f>Table4100161159112115120192930179116[[#This Row],[2002]]-Table4100161159112115120192930179116[[#This Row],[1998]]</f>
        <v>0</v>
      </c>
      <c r="J23" s="71">
        <v>1</v>
      </c>
      <c r="K23" s="71">
        <f>Table4100161159112115120192930179116[[#This Row],[2006]]-Table4100161159112115120192930179116[[#This Row],[2002]]</f>
        <v>1</v>
      </c>
      <c r="L23" s="71">
        <v>2</v>
      </c>
      <c r="M23" s="71">
        <f>Table4100161159112115120192930179116[[#This Row],[2010]]-Table4100161159112115120192930179116[[#This Row],[2006]]</f>
        <v>0</v>
      </c>
      <c r="N23" s="71">
        <v>2</v>
      </c>
      <c r="O23" s="71">
        <f>Table4100161159112115120192930179116[[#This Row],[2014]]-Table4100161159112115120192930179116[[#This Row],[2010]]</f>
        <v>-2</v>
      </c>
      <c r="P23" s="71"/>
      <c r="Q23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11</v>
      </c>
      <c r="R23" s="75">
        <v>8</v>
      </c>
      <c r="T23" s="9">
        <f>R9</f>
        <v>57</v>
      </c>
      <c r="U23" s="9">
        <f>R19</f>
        <v>151</v>
      </c>
      <c r="V23" s="9">
        <f>R25</f>
        <v>49</v>
      </c>
      <c r="W23" s="9">
        <f>R30</f>
        <v>179</v>
      </c>
      <c r="X23" s="9">
        <f>R34</f>
        <v>77</v>
      </c>
    </row>
    <row r="24" spans="1:24" ht="19">
      <c r="A24" s="88" t="s">
        <v>52</v>
      </c>
      <c r="B24" s="71"/>
      <c r="C24" s="71">
        <f>Table4100161159112115120192930179116[[#This Row],[1990]]-Table4100161159112115120192930179116[[#This Row],[1986]]</f>
        <v>0</v>
      </c>
      <c r="D24" s="71"/>
      <c r="E24" s="71">
        <f>Table4100161159112115120192930179116[[#This Row],[1994]]-Table4100161159112115120192930179116[[#This Row],[1990]]</f>
        <v>0</v>
      </c>
      <c r="F24" s="71"/>
      <c r="G24" s="71">
        <f>Table4100161159112115120192930179116[[#This Row],[1998]]-Table4100161159112115120192930179116[[#This Row],[1994]]</f>
        <v>0</v>
      </c>
      <c r="H24" s="71"/>
      <c r="I24" s="71">
        <f>Table4100161159112115120192930179116[[#This Row],[2002]]-Table4100161159112115120192930179116[[#This Row],[1998]]</f>
        <v>0</v>
      </c>
      <c r="J24" s="71"/>
      <c r="K24" s="71">
        <f>Table4100161159112115120192930179116[[#This Row],[2006]]-Table4100161159112115120192930179116[[#This Row],[2002]]</f>
        <v>1</v>
      </c>
      <c r="L24" s="71">
        <v>1</v>
      </c>
      <c r="M24" s="71">
        <f>Table4100161159112115120192930179116[[#This Row],[2010]]-Table4100161159112115120192930179116[[#This Row],[2006]]</f>
        <v>-1</v>
      </c>
      <c r="N24" s="71"/>
      <c r="O24" s="71">
        <f>Table4100161159112115120192930179116[[#This Row],[2014]]-Table4100161159112115120192930179116[[#This Row],[2010]]</f>
        <v>0</v>
      </c>
      <c r="P24" s="71"/>
      <c r="Q24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1</v>
      </c>
      <c r="R24" s="75">
        <v>8</v>
      </c>
      <c r="T24" s="44">
        <f>(J9/T23)*100</f>
        <v>8.7719298245614024</v>
      </c>
      <c r="U24" s="44">
        <f>(J19/U23)*100</f>
        <v>4.6357615894039732</v>
      </c>
      <c r="V24" s="44">
        <f>(J25/V23)*100</f>
        <v>2.0408163265306123</v>
      </c>
      <c r="W24" s="44">
        <f>(J30/W23)*100</f>
        <v>10.614525139664805</v>
      </c>
      <c r="X24" s="44">
        <f>(J34/X23)*100</f>
        <v>2.5974025974025974</v>
      </c>
    </row>
    <row r="25" spans="1:24" ht="19">
      <c r="A25" s="89" t="s">
        <v>412</v>
      </c>
      <c r="B25" s="79">
        <f>SUM(B20:B24)</f>
        <v>0</v>
      </c>
      <c r="C25" s="79">
        <f>Table4100161159112115120192930179116[[#This Row],[1990]]-Table4100161159112115120192930179116[[#This Row],[1986]]</f>
        <v>4</v>
      </c>
      <c r="D25" s="79">
        <f>SUM(D20:D24)</f>
        <v>4</v>
      </c>
      <c r="E25" s="79">
        <f>Table4100161159112115120192930179116[[#This Row],[1994]]-Table4100161159112115120192930179116[[#This Row],[1990]]</f>
        <v>-3</v>
      </c>
      <c r="F25" s="79">
        <f>SUM(F20:F24)</f>
        <v>1</v>
      </c>
      <c r="G25" s="79">
        <f>Table4100161159112115120192930179116[[#This Row],[1998]]-Table4100161159112115120192930179116[[#This Row],[1994]]</f>
        <v>2</v>
      </c>
      <c r="H25" s="79">
        <f>SUM(H20:H24)</f>
        <v>3</v>
      </c>
      <c r="I25" s="79">
        <f>Table4100161159112115120192930179116[[#This Row],[2002]]-Table4100161159112115120192930179116[[#This Row],[1998]]</f>
        <v>-2</v>
      </c>
      <c r="J25" s="79">
        <f>SUM(J20:J24)</f>
        <v>1</v>
      </c>
      <c r="K25" s="79">
        <f>Table4100161159112115120192930179116[[#This Row],[2006]]-Table4100161159112115120192930179116[[#This Row],[2002]]</f>
        <v>4</v>
      </c>
      <c r="L25" s="79">
        <f>SUM(L20:L24)</f>
        <v>5</v>
      </c>
      <c r="M25" s="79">
        <f>Table4100161159112115120192930179116[[#This Row],[2010]]-Table4100161159112115120192930179116[[#This Row],[2006]]</f>
        <v>1</v>
      </c>
      <c r="N25" s="79">
        <f>SUM(N20:N24)</f>
        <v>6</v>
      </c>
      <c r="O25" s="79">
        <f>Table4100161159112115120192930179116[[#This Row],[2014]]-Table4100161159112115120192930179116[[#This Row],[2010]]</f>
        <v>-3</v>
      </c>
      <c r="P25" s="79">
        <f>SUM(P20:P24)</f>
        <v>3</v>
      </c>
      <c r="Q25" s="90">
        <f>SUM(Q20:Q24)</f>
        <v>23</v>
      </c>
      <c r="R25" s="91">
        <v>49</v>
      </c>
    </row>
    <row r="26" spans="1:24" ht="19">
      <c r="A26" s="88" t="s">
        <v>95</v>
      </c>
      <c r="B26" s="71"/>
      <c r="C26" s="71">
        <f>Table4100161159112115120192930179116[[#This Row],[1990]]-Table4100161159112115120192930179116[[#This Row],[1986]]</f>
        <v>1</v>
      </c>
      <c r="D26" s="71">
        <v>1</v>
      </c>
      <c r="E26" s="71">
        <f>Table4100161159112115120192930179116[[#This Row],[1994]]-Table4100161159112115120192930179116[[#This Row],[1990]]</f>
        <v>-1</v>
      </c>
      <c r="F26" s="71"/>
      <c r="G26" s="71">
        <f>Table4100161159112115120192930179116[[#This Row],[1998]]-Table4100161159112115120192930179116[[#This Row],[1994]]</f>
        <v>0</v>
      </c>
      <c r="H26" s="71"/>
      <c r="I26" s="71">
        <f>Table4100161159112115120192930179116[[#This Row],[2002]]-Table4100161159112115120192930179116[[#This Row],[1998]]</f>
        <v>1</v>
      </c>
      <c r="J26" s="71">
        <v>1</v>
      </c>
      <c r="K26" s="71">
        <f>Table4100161159112115120192930179116[[#This Row],[2006]]-Table4100161159112115120192930179116[[#This Row],[2002]]</f>
        <v>-1</v>
      </c>
      <c r="L26" s="71"/>
      <c r="M26" s="71">
        <f>Table4100161159112115120192930179116[[#This Row],[2010]]-Table4100161159112115120192930179116[[#This Row],[2006]]</f>
        <v>0</v>
      </c>
      <c r="N26" s="71"/>
      <c r="O26" s="71">
        <f>Table4100161159112115120192930179116[[#This Row],[2014]]-Table4100161159112115120192930179116[[#This Row],[2010]]</f>
        <v>0</v>
      </c>
      <c r="P26" s="71"/>
      <c r="Q26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2</v>
      </c>
      <c r="R26" s="75">
        <v>10</v>
      </c>
      <c r="T26" s="178" t="s">
        <v>419</v>
      </c>
      <c r="U26" s="178"/>
      <c r="V26" s="178"/>
      <c r="W26" s="178"/>
      <c r="X26" s="178"/>
    </row>
    <row r="27" spans="1:24" ht="19">
      <c r="A27" s="88" t="s">
        <v>88</v>
      </c>
      <c r="B27" s="71"/>
      <c r="C27" s="71">
        <f>Table4100161159112115120192930179116[[#This Row],[1990]]-Table4100161159112115120192930179116[[#This Row],[1986]]</f>
        <v>4</v>
      </c>
      <c r="D27" s="71">
        <v>4</v>
      </c>
      <c r="E27" s="71">
        <f>Table4100161159112115120192930179116[[#This Row],[1994]]-Table4100161159112115120192930179116[[#This Row],[1990]]</f>
        <v>-3</v>
      </c>
      <c r="F27" s="71">
        <v>1</v>
      </c>
      <c r="G27" s="71">
        <f>Table4100161159112115120192930179116[[#This Row],[1998]]-Table4100161159112115120192930179116[[#This Row],[1994]]</f>
        <v>2</v>
      </c>
      <c r="H27" s="71">
        <v>3</v>
      </c>
      <c r="I27" s="71">
        <f>Table4100161159112115120192930179116[[#This Row],[2002]]-Table4100161159112115120192930179116[[#This Row],[1998]]</f>
        <v>3</v>
      </c>
      <c r="J27" s="71">
        <v>6</v>
      </c>
      <c r="K27" s="71">
        <f>Table4100161159112115120192930179116[[#This Row],[2006]]-Table4100161159112115120192930179116[[#This Row],[2002]]</f>
        <v>1</v>
      </c>
      <c r="L27" s="71">
        <v>7</v>
      </c>
      <c r="M27" s="71">
        <f>Table4100161159112115120192930179116[[#This Row],[2010]]-Table4100161159112115120192930179116[[#This Row],[2006]]</f>
        <v>0</v>
      </c>
      <c r="N27" s="71">
        <v>7</v>
      </c>
      <c r="O27" s="71">
        <f>Table4100161159112115120192930179116[[#This Row],[2014]]-Table4100161159112115120192930179116[[#This Row],[2010]]</f>
        <v>-3</v>
      </c>
      <c r="P27" s="71">
        <v>4</v>
      </c>
      <c r="Q27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32</v>
      </c>
      <c r="R27" s="75">
        <v>53</v>
      </c>
      <c r="T27" s="65" t="s">
        <v>410</v>
      </c>
      <c r="U27" s="66" t="s">
        <v>411</v>
      </c>
      <c r="V27" s="67" t="s">
        <v>412</v>
      </c>
      <c r="W27" s="68" t="s">
        <v>413</v>
      </c>
      <c r="X27" s="69" t="s">
        <v>414</v>
      </c>
    </row>
    <row r="28" spans="1:24" ht="19">
      <c r="A28" s="88" t="s">
        <v>72</v>
      </c>
      <c r="B28" s="71">
        <v>5</v>
      </c>
      <c r="C28" s="71">
        <f>Table4100161159112115120192930179116[[#This Row],[1990]]-Table4100161159112115120192930179116[[#This Row],[1986]]</f>
        <v>-2</v>
      </c>
      <c r="D28" s="71">
        <v>3</v>
      </c>
      <c r="E28" s="71">
        <f>Table4100161159112115120192930179116[[#This Row],[1994]]-Table4100161159112115120192930179116[[#This Row],[1990]]</f>
        <v>0</v>
      </c>
      <c r="F28" s="71">
        <v>3</v>
      </c>
      <c r="G28" s="71">
        <f>Table4100161159112115120192930179116[[#This Row],[1998]]-Table4100161159112115120192930179116[[#This Row],[1994]]</f>
        <v>-3</v>
      </c>
      <c r="H28" s="71"/>
      <c r="I28" s="71">
        <f>Table4100161159112115120192930179116[[#This Row],[2002]]-Table4100161159112115120192930179116[[#This Row],[1998]]</f>
        <v>3</v>
      </c>
      <c r="J28" s="71">
        <v>3</v>
      </c>
      <c r="K28" s="71">
        <f>Table4100161159112115120192930179116[[#This Row],[2006]]-Table4100161159112115120192930179116[[#This Row],[2002]]</f>
        <v>0</v>
      </c>
      <c r="L28" s="71">
        <v>3</v>
      </c>
      <c r="M28" s="71">
        <f>Table4100161159112115120192930179116[[#This Row],[2010]]-Table4100161159112115120192930179116[[#This Row],[2006]]</f>
        <v>4</v>
      </c>
      <c r="N28" s="71">
        <v>7</v>
      </c>
      <c r="O28" s="71">
        <f>Table4100161159112115120192930179116[[#This Row],[2014]]-Table4100161159112115120192930179116[[#This Row],[2010]]</f>
        <v>-2</v>
      </c>
      <c r="P28" s="71">
        <v>5</v>
      </c>
      <c r="Q28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29</v>
      </c>
      <c r="R28" s="75">
        <v>46</v>
      </c>
      <c r="T28" s="9">
        <f>R9</f>
        <v>57</v>
      </c>
      <c r="U28" s="9">
        <f>R19</f>
        <v>151</v>
      </c>
      <c r="V28" s="9">
        <f>R25</f>
        <v>49</v>
      </c>
      <c r="W28" s="9">
        <f>R30</f>
        <v>179</v>
      </c>
      <c r="X28" s="9">
        <f>R34</f>
        <v>77</v>
      </c>
    </row>
    <row r="29" spans="1:24" ht="19">
      <c r="A29" s="88" t="s">
        <v>54</v>
      </c>
      <c r="B29" s="71">
        <v>1</v>
      </c>
      <c r="C29" s="71">
        <f>Table4100161159112115120192930179116[[#This Row],[1990]]-Table4100161159112115120192930179116[[#This Row],[1986]]</f>
        <v>4</v>
      </c>
      <c r="D29" s="71">
        <v>5</v>
      </c>
      <c r="E29" s="71">
        <f>Table4100161159112115120192930179116[[#This Row],[1994]]-Table4100161159112115120192930179116[[#This Row],[1990]]</f>
        <v>1</v>
      </c>
      <c r="F29" s="71">
        <v>6</v>
      </c>
      <c r="G29" s="71">
        <f>Table4100161159112115120192930179116[[#This Row],[1998]]-Table4100161159112115120192930179116[[#This Row],[1994]]</f>
        <v>-3</v>
      </c>
      <c r="H29" s="71">
        <v>3</v>
      </c>
      <c r="I29" s="71">
        <f>Table4100161159112115120192930179116[[#This Row],[2002]]-Table4100161159112115120192930179116[[#This Row],[1998]]</f>
        <v>6</v>
      </c>
      <c r="J29" s="71">
        <v>9</v>
      </c>
      <c r="K29" s="71">
        <f>Table4100161159112115120192930179116[[#This Row],[2006]]-Table4100161159112115120192930179116[[#This Row],[2002]]</f>
        <v>-6</v>
      </c>
      <c r="L29" s="71">
        <v>3</v>
      </c>
      <c r="M29" s="71">
        <f>Table4100161159112115120192930179116[[#This Row],[2010]]-Table4100161159112115120192930179116[[#This Row],[2006]]</f>
        <v>1</v>
      </c>
      <c r="N29" s="71">
        <v>4</v>
      </c>
      <c r="O29" s="71">
        <f>Table4100161159112115120192930179116[[#This Row],[2014]]-Table4100161159112115120192930179116[[#This Row],[2010]]</f>
        <v>2</v>
      </c>
      <c r="P29" s="71">
        <v>6</v>
      </c>
      <c r="Q29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37</v>
      </c>
      <c r="R29" s="75">
        <v>70</v>
      </c>
      <c r="T29" s="44">
        <f>(H9/T28)*100</f>
        <v>1.7543859649122806</v>
      </c>
      <c r="U29" s="44">
        <f>(H19/U28)*100</f>
        <v>1.9867549668874174</v>
      </c>
      <c r="V29" s="44">
        <f>(H25/V28)*100</f>
        <v>6.1224489795918364</v>
      </c>
      <c r="W29" s="44">
        <f>(H30/W28)*100</f>
        <v>3.3519553072625698</v>
      </c>
      <c r="X29" s="44">
        <f>(H34/X28)*100</f>
        <v>0</v>
      </c>
    </row>
    <row r="30" spans="1:24" ht="19">
      <c r="A30" s="93" t="s">
        <v>413</v>
      </c>
      <c r="B30" s="79">
        <f>SUM(B26:B29)</f>
        <v>6</v>
      </c>
      <c r="C30" s="79">
        <f>Table4100161159112115120192930179116[[#This Row],[1990]]-Table4100161159112115120192930179116[[#This Row],[1986]]</f>
        <v>7</v>
      </c>
      <c r="D30" s="79">
        <f>SUM(D26:D29)</f>
        <v>13</v>
      </c>
      <c r="E30" s="79">
        <f>Table4100161159112115120192930179116[[#This Row],[1994]]-Table4100161159112115120192930179116[[#This Row],[1990]]</f>
        <v>-3</v>
      </c>
      <c r="F30" s="79">
        <f>SUM(F26:F29)</f>
        <v>10</v>
      </c>
      <c r="G30" s="79">
        <f>Table4100161159112115120192930179116[[#This Row],[1998]]-Table4100161159112115120192930179116[[#This Row],[1994]]</f>
        <v>-4</v>
      </c>
      <c r="H30" s="79">
        <f>SUM(H26:H29)</f>
        <v>6</v>
      </c>
      <c r="I30" s="79">
        <f>Table4100161159112115120192930179116[[#This Row],[2002]]-Table4100161159112115120192930179116[[#This Row],[1998]]</f>
        <v>13</v>
      </c>
      <c r="J30" s="79">
        <f>SUM(J26:J29)</f>
        <v>19</v>
      </c>
      <c r="K30" s="79">
        <f>Table4100161159112115120192930179116[[#This Row],[2006]]-Table4100161159112115120192930179116[[#This Row],[2002]]</f>
        <v>-6</v>
      </c>
      <c r="L30" s="79">
        <f>SUM(L26:L29)</f>
        <v>13</v>
      </c>
      <c r="M30" s="79">
        <f>Table4100161159112115120192930179116[[#This Row],[2010]]-Table4100161159112115120192930179116[[#This Row],[2006]]</f>
        <v>5</v>
      </c>
      <c r="N30" s="79">
        <f>SUM(N26:N29)</f>
        <v>18</v>
      </c>
      <c r="O30" s="79">
        <f>Table4100161159112115120192930179116[[#This Row],[2014]]-Table4100161159112115120192930179116[[#This Row],[2010]]</f>
        <v>-3</v>
      </c>
      <c r="P30" s="79">
        <f>SUM(P26:P29)</f>
        <v>15</v>
      </c>
      <c r="Q30" s="94">
        <f>SUM(Q26:Q29)</f>
        <v>100</v>
      </c>
      <c r="R30" s="95">
        <v>179</v>
      </c>
    </row>
    <row r="31" spans="1:24" ht="19">
      <c r="A31" s="88" t="s">
        <v>13</v>
      </c>
      <c r="B31" s="71"/>
      <c r="C31" s="71">
        <f>Table4100161159112115120192930179116[[#This Row],[1990]]-Table4100161159112115120192930179116[[#This Row],[1986]]</f>
        <v>4</v>
      </c>
      <c r="D31" s="71">
        <v>4</v>
      </c>
      <c r="E31" s="71">
        <f>Table4100161159112115120192930179116[[#This Row],[1994]]-Table4100161159112115120192930179116[[#This Row],[1990]]</f>
        <v>-4</v>
      </c>
      <c r="F31" s="71"/>
      <c r="G31" s="71">
        <f>Table4100161159112115120192930179116[[#This Row],[1998]]-Table4100161159112115120192930179116[[#This Row],[1994]]</f>
        <v>0</v>
      </c>
      <c r="H31" s="71"/>
      <c r="I31" s="71">
        <f>Table4100161159112115120192930179116[[#This Row],[2002]]-Table4100161159112115120192930179116[[#This Row],[1998]]</f>
        <v>1</v>
      </c>
      <c r="J31" s="71">
        <v>1</v>
      </c>
      <c r="K31" s="71">
        <f>Table4100161159112115120192930179116[[#This Row],[2006]]-Table4100161159112115120192930179116[[#This Row],[2002]]</f>
        <v>1</v>
      </c>
      <c r="L31" s="71">
        <v>2</v>
      </c>
      <c r="M31" s="71">
        <f>Table4100161159112115120192930179116[[#This Row],[2010]]-Table4100161159112115120192930179116[[#This Row],[2006]]</f>
        <v>-1</v>
      </c>
      <c r="N31" s="71">
        <v>1</v>
      </c>
      <c r="O31" s="71">
        <f>Table4100161159112115120192930179116[[#This Row],[2014]]-Table4100161159112115120192930179116[[#This Row],[2010]]</f>
        <v>1</v>
      </c>
      <c r="P31" s="71">
        <v>2</v>
      </c>
      <c r="Q31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10</v>
      </c>
      <c r="R31" s="75">
        <v>30</v>
      </c>
      <c r="T31" s="178" t="s">
        <v>421</v>
      </c>
      <c r="U31" s="178"/>
      <c r="V31" s="178"/>
      <c r="W31" s="178"/>
      <c r="X31" s="178"/>
    </row>
    <row r="32" spans="1:24" ht="19">
      <c r="A32" s="88" t="s">
        <v>62</v>
      </c>
      <c r="B32" s="71"/>
      <c r="C32" s="71">
        <f>Table4100161159112115120192930179116[[#This Row],[1990]]-Table4100161159112115120192930179116[[#This Row],[1986]]</f>
        <v>0</v>
      </c>
      <c r="D32" s="71"/>
      <c r="E32" s="71">
        <f>Table4100161159112115120192930179116[[#This Row],[1994]]-Table4100161159112115120192930179116[[#This Row],[1990]]</f>
        <v>0</v>
      </c>
      <c r="F32" s="71"/>
      <c r="G32" s="71">
        <f>Table4100161159112115120192930179116[[#This Row],[1998]]-Table4100161159112115120192930179116[[#This Row],[1994]]</f>
        <v>0</v>
      </c>
      <c r="H32" s="71"/>
      <c r="I32" s="71">
        <f>Table4100161159112115120192930179116[[#This Row],[2002]]-Table4100161159112115120192930179116[[#This Row],[1998]]</f>
        <v>1</v>
      </c>
      <c r="J32" s="71">
        <v>1</v>
      </c>
      <c r="K32" s="71">
        <f>Table4100161159112115120192930179116[[#This Row],[2006]]-Table4100161159112115120192930179116[[#This Row],[2002]]</f>
        <v>-1</v>
      </c>
      <c r="L32" s="71"/>
      <c r="M32" s="71">
        <f>Table4100161159112115120192930179116[[#This Row],[2010]]-Table4100161159112115120192930179116[[#This Row],[2006]]</f>
        <v>0</v>
      </c>
      <c r="N32" s="71"/>
      <c r="O32" s="71">
        <f>Table4100161159112115120192930179116[[#This Row],[2014]]-Table4100161159112115120192930179116[[#This Row],[2010]]</f>
        <v>0</v>
      </c>
      <c r="P32" s="71"/>
      <c r="Q32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1</v>
      </c>
      <c r="R32" s="75">
        <v>31</v>
      </c>
      <c r="T32" s="65" t="s">
        <v>410</v>
      </c>
      <c r="U32" s="66" t="s">
        <v>411</v>
      </c>
      <c r="V32" s="67" t="s">
        <v>412</v>
      </c>
      <c r="W32" s="68" t="s">
        <v>413</v>
      </c>
      <c r="X32" s="69" t="s">
        <v>414</v>
      </c>
    </row>
    <row r="33" spans="1:24" ht="19">
      <c r="A33" s="88" t="s">
        <v>60</v>
      </c>
      <c r="B33" s="71"/>
      <c r="C33" s="71">
        <f>Table4100161159112115120192930179116[[#This Row],[1990]]-Table4100161159112115120192930179116[[#This Row],[1986]]</f>
        <v>1</v>
      </c>
      <c r="D33" s="71">
        <v>1</v>
      </c>
      <c r="E33" s="71">
        <f>Table4100161159112115120192930179116[[#This Row],[1994]]-Table4100161159112115120192930179116[[#This Row],[1990]]</f>
        <v>-1</v>
      </c>
      <c r="F33" s="71"/>
      <c r="G33" s="71">
        <f>Table4100161159112115120192930179116[[#This Row],[1998]]-Table4100161159112115120192930179116[[#This Row],[1994]]</f>
        <v>0</v>
      </c>
      <c r="H33" s="71"/>
      <c r="I33" s="71">
        <f>Table4100161159112115120192930179116[[#This Row],[2002]]-Table4100161159112115120192930179116[[#This Row],[1998]]</f>
        <v>0</v>
      </c>
      <c r="J33" s="71"/>
      <c r="K33" s="71">
        <f>Table4100161159112115120192930179116[[#This Row],[2006]]-Table4100161159112115120192930179116[[#This Row],[2002]]</f>
        <v>1</v>
      </c>
      <c r="L33" s="71">
        <v>1</v>
      </c>
      <c r="M33" s="71">
        <f>Table4100161159112115120192930179116[[#This Row],[2010]]-Table4100161159112115120192930179116[[#This Row],[2006]]</f>
        <v>-1</v>
      </c>
      <c r="N33" s="71"/>
      <c r="O33" s="71">
        <f>Table4100161159112115120192930179116[[#This Row],[2014]]-Table4100161159112115120192930179116[[#This Row],[2010]]</f>
        <v>1</v>
      </c>
      <c r="P33" s="71">
        <v>1</v>
      </c>
      <c r="Q33" s="73">
        <f>SUM(Table4100161159112115120192930179116[[#This Row],[1986]],Table4100161159112115120192930179116[[#This Row],[1990]],Table4100161159112115120192930179116[[#This Row],[1994]],Table4100161159112115120192930179116[[#This Row],[1998]],Table4100161159112115120192930179116[[#This Row],[2002]],Table4100161159112115120192930179116[[#This Row],[2006]],Table4100161159112115120192930179116[[#This Row],[2010]],Table4100161159112115120192930179116[[#This Row],[2014]])</f>
        <v>3</v>
      </c>
      <c r="R33" s="75">
        <v>16</v>
      </c>
      <c r="T33" s="9">
        <f>R9</f>
        <v>57</v>
      </c>
      <c r="U33" s="9">
        <f>R19</f>
        <v>151</v>
      </c>
      <c r="V33" s="9">
        <f>R25</f>
        <v>49</v>
      </c>
      <c r="W33" s="9">
        <f>R30</f>
        <v>179</v>
      </c>
      <c r="X33" s="9">
        <f>R34</f>
        <v>77</v>
      </c>
    </row>
    <row r="34" spans="1:24" ht="19">
      <c r="A34" s="96" t="s">
        <v>414</v>
      </c>
      <c r="B34" s="97">
        <f>SUM(B31:B33)</f>
        <v>0</v>
      </c>
      <c r="C34" s="97">
        <f>Table4100161159112115120192930179116[[#This Row],[1990]]-Table4100161159112115120192930179116[[#This Row],[1986]]</f>
        <v>5</v>
      </c>
      <c r="D34" s="97">
        <f>SUM(D31:D33)</f>
        <v>5</v>
      </c>
      <c r="E34" s="79">
        <f>Table4100161159112115120192930179116[[#This Row],[1994]]-Table4100161159112115120192930179116[[#This Row],[1990]]</f>
        <v>-5</v>
      </c>
      <c r="F34" s="97">
        <f>SUM(F31:F33)</f>
        <v>0</v>
      </c>
      <c r="G34" s="79">
        <f>Table4100161159112115120192930179116[[#This Row],[1998]]-Table4100161159112115120192930179116[[#This Row],[1994]]</f>
        <v>0</v>
      </c>
      <c r="H34" s="97">
        <f>SUM(H31:H33)</f>
        <v>0</v>
      </c>
      <c r="I34" s="79">
        <f>Table4100161159112115120192930179116[[#This Row],[2002]]-Table4100161159112115120192930179116[[#This Row],[1998]]</f>
        <v>2</v>
      </c>
      <c r="J34" s="97">
        <f>SUM(J31:J33)</f>
        <v>2</v>
      </c>
      <c r="K34" s="79">
        <f>Table4100161159112115120192930179116[[#This Row],[2006]]-Table4100161159112115120192930179116[[#This Row],[2002]]</f>
        <v>1</v>
      </c>
      <c r="L34" s="97">
        <f>SUM(L31:L33)</f>
        <v>3</v>
      </c>
      <c r="M34" s="79">
        <f>Table4100161159112115120192930179116[[#This Row],[2010]]-Table4100161159112115120192930179116[[#This Row],[2006]]</f>
        <v>-2</v>
      </c>
      <c r="N34" s="97">
        <f>SUM(N31:N33)</f>
        <v>1</v>
      </c>
      <c r="O34" s="79">
        <f>Table4100161159112115120192930179116[[#This Row],[2014]]-Table4100161159112115120192930179116[[#This Row],[2010]]</f>
        <v>2</v>
      </c>
      <c r="P34" s="97">
        <f>SUM(P31:P33)</f>
        <v>3</v>
      </c>
      <c r="Q34" s="98">
        <f>SUM(Q31:Q33)</f>
        <v>14</v>
      </c>
      <c r="R34" s="99">
        <v>77</v>
      </c>
      <c r="T34" s="44">
        <f>(F9/T33)*100</f>
        <v>1.7543859649122806</v>
      </c>
      <c r="U34" s="44">
        <f>(F19/U33)*100</f>
        <v>1.3245033112582782</v>
      </c>
      <c r="V34" s="44">
        <f>(F25/V33)*100</f>
        <v>2.0408163265306123</v>
      </c>
      <c r="W34" s="44">
        <f>(F30/W33)*100</f>
        <v>5.5865921787709496</v>
      </c>
      <c r="X34" s="44">
        <f>(F34/X33)*100</f>
        <v>0</v>
      </c>
    </row>
    <row r="35" spans="1:24" ht="19">
      <c r="A35" s="100" t="s">
        <v>420</v>
      </c>
      <c r="B35" s="101">
        <f>SUM(B9,B19,B25,B30,B34)</f>
        <v>6</v>
      </c>
      <c r="C35" s="101">
        <f>Table4100161159112115120192930179116[[#This Row],[1990]]-Table4100161159112115120192930179116[[#This Row],[1986]]</f>
        <v>19</v>
      </c>
      <c r="D35" s="101">
        <f>SUM(D9,D19,D25,D30,D34)</f>
        <v>25</v>
      </c>
      <c r="E35" s="79">
        <f>Table4100161159112115120192930179116[[#This Row],[1994]]-Table4100161159112115120192930179116[[#This Row],[1990]]</f>
        <v>-11</v>
      </c>
      <c r="F35" s="101">
        <f>SUM(F9,F19,F25,F30,F34)</f>
        <v>14</v>
      </c>
      <c r="G35" s="79">
        <f>Table4100161159112115120192930179116[[#This Row],[1998]]-Table4100161159112115120192930179116[[#This Row],[1994]]</f>
        <v>-1</v>
      </c>
      <c r="H35" s="101">
        <f>SUM(H9,H19,H25,H30,H34)</f>
        <v>13</v>
      </c>
      <c r="I35" s="79">
        <f>Table4100161159112115120192930179116[[#This Row],[2002]]-Table4100161159112115120192930179116[[#This Row],[1998]]</f>
        <v>21</v>
      </c>
      <c r="J35" s="101">
        <f>SUM(J9,J19,J25,J30,J34)</f>
        <v>34</v>
      </c>
      <c r="K35" s="79">
        <f>Table4100161159112115120192930179116[[#This Row],[2006]]-Table4100161159112115120192930179116[[#This Row],[2002]]</f>
        <v>-1</v>
      </c>
      <c r="L35" s="101">
        <f>SUM(L9,L19,L25,L30,L34)</f>
        <v>33</v>
      </c>
      <c r="M35" s="79">
        <f>Table4100161159112115120192930179116[[#This Row],[2010]]-Table4100161159112115120192930179116[[#This Row],[2006]]</f>
        <v>6</v>
      </c>
      <c r="N35" s="101">
        <f>SUM(N9,N19,N25,N30,N34)</f>
        <v>39</v>
      </c>
      <c r="O35" s="79">
        <f>Table4100161159112115120192930179116[[#This Row],[2014]]-Table4100161159112115120192930179116[[#This Row],[2010]]</f>
        <v>-5</v>
      </c>
      <c r="P35" s="101">
        <f>SUM(P9,P19,P25,P30,P34)</f>
        <v>34</v>
      </c>
      <c r="Q35" s="102">
        <f>SUM(Q9,Q19,Q25,Q30,Q34)</f>
        <v>198</v>
      </c>
      <c r="R35" s="75">
        <v>513</v>
      </c>
    </row>
    <row r="36" spans="1:24">
      <c r="T36" s="178" t="s">
        <v>422</v>
      </c>
      <c r="U36" s="178"/>
      <c r="V36" s="178"/>
      <c r="W36" s="178"/>
      <c r="X36" s="178"/>
    </row>
    <row r="37" spans="1:24">
      <c r="T37" s="65" t="s">
        <v>410</v>
      </c>
      <c r="U37" s="66" t="s">
        <v>411</v>
      </c>
      <c r="V37" s="67" t="s">
        <v>412</v>
      </c>
      <c r="W37" s="68" t="s">
        <v>413</v>
      </c>
      <c r="X37" s="69" t="s">
        <v>414</v>
      </c>
    </row>
    <row r="38" spans="1:24">
      <c r="T38" s="9">
        <f>R9</f>
        <v>57</v>
      </c>
      <c r="U38" s="9">
        <f>R19</f>
        <v>151</v>
      </c>
      <c r="V38" s="9">
        <f>R25</f>
        <v>49</v>
      </c>
      <c r="W38" s="17">
        <f>(R30-10)</f>
        <v>169</v>
      </c>
      <c r="X38" s="9">
        <f>R34</f>
        <v>77</v>
      </c>
    </row>
    <row r="39" spans="1:24">
      <c r="T39" s="44">
        <f>(D9/T38)*100</f>
        <v>0</v>
      </c>
      <c r="U39" s="44">
        <f>(D19/U38)*100</f>
        <v>1.9867549668874174</v>
      </c>
      <c r="V39" s="44">
        <f>(D25/V38)*100</f>
        <v>8.1632653061224492</v>
      </c>
      <c r="W39" s="44">
        <f>(D30/W38)*100</f>
        <v>7.6923076923076925</v>
      </c>
      <c r="X39" s="44">
        <f>(D34/X38)*100</f>
        <v>6.4935064935064926</v>
      </c>
    </row>
    <row r="41" spans="1:24">
      <c r="T41" s="178" t="s">
        <v>428</v>
      </c>
      <c r="U41" s="178"/>
      <c r="V41" s="178"/>
      <c r="W41" s="178"/>
      <c r="X41" s="178"/>
    </row>
    <row r="42" spans="1:24">
      <c r="T42" s="65" t="s">
        <v>410</v>
      </c>
      <c r="U42" s="66" t="s">
        <v>411</v>
      </c>
      <c r="V42" s="67" t="s">
        <v>412</v>
      </c>
      <c r="W42" s="68" t="s">
        <v>413</v>
      </c>
      <c r="X42" s="69" t="s">
        <v>414</v>
      </c>
    </row>
    <row r="43" spans="1:24">
      <c r="T43" s="9">
        <f>R9</f>
        <v>57</v>
      </c>
      <c r="U43" s="9">
        <f>R19</f>
        <v>151</v>
      </c>
      <c r="V43" s="9">
        <f>R25</f>
        <v>49</v>
      </c>
      <c r="W43" s="17">
        <f>(R30-19)</f>
        <v>160</v>
      </c>
      <c r="X43" s="9">
        <f>R34</f>
        <v>77</v>
      </c>
    </row>
    <row r="44" spans="1:24">
      <c r="T44" s="44">
        <f>(B9/T43)*100</f>
        <v>0</v>
      </c>
      <c r="U44" s="44">
        <f>(B19/U43)*100</f>
        <v>0</v>
      </c>
      <c r="V44" s="44">
        <f>(B25/V43)*100</f>
        <v>0</v>
      </c>
      <c r="W44" s="44">
        <f>(B30/W43)*100</f>
        <v>3.75</v>
      </c>
      <c r="X44" s="44">
        <f>(B34/X43)*100</f>
        <v>0</v>
      </c>
    </row>
  </sheetData>
  <mergeCells count="10">
    <mergeCell ref="T26:X26"/>
    <mergeCell ref="T31:X31"/>
    <mergeCell ref="T36:X36"/>
    <mergeCell ref="T41:X41"/>
    <mergeCell ref="A1:Q1"/>
    <mergeCell ref="T1:X1"/>
    <mergeCell ref="T6:X6"/>
    <mergeCell ref="T11:X11"/>
    <mergeCell ref="T16:X16"/>
    <mergeCell ref="T21:X21"/>
  </mergeCells>
  <conditionalFormatting sqref="C4:C35">
    <cfRule type="cellIs" dxfId="235" priority="11" operator="greaterThan">
      <formula>0</formula>
    </cfRule>
  </conditionalFormatting>
  <conditionalFormatting sqref="C4:C35 E4:E35 G3:G35 I3:I35 K3:K35 M3:M35">
    <cfRule type="cellIs" dxfId="234" priority="10" operator="greaterThan">
      <formula>0</formula>
    </cfRule>
  </conditionalFormatting>
  <conditionalFormatting sqref="C4:C35 E4:E35 G3:G35 I3:I35 K3:K35 M3:M35">
    <cfRule type="cellIs" dxfId="233" priority="9" operator="lessThan">
      <formula>0</formula>
    </cfRule>
  </conditionalFormatting>
  <conditionalFormatting sqref="C3">
    <cfRule type="cellIs" dxfId="232" priority="8" operator="greaterThan">
      <formula>0</formula>
    </cfRule>
  </conditionalFormatting>
  <conditionalFormatting sqref="C3">
    <cfRule type="cellIs" dxfId="231" priority="7" operator="greaterThan">
      <formula>0</formula>
    </cfRule>
  </conditionalFormatting>
  <conditionalFormatting sqref="C3">
    <cfRule type="cellIs" dxfId="230" priority="6" operator="lessThan">
      <formula>0</formula>
    </cfRule>
  </conditionalFormatting>
  <conditionalFormatting sqref="E3">
    <cfRule type="cellIs" dxfId="229" priority="5" operator="greaterThan">
      <formula>0</formula>
    </cfRule>
  </conditionalFormatting>
  <conditionalFormatting sqref="E3">
    <cfRule type="cellIs" dxfId="228" priority="4" operator="greaterThan">
      <formula>0</formula>
    </cfRule>
  </conditionalFormatting>
  <conditionalFormatting sqref="E3">
    <cfRule type="cellIs" dxfId="227" priority="3" operator="lessThan">
      <formula>0</formula>
    </cfRule>
  </conditionalFormatting>
  <conditionalFormatting sqref="O3:O35">
    <cfRule type="cellIs" dxfId="226" priority="1" operator="lessThan">
      <formula>0</formula>
    </cfRule>
    <cfRule type="cellIs" dxfId="225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44"/>
  <sheetViews>
    <sheetView topLeftCell="G23" workbookViewId="0">
      <selection activeCell="W43" sqref="W43"/>
    </sheetView>
  </sheetViews>
  <sheetFormatPr baseColWidth="10" defaultRowHeight="16"/>
  <cols>
    <col min="1" max="1" width="17.6640625" customWidth="1"/>
    <col min="17" max="17" width="17.6640625" customWidth="1"/>
    <col min="18" max="18" width="21" customWidth="1"/>
  </cols>
  <sheetData>
    <row r="1" spans="1:24" ht="19">
      <c r="A1" s="179" t="s">
        <v>425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T1" s="178" t="s">
        <v>391</v>
      </c>
      <c r="U1" s="178"/>
      <c r="V1" s="178"/>
      <c r="W1" s="178"/>
      <c r="X1" s="178"/>
    </row>
    <row r="2" spans="1:24" ht="19">
      <c r="A2" s="105" t="s">
        <v>392</v>
      </c>
      <c r="B2" s="106">
        <v>1986</v>
      </c>
      <c r="C2" s="106" t="s">
        <v>394</v>
      </c>
      <c r="D2" s="106">
        <v>1990</v>
      </c>
      <c r="E2" s="106" t="s">
        <v>396</v>
      </c>
      <c r="F2" s="106">
        <v>1994</v>
      </c>
      <c r="G2" s="106" t="s">
        <v>398</v>
      </c>
      <c r="H2" s="106">
        <v>1998</v>
      </c>
      <c r="I2" s="106" t="s">
        <v>400</v>
      </c>
      <c r="J2" s="106">
        <v>2002</v>
      </c>
      <c r="K2" s="106" t="s">
        <v>402</v>
      </c>
      <c r="L2" s="106">
        <v>2006</v>
      </c>
      <c r="M2" s="106" t="s">
        <v>404</v>
      </c>
      <c r="N2" s="106">
        <v>2010</v>
      </c>
      <c r="O2" s="106" t="s">
        <v>406</v>
      </c>
      <c r="P2" s="106">
        <v>2014</v>
      </c>
      <c r="Q2" s="106" t="s">
        <v>408</v>
      </c>
      <c r="R2" s="106" t="s">
        <v>427</v>
      </c>
      <c r="T2" s="65" t="s">
        <v>410</v>
      </c>
      <c r="U2" s="66" t="s">
        <v>411</v>
      </c>
      <c r="V2" s="67" t="s">
        <v>412</v>
      </c>
      <c r="W2" s="68" t="s">
        <v>413</v>
      </c>
      <c r="X2" s="69" t="s">
        <v>414</v>
      </c>
    </row>
    <row r="3" spans="1:24" ht="19">
      <c r="A3" s="107" t="s">
        <v>110</v>
      </c>
      <c r="B3" s="108">
        <v>2</v>
      </c>
      <c r="C3" s="92">
        <v>2</v>
      </c>
      <c r="D3" s="108">
        <v>4</v>
      </c>
      <c r="E3" s="109">
        <v>0</v>
      </c>
      <c r="F3" s="108">
        <v>4</v>
      </c>
      <c r="G3" s="110">
        <v>-3</v>
      </c>
      <c r="H3" s="108">
        <v>1</v>
      </c>
      <c r="I3" s="92">
        <v>1</v>
      </c>
      <c r="J3" s="108">
        <v>2</v>
      </c>
      <c r="K3" s="110">
        <v>-1</v>
      </c>
      <c r="L3" s="108">
        <v>1</v>
      </c>
      <c r="M3" s="109">
        <v>0</v>
      </c>
      <c r="N3" s="108">
        <v>1</v>
      </c>
      <c r="O3" s="110">
        <v>-1</v>
      </c>
      <c r="P3" s="108"/>
      <c r="Q3" s="103">
        <v>15</v>
      </c>
      <c r="R3" s="74">
        <v>8</v>
      </c>
      <c r="T3" s="9">
        <f>R9*8</f>
        <v>456</v>
      </c>
      <c r="U3" s="9">
        <f>R19*8</f>
        <v>1208</v>
      </c>
      <c r="V3" s="9">
        <f>R25*8</f>
        <v>392</v>
      </c>
      <c r="W3" s="9">
        <f>R30*8</f>
        <v>1432</v>
      </c>
      <c r="X3" s="9">
        <f>R34*8</f>
        <v>616</v>
      </c>
    </row>
    <row r="4" spans="1:24" ht="19">
      <c r="A4" s="107" t="s">
        <v>106</v>
      </c>
      <c r="B4" s="108"/>
      <c r="C4" s="92">
        <v>2</v>
      </c>
      <c r="D4" s="108">
        <v>2</v>
      </c>
      <c r="E4" s="92">
        <v>1</v>
      </c>
      <c r="F4" s="108">
        <v>3</v>
      </c>
      <c r="G4" s="110">
        <v>-3</v>
      </c>
      <c r="H4" s="108"/>
      <c r="I4" s="109">
        <v>0</v>
      </c>
      <c r="J4" s="108"/>
      <c r="K4" s="92">
        <v>2</v>
      </c>
      <c r="L4" s="108">
        <v>2</v>
      </c>
      <c r="M4" s="109">
        <v>0</v>
      </c>
      <c r="N4" s="108">
        <v>2</v>
      </c>
      <c r="O4" s="110">
        <v>-1</v>
      </c>
      <c r="P4" s="108">
        <v>1</v>
      </c>
      <c r="Q4" s="103">
        <v>10</v>
      </c>
      <c r="R4" s="75">
        <v>8</v>
      </c>
      <c r="T4" s="44">
        <f>(Q9/T3)*100</f>
        <v>13.157894736842104</v>
      </c>
      <c r="U4" s="44">
        <f>(Q19/U3)*100</f>
        <v>7.5331125827814569</v>
      </c>
      <c r="V4" s="44">
        <f>(Q25/V3)*100</f>
        <v>14.030612244897958</v>
      </c>
      <c r="W4" s="44">
        <f>(Q30/W3)*100</f>
        <v>8.8687150837988824</v>
      </c>
      <c r="X4" s="76">
        <f>(Q34/X3)*100</f>
        <v>16.396103896103899</v>
      </c>
    </row>
    <row r="5" spans="1:24" ht="19">
      <c r="A5" s="107" t="s">
        <v>104</v>
      </c>
      <c r="B5" s="108"/>
      <c r="C5" s="92">
        <v>1</v>
      </c>
      <c r="D5" s="108">
        <v>1</v>
      </c>
      <c r="E5" s="92">
        <v>1</v>
      </c>
      <c r="F5" s="108">
        <v>2</v>
      </c>
      <c r="G5" s="110">
        <v>-2</v>
      </c>
      <c r="H5" s="108"/>
      <c r="I5" s="92">
        <v>1</v>
      </c>
      <c r="J5" s="108">
        <v>1</v>
      </c>
      <c r="K5" s="110">
        <v>-1</v>
      </c>
      <c r="L5" s="108"/>
      <c r="M5" s="109">
        <v>0</v>
      </c>
      <c r="N5" s="108"/>
      <c r="O5" s="92">
        <v>1</v>
      </c>
      <c r="P5" s="108">
        <v>1</v>
      </c>
      <c r="Q5" s="103">
        <v>5</v>
      </c>
      <c r="R5" s="75">
        <v>8</v>
      </c>
    </row>
    <row r="6" spans="1:24" ht="19">
      <c r="A6" s="107" t="s">
        <v>73</v>
      </c>
      <c r="B6" s="108">
        <v>2</v>
      </c>
      <c r="C6" s="92">
        <v>1</v>
      </c>
      <c r="D6" s="108">
        <v>3</v>
      </c>
      <c r="E6" s="92">
        <v>1</v>
      </c>
      <c r="F6" s="108">
        <v>4</v>
      </c>
      <c r="G6" s="110">
        <v>-3</v>
      </c>
      <c r="H6" s="108">
        <v>1</v>
      </c>
      <c r="I6" s="109">
        <v>0</v>
      </c>
      <c r="J6" s="108">
        <v>1</v>
      </c>
      <c r="K6" s="109">
        <v>0</v>
      </c>
      <c r="L6" s="108">
        <v>1</v>
      </c>
      <c r="M6" s="110">
        <v>-1</v>
      </c>
      <c r="N6" s="108"/>
      <c r="O6" s="109">
        <v>0</v>
      </c>
      <c r="P6" s="108"/>
      <c r="Q6" s="103">
        <v>12</v>
      </c>
      <c r="R6" s="75">
        <v>17</v>
      </c>
      <c r="T6" s="178" t="s">
        <v>415</v>
      </c>
      <c r="U6" s="178"/>
      <c r="V6" s="178"/>
      <c r="W6" s="178"/>
      <c r="X6" s="178"/>
    </row>
    <row r="7" spans="1:24" ht="19">
      <c r="A7" s="107" t="s">
        <v>67</v>
      </c>
      <c r="B7" s="111"/>
      <c r="C7" s="92">
        <v>3</v>
      </c>
      <c r="D7" s="111">
        <v>3</v>
      </c>
      <c r="E7" s="110">
        <v>-1</v>
      </c>
      <c r="F7" s="111">
        <v>2</v>
      </c>
      <c r="G7" s="110">
        <v>-2</v>
      </c>
      <c r="H7" s="111"/>
      <c r="I7" s="109">
        <v>0</v>
      </c>
      <c r="J7" s="111"/>
      <c r="K7" s="109">
        <v>0</v>
      </c>
      <c r="L7" s="111"/>
      <c r="M7" s="92">
        <v>1</v>
      </c>
      <c r="N7" s="111">
        <v>1</v>
      </c>
      <c r="O7" s="110">
        <v>-1</v>
      </c>
      <c r="P7" s="111"/>
      <c r="Q7" s="103">
        <v>6</v>
      </c>
      <c r="R7" s="75">
        <v>8</v>
      </c>
      <c r="T7" s="65" t="s">
        <v>410</v>
      </c>
      <c r="U7" s="66" t="s">
        <v>411</v>
      </c>
      <c r="V7" s="67" t="s">
        <v>412</v>
      </c>
      <c r="W7" s="68" t="s">
        <v>413</v>
      </c>
      <c r="X7" s="69" t="s">
        <v>414</v>
      </c>
    </row>
    <row r="8" spans="1:24" ht="19">
      <c r="A8" s="107" t="s">
        <v>65</v>
      </c>
      <c r="B8" s="108"/>
      <c r="C8" s="92">
        <v>4</v>
      </c>
      <c r="D8" s="108">
        <v>4</v>
      </c>
      <c r="E8" s="110">
        <v>-3</v>
      </c>
      <c r="F8" s="108">
        <v>1</v>
      </c>
      <c r="G8" s="92">
        <v>3</v>
      </c>
      <c r="H8" s="108">
        <v>4</v>
      </c>
      <c r="I8" s="110">
        <v>-3</v>
      </c>
      <c r="J8" s="108">
        <v>1</v>
      </c>
      <c r="K8" s="109">
        <v>0</v>
      </c>
      <c r="L8" s="108">
        <v>1</v>
      </c>
      <c r="M8" s="109">
        <v>0</v>
      </c>
      <c r="N8" s="108">
        <v>1</v>
      </c>
      <c r="O8" s="110">
        <v>-1</v>
      </c>
      <c r="P8" s="108"/>
      <c r="Q8" s="103">
        <v>12</v>
      </c>
      <c r="R8" s="75">
        <v>8</v>
      </c>
      <c r="T8" s="9">
        <f>R9</f>
        <v>57</v>
      </c>
      <c r="U8" s="9">
        <f>R19</f>
        <v>151</v>
      </c>
      <c r="V8" s="9">
        <f>R25</f>
        <v>49</v>
      </c>
      <c r="W8" s="9">
        <f>R30</f>
        <v>179</v>
      </c>
      <c r="X8" s="9">
        <f>R34</f>
        <v>77</v>
      </c>
    </row>
    <row r="9" spans="1:24" ht="19">
      <c r="A9" s="112" t="s">
        <v>410</v>
      </c>
      <c r="B9" s="113">
        <v>4</v>
      </c>
      <c r="C9" s="114">
        <v>13</v>
      </c>
      <c r="D9" s="113">
        <v>17</v>
      </c>
      <c r="E9" s="110">
        <v>-1</v>
      </c>
      <c r="F9" s="113">
        <v>16</v>
      </c>
      <c r="G9" s="110">
        <v>-10</v>
      </c>
      <c r="H9" s="113">
        <v>6</v>
      </c>
      <c r="I9" s="110">
        <v>-1</v>
      </c>
      <c r="J9" s="113">
        <v>5</v>
      </c>
      <c r="K9" s="115">
        <v>0</v>
      </c>
      <c r="L9" s="113">
        <v>5</v>
      </c>
      <c r="M9" s="115">
        <v>0</v>
      </c>
      <c r="N9" s="113">
        <v>5</v>
      </c>
      <c r="O9" s="110">
        <v>-3</v>
      </c>
      <c r="P9" s="113">
        <v>2</v>
      </c>
      <c r="Q9" s="116">
        <v>60</v>
      </c>
      <c r="R9" s="82">
        <v>57</v>
      </c>
      <c r="T9" s="44">
        <f>(P9/T8)*100</f>
        <v>3.5087719298245612</v>
      </c>
      <c r="U9" s="44">
        <f>(P19/U8)*100</f>
        <v>7.2847682119205297</v>
      </c>
      <c r="V9" s="44">
        <f>(P25/V8)*100</f>
        <v>6.1224489795918364</v>
      </c>
      <c r="W9" s="44">
        <f>(P30/W8)*100</f>
        <v>6.1452513966480442</v>
      </c>
      <c r="X9" s="44">
        <f>(P34/X8)*100</f>
        <v>14.285714285714285</v>
      </c>
    </row>
    <row r="10" spans="1:24" ht="19">
      <c r="A10" s="107" t="s">
        <v>108</v>
      </c>
      <c r="B10" s="108"/>
      <c r="C10" s="92">
        <v>1</v>
      </c>
      <c r="D10" s="108">
        <v>1</v>
      </c>
      <c r="E10" s="92">
        <v>1</v>
      </c>
      <c r="F10" s="108">
        <v>2</v>
      </c>
      <c r="G10" s="110">
        <v>-2</v>
      </c>
      <c r="H10" s="108"/>
      <c r="I10" s="109">
        <v>0</v>
      </c>
      <c r="J10" s="108"/>
      <c r="K10" s="92">
        <v>1</v>
      </c>
      <c r="L10" s="108">
        <v>1</v>
      </c>
      <c r="M10" s="109">
        <v>0</v>
      </c>
      <c r="N10" s="108">
        <v>1</v>
      </c>
      <c r="O10" s="109">
        <v>0</v>
      </c>
      <c r="P10" s="108">
        <v>1</v>
      </c>
      <c r="Q10" s="103">
        <v>6</v>
      </c>
      <c r="R10" s="75">
        <v>9</v>
      </c>
    </row>
    <row r="11" spans="1:24" ht="19">
      <c r="A11" s="107" t="s">
        <v>101</v>
      </c>
      <c r="B11" s="108"/>
      <c r="C11" s="92">
        <v>7</v>
      </c>
      <c r="D11" s="108">
        <v>7</v>
      </c>
      <c r="E11" s="110">
        <v>-5</v>
      </c>
      <c r="F11" s="108">
        <v>2</v>
      </c>
      <c r="G11" s="110">
        <v>-1</v>
      </c>
      <c r="H11" s="108">
        <v>1</v>
      </c>
      <c r="I11" s="92">
        <v>1</v>
      </c>
      <c r="J11" s="108">
        <v>2</v>
      </c>
      <c r="K11" s="92">
        <v>1</v>
      </c>
      <c r="L11" s="108">
        <v>3</v>
      </c>
      <c r="M11" s="92">
        <v>1</v>
      </c>
      <c r="N11" s="108">
        <v>4</v>
      </c>
      <c r="O11" s="109">
        <v>0</v>
      </c>
      <c r="P11" s="108">
        <v>4</v>
      </c>
      <c r="Q11" s="103">
        <v>23</v>
      </c>
      <c r="R11" s="75">
        <v>39</v>
      </c>
      <c r="T11" s="178" t="s">
        <v>416</v>
      </c>
      <c r="U11" s="178"/>
      <c r="V11" s="178"/>
      <c r="W11" s="178"/>
      <c r="X11" s="178"/>
    </row>
    <row r="12" spans="1:24" ht="19">
      <c r="A12" s="107" t="s">
        <v>99</v>
      </c>
      <c r="B12" s="108">
        <v>3</v>
      </c>
      <c r="C12" s="110">
        <v>-1</v>
      </c>
      <c r="D12" s="108">
        <v>2</v>
      </c>
      <c r="E12" s="109">
        <v>0</v>
      </c>
      <c r="F12" s="108">
        <v>2</v>
      </c>
      <c r="G12" s="110">
        <v>-1</v>
      </c>
      <c r="H12" s="108">
        <v>1</v>
      </c>
      <c r="I12" s="109">
        <v>0</v>
      </c>
      <c r="J12" s="108">
        <v>1</v>
      </c>
      <c r="K12" s="92">
        <v>1</v>
      </c>
      <c r="L12" s="108">
        <v>2</v>
      </c>
      <c r="M12" s="110">
        <v>-1</v>
      </c>
      <c r="N12" s="108">
        <v>1</v>
      </c>
      <c r="O12" s="110">
        <v>-1</v>
      </c>
      <c r="P12" s="108"/>
      <c r="Q12" s="103">
        <v>12</v>
      </c>
      <c r="R12" s="75">
        <v>22</v>
      </c>
      <c r="T12" s="65" t="s">
        <v>410</v>
      </c>
      <c r="U12" s="66" t="s">
        <v>411</v>
      </c>
      <c r="V12" s="67" t="s">
        <v>412</v>
      </c>
      <c r="W12" s="68" t="s">
        <v>413</v>
      </c>
      <c r="X12" s="69" t="s">
        <v>414</v>
      </c>
    </row>
    <row r="13" spans="1:24" ht="19">
      <c r="A13" s="107" t="s">
        <v>90</v>
      </c>
      <c r="B13" s="108">
        <v>2</v>
      </c>
      <c r="C13" s="92">
        <v>4</v>
      </c>
      <c r="D13" s="108">
        <v>6</v>
      </c>
      <c r="E13" s="110">
        <v>-6</v>
      </c>
      <c r="F13" s="108"/>
      <c r="G13" s="109">
        <v>0</v>
      </c>
      <c r="H13" s="108"/>
      <c r="I13" s="92">
        <v>1</v>
      </c>
      <c r="J13" s="108">
        <v>1</v>
      </c>
      <c r="K13" s="109">
        <v>0</v>
      </c>
      <c r="L13" s="108">
        <v>1</v>
      </c>
      <c r="M13" s="109">
        <v>0</v>
      </c>
      <c r="N13" s="108">
        <v>1</v>
      </c>
      <c r="O13" s="92">
        <v>1</v>
      </c>
      <c r="P13" s="108">
        <v>2</v>
      </c>
      <c r="Q13" s="103">
        <v>13</v>
      </c>
      <c r="R13" s="75">
        <v>18</v>
      </c>
      <c r="T13" s="9">
        <f>R9</f>
        <v>57</v>
      </c>
      <c r="U13" s="9">
        <f>R19</f>
        <v>151</v>
      </c>
      <c r="V13" s="9">
        <f>R25</f>
        <v>49</v>
      </c>
      <c r="W13" s="9">
        <f>R30</f>
        <v>179</v>
      </c>
      <c r="X13" s="9">
        <f>R34</f>
        <v>77</v>
      </c>
    </row>
    <row r="14" spans="1:24" ht="19">
      <c r="A14" s="107" t="s">
        <v>79</v>
      </c>
      <c r="B14" s="108">
        <v>1</v>
      </c>
      <c r="C14" s="110">
        <v>-1</v>
      </c>
      <c r="D14" s="108"/>
      <c r="E14" s="92">
        <v>1</v>
      </c>
      <c r="F14" s="108">
        <v>1</v>
      </c>
      <c r="G14" s="109">
        <v>0</v>
      </c>
      <c r="H14" s="108">
        <v>1</v>
      </c>
      <c r="I14" s="109">
        <v>0</v>
      </c>
      <c r="J14" s="108">
        <v>1</v>
      </c>
      <c r="K14" s="110">
        <v>-1</v>
      </c>
      <c r="L14" s="108"/>
      <c r="M14" s="92">
        <v>1</v>
      </c>
      <c r="N14" s="108">
        <v>1</v>
      </c>
      <c r="O14" s="109">
        <v>0</v>
      </c>
      <c r="P14" s="108">
        <v>1</v>
      </c>
      <c r="Q14" s="103">
        <v>6</v>
      </c>
      <c r="R14" s="75">
        <v>12</v>
      </c>
      <c r="T14" s="44">
        <f>(N9/T13)*100</f>
        <v>8.7719298245614024</v>
      </c>
      <c r="U14" s="44">
        <f>(N19/U13)*100</f>
        <v>7.2847682119205297</v>
      </c>
      <c r="V14" s="44">
        <f>(N25/V13)*100</f>
        <v>10.204081632653061</v>
      </c>
      <c r="W14" s="44">
        <f>(N30/W13)*100</f>
        <v>6.7039106145251397</v>
      </c>
      <c r="X14" s="44">
        <f>(N34/X13)*100</f>
        <v>14.285714285714285</v>
      </c>
    </row>
    <row r="15" spans="1:24" ht="19">
      <c r="A15" s="107" t="s">
        <v>77</v>
      </c>
      <c r="B15" s="108"/>
      <c r="C15" s="92">
        <v>1</v>
      </c>
      <c r="D15" s="108">
        <v>1</v>
      </c>
      <c r="E15" s="109">
        <v>0</v>
      </c>
      <c r="F15" s="108">
        <v>1</v>
      </c>
      <c r="G15" s="92">
        <v>1</v>
      </c>
      <c r="H15" s="108">
        <v>2</v>
      </c>
      <c r="I15" s="92">
        <v>1</v>
      </c>
      <c r="J15" s="108">
        <v>3</v>
      </c>
      <c r="K15" s="110">
        <v>-2</v>
      </c>
      <c r="L15" s="108">
        <v>1</v>
      </c>
      <c r="M15" s="92">
        <v>1</v>
      </c>
      <c r="N15" s="108">
        <v>2</v>
      </c>
      <c r="O15" s="110">
        <v>-1</v>
      </c>
      <c r="P15" s="108">
        <v>1</v>
      </c>
      <c r="Q15" s="103">
        <v>11</v>
      </c>
      <c r="R15" s="75">
        <v>25</v>
      </c>
    </row>
    <row r="16" spans="1:24" ht="19">
      <c r="A16" s="107" t="s">
        <v>75</v>
      </c>
      <c r="B16" s="109">
        <v>3</v>
      </c>
      <c r="C16" s="109">
        <v>0</v>
      </c>
      <c r="D16" s="109">
        <v>3</v>
      </c>
      <c r="E16" s="109">
        <v>0</v>
      </c>
      <c r="F16" s="109">
        <v>3</v>
      </c>
      <c r="G16" s="110">
        <v>-3</v>
      </c>
      <c r="H16" s="109"/>
      <c r="I16" s="109">
        <v>0</v>
      </c>
      <c r="J16" s="109"/>
      <c r="K16" s="92">
        <v>1</v>
      </c>
      <c r="L16" s="109">
        <v>1</v>
      </c>
      <c r="M16" s="109">
        <v>0</v>
      </c>
      <c r="N16" s="109">
        <v>1</v>
      </c>
      <c r="O16" s="109">
        <v>0</v>
      </c>
      <c r="P16" s="109">
        <v>1</v>
      </c>
      <c r="Q16" s="103">
        <v>12</v>
      </c>
      <c r="R16" s="75">
        <v>10</v>
      </c>
      <c r="T16" s="178" t="s">
        <v>417</v>
      </c>
      <c r="U16" s="178"/>
      <c r="V16" s="178"/>
      <c r="W16" s="178"/>
      <c r="X16" s="178"/>
    </row>
    <row r="17" spans="1:24" ht="19">
      <c r="A17" s="107" t="s">
        <v>69</v>
      </c>
      <c r="B17" s="108">
        <v>1</v>
      </c>
      <c r="C17" s="110">
        <v>-1</v>
      </c>
      <c r="D17" s="108"/>
      <c r="E17" s="109">
        <v>0</v>
      </c>
      <c r="F17" s="108"/>
      <c r="G17" s="109">
        <v>0</v>
      </c>
      <c r="H17" s="108"/>
      <c r="I17" s="92">
        <v>1</v>
      </c>
      <c r="J17" s="108">
        <v>1</v>
      </c>
      <c r="K17" s="110">
        <v>-1</v>
      </c>
      <c r="L17" s="108"/>
      <c r="M17" s="109">
        <v>0</v>
      </c>
      <c r="N17" s="108"/>
      <c r="O17" s="92">
        <v>1</v>
      </c>
      <c r="P17" s="108">
        <v>1</v>
      </c>
      <c r="Q17" s="103">
        <v>3</v>
      </c>
      <c r="R17" s="75">
        <v>8</v>
      </c>
      <c r="T17" s="65" t="s">
        <v>410</v>
      </c>
      <c r="U17" s="66" t="s">
        <v>411</v>
      </c>
      <c r="V17" s="67" t="s">
        <v>412</v>
      </c>
      <c r="W17" s="68" t="s">
        <v>413</v>
      </c>
      <c r="X17" s="69" t="s">
        <v>414</v>
      </c>
    </row>
    <row r="18" spans="1:24" ht="19">
      <c r="A18" s="107" t="s">
        <v>56</v>
      </c>
      <c r="B18" s="108">
        <v>1</v>
      </c>
      <c r="C18" s="110">
        <v>-1</v>
      </c>
      <c r="D18" s="108"/>
      <c r="E18" s="92">
        <v>2</v>
      </c>
      <c r="F18" s="108">
        <v>2</v>
      </c>
      <c r="G18" s="110">
        <v>-1</v>
      </c>
      <c r="H18" s="108">
        <v>1</v>
      </c>
      <c r="I18" s="109">
        <v>0</v>
      </c>
      <c r="J18" s="108">
        <v>1</v>
      </c>
      <c r="K18" s="110">
        <v>-1</v>
      </c>
      <c r="L18" s="108"/>
      <c r="M18" s="109">
        <v>0</v>
      </c>
      <c r="N18" s="108"/>
      <c r="O18" s="109">
        <v>0</v>
      </c>
      <c r="P18" s="108"/>
      <c r="Q18" s="103">
        <v>5</v>
      </c>
      <c r="R18" s="75">
        <v>8</v>
      </c>
      <c r="T18" s="9">
        <f>R9</f>
        <v>57</v>
      </c>
      <c r="U18" s="9">
        <f>R19</f>
        <v>151</v>
      </c>
      <c r="V18" s="9">
        <f>R25</f>
        <v>49</v>
      </c>
      <c r="W18" s="9">
        <f>R30</f>
        <v>179</v>
      </c>
      <c r="X18" s="9">
        <f>R34</f>
        <v>77</v>
      </c>
    </row>
    <row r="19" spans="1:24" ht="19">
      <c r="A19" s="117" t="s">
        <v>411</v>
      </c>
      <c r="B19" s="113">
        <v>11</v>
      </c>
      <c r="C19" s="114">
        <v>9</v>
      </c>
      <c r="D19" s="113">
        <v>20</v>
      </c>
      <c r="E19" s="110">
        <v>-7</v>
      </c>
      <c r="F19" s="113">
        <v>13</v>
      </c>
      <c r="G19" s="110">
        <v>-7</v>
      </c>
      <c r="H19" s="113">
        <v>6</v>
      </c>
      <c r="I19" s="92">
        <v>4</v>
      </c>
      <c r="J19" s="113">
        <v>10</v>
      </c>
      <c r="K19" s="110">
        <v>-1</v>
      </c>
      <c r="L19" s="113">
        <v>9</v>
      </c>
      <c r="M19" s="92">
        <v>2</v>
      </c>
      <c r="N19" s="113">
        <v>11</v>
      </c>
      <c r="O19" s="115">
        <v>0</v>
      </c>
      <c r="P19" s="113">
        <v>11</v>
      </c>
      <c r="Q19" s="118">
        <v>91</v>
      </c>
      <c r="R19" s="43">
        <v>151</v>
      </c>
      <c r="T19" s="44">
        <f>(L9/T18)*100</f>
        <v>8.7719298245614024</v>
      </c>
      <c r="U19" s="44">
        <f>(L19/U18)*100</f>
        <v>5.9602649006622519</v>
      </c>
      <c r="V19" s="44">
        <f>(L25/V18)*100</f>
        <v>12.244897959183673</v>
      </c>
      <c r="W19" s="44">
        <f>(L30/W18)*100</f>
        <v>5.5865921787709496</v>
      </c>
      <c r="X19" s="44">
        <f>(L34/X18)*100</f>
        <v>14.285714285714285</v>
      </c>
    </row>
    <row r="20" spans="1:24" ht="19">
      <c r="A20" s="107" t="s">
        <v>97</v>
      </c>
      <c r="B20" s="108"/>
      <c r="C20" s="92">
        <v>2</v>
      </c>
      <c r="D20" s="108">
        <v>2</v>
      </c>
      <c r="E20" s="92">
        <v>1</v>
      </c>
      <c r="F20" s="108">
        <v>3</v>
      </c>
      <c r="G20" s="110">
        <v>-1</v>
      </c>
      <c r="H20" s="108">
        <v>2</v>
      </c>
      <c r="I20" s="110">
        <v>-2</v>
      </c>
      <c r="J20" s="108"/>
      <c r="K20" s="109">
        <v>0</v>
      </c>
      <c r="L20" s="108"/>
      <c r="M20" s="109">
        <v>0</v>
      </c>
      <c r="N20" s="108"/>
      <c r="O20" s="109">
        <v>0</v>
      </c>
      <c r="P20" s="108"/>
      <c r="Q20" s="103">
        <v>7</v>
      </c>
      <c r="R20" s="75">
        <v>8</v>
      </c>
    </row>
    <row r="21" spans="1:24" ht="19">
      <c r="A21" s="119" t="s">
        <v>94</v>
      </c>
      <c r="B21" s="108">
        <v>3</v>
      </c>
      <c r="C21" s="92">
        <v>3</v>
      </c>
      <c r="D21" s="108">
        <v>6</v>
      </c>
      <c r="E21" s="110">
        <v>-2</v>
      </c>
      <c r="F21" s="108">
        <v>4</v>
      </c>
      <c r="G21" s="110">
        <v>-3</v>
      </c>
      <c r="H21" s="108">
        <v>1</v>
      </c>
      <c r="I21" s="92">
        <v>2</v>
      </c>
      <c r="J21" s="108">
        <v>3</v>
      </c>
      <c r="K21" s="110">
        <v>-1</v>
      </c>
      <c r="L21" s="108">
        <v>2</v>
      </c>
      <c r="M21" s="109">
        <v>0</v>
      </c>
      <c r="N21" s="120">
        <v>2</v>
      </c>
      <c r="O21" s="110">
        <v>-1</v>
      </c>
      <c r="P21" s="120">
        <v>1</v>
      </c>
      <c r="Q21" s="103">
        <v>22</v>
      </c>
      <c r="R21" s="75">
        <v>17</v>
      </c>
      <c r="T21" s="178" t="s">
        <v>418</v>
      </c>
      <c r="U21" s="178"/>
      <c r="V21" s="178"/>
      <c r="W21" s="178"/>
      <c r="X21" s="178"/>
    </row>
    <row r="22" spans="1:24" ht="19">
      <c r="A22" s="121" t="s">
        <v>85</v>
      </c>
      <c r="B22" s="108"/>
      <c r="C22" s="109">
        <v>0</v>
      </c>
      <c r="D22" s="108"/>
      <c r="E22" s="92">
        <v>1</v>
      </c>
      <c r="F22" s="108">
        <v>1</v>
      </c>
      <c r="G22" s="109">
        <v>0</v>
      </c>
      <c r="H22" s="108">
        <v>1</v>
      </c>
      <c r="I22" s="110">
        <v>-1</v>
      </c>
      <c r="J22" s="108"/>
      <c r="K22" s="92">
        <v>1</v>
      </c>
      <c r="L22" s="108">
        <v>1</v>
      </c>
      <c r="M22" s="110">
        <v>-1</v>
      </c>
      <c r="N22" s="120"/>
      <c r="O22" s="109">
        <v>0</v>
      </c>
      <c r="P22" s="120"/>
      <c r="Q22" s="103">
        <v>3</v>
      </c>
      <c r="R22" s="75">
        <v>8</v>
      </c>
      <c r="T22" s="65" t="s">
        <v>410</v>
      </c>
      <c r="U22" s="66" t="s">
        <v>411</v>
      </c>
      <c r="V22" s="67" t="s">
        <v>412</v>
      </c>
      <c r="W22" s="68" t="s">
        <v>413</v>
      </c>
      <c r="X22" s="69" t="s">
        <v>414</v>
      </c>
    </row>
    <row r="23" spans="1:24" ht="19">
      <c r="A23" s="121" t="s">
        <v>83</v>
      </c>
      <c r="B23" s="108">
        <v>1</v>
      </c>
      <c r="C23" s="110">
        <v>-1</v>
      </c>
      <c r="D23" s="108"/>
      <c r="E23" s="92">
        <v>2</v>
      </c>
      <c r="F23" s="108">
        <v>2</v>
      </c>
      <c r="G23" s="110">
        <v>-2</v>
      </c>
      <c r="H23" s="108"/>
      <c r="I23" s="92">
        <v>1</v>
      </c>
      <c r="J23" s="108">
        <v>1</v>
      </c>
      <c r="K23" s="92">
        <v>1</v>
      </c>
      <c r="L23" s="108">
        <v>2</v>
      </c>
      <c r="M23" s="109">
        <v>0</v>
      </c>
      <c r="N23" s="120">
        <v>2</v>
      </c>
      <c r="O23" s="110">
        <v>-1</v>
      </c>
      <c r="P23" s="120">
        <v>1</v>
      </c>
      <c r="Q23" s="103">
        <v>9</v>
      </c>
      <c r="R23" s="75">
        <v>8</v>
      </c>
      <c r="T23" s="9">
        <f>R9</f>
        <v>57</v>
      </c>
      <c r="U23" s="9">
        <f>R19</f>
        <v>151</v>
      </c>
      <c r="V23" s="9">
        <f>R25</f>
        <v>49</v>
      </c>
      <c r="W23" s="9">
        <f>R30</f>
        <v>179</v>
      </c>
      <c r="X23" s="9">
        <f>R34</f>
        <v>77</v>
      </c>
    </row>
    <row r="24" spans="1:24" ht="19">
      <c r="A24" s="121" t="s">
        <v>52</v>
      </c>
      <c r="B24" s="108"/>
      <c r="C24" s="92">
        <v>4</v>
      </c>
      <c r="D24" s="108">
        <v>4</v>
      </c>
      <c r="E24" s="109">
        <v>0</v>
      </c>
      <c r="F24" s="108">
        <v>4</v>
      </c>
      <c r="G24" s="110">
        <v>-2</v>
      </c>
      <c r="H24" s="108">
        <v>2</v>
      </c>
      <c r="I24" s="110">
        <v>-1</v>
      </c>
      <c r="J24" s="108">
        <v>1</v>
      </c>
      <c r="K24" s="109">
        <v>0</v>
      </c>
      <c r="L24" s="108">
        <v>1</v>
      </c>
      <c r="M24" s="109">
        <v>0</v>
      </c>
      <c r="N24" s="108">
        <v>1</v>
      </c>
      <c r="O24" s="109">
        <v>0</v>
      </c>
      <c r="P24" s="108">
        <v>1</v>
      </c>
      <c r="Q24" s="103">
        <v>14</v>
      </c>
      <c r="R24" s="75">
        <v>8</v>
      </c>
      <c r="T24" s="44">
        <f>(J9/T23)*100</f>
        <v>8.7719298245614024</v>
      </c>
      <c r="U24" s="44">
        <f>(J19/U23)*100</f>
        <v>6.6225165562913908</v>
      </c>
      <c r="V24" s="44">
        <f>(J25/V23)*100</f>
        <v>10.204081632653061</v>
      </c>
      <c r="W24" s="44">
        <f>(J30/W23)*100</f>
        <v>8.3798882681564244</v>
      </c>
      <c r="X24" s="44">
        <f>(J34/X23)*100</f>
        <v>18.181818181818183</v>
      </c>
    </row>
    <row r="25" spans="1:24" ht="19">
      <c r="A25" s="122" t="s">
        <v>412</v>
      </c>
      <c r="B25" s="113">
        <v>4</v>
      </c>
      <c r="C25" s="114">
        <v>8</v>
      </c>
      <c r="D25" s="113">
        <v>12</v>
      </c>
      <c r="E25" s="92">
        <v>2</v>
      </c>
      <c r="F25" s="113">
        <v>14</v>
      </c>
      <c r="G25" s="110">
        <v>-8</v>
      </c>
      <c r="H25" s="113">
        <v>6</v>
      </c>
      <c r="I25" s="110">
        <v>-1</v>
      </c>
      <c r="J25" s="113">
        <v>5</v>
      </c>
      <c r="K25" s="92">
        <v>1</v>
      </c>
      <c r="L25" s="113">
        <v>6</v>
      </c>
      <c r="M25" s="110">
        <v>-1</v>
      </c>
      <c r="N25" s="113">
        <v>5</v>
      </c>
      <c r="O25" s="110">
        <v>-2</v>
      </c>
      <c r="P25" s="113">
        <v>3</v>
      </c>
      <c r="Q25" s="123">
        <v>55</v>
      </c>
      <c r="R25" s="91">
        <v>49</v>
      </c>
    </row>
    <row r="26" spans="1:24" ht="19">
      <c r="A26" s="121" t="s">
        <v>95</v>
      </c>
      <c r="B26" s="108"/>
      <c r="C26" s="109">
        <v>0</v>
      </c>
      <c r="D26" s="108"/>
      <c r="E26" s="109">
        <v>0</v>
      </c>
      <c r="F26" s="108"/>
      <c r="G26" s="92">
        <v>1</v>
      </c>
      <c r="H26" s="108">
        <v>1</v>
      </c>
      <c r="I26" s="92">
        <v>1</v>
      </c>
      <c r="J26" s="108">
        <v>2</v>
      </c>
      <c r="K26" s="110">
        <v>-2</v>
      </c>
      <c r="L26" s="108"/>
      <c r="M26" s="109">
        <v>0</v>
      </c>
      <c r="N26" s="108"/>
      <c r="O26" s="92">
        <v>1</v>
      </c>
      <c r="P26" s="108">
        <v>1</v>
      </c>
      <c r="Q26" s="103">
        <v>4</v>
      </c>
      <c r="R26" s="75">
        <v>10</v>
      </c>
      <c r="T26" s="178" t="s">
        <v>419</v>
      </c>
      <c r="U26" s="178"/>
      <c r="V26" s="178"/>
      <c r="W26" s="178"/>
      <c r="X26" s="178"/>
    </row>
    <row r="27" spans="1:24" ht="19">
      <c r="A27" s="121" t="s">
        <v>88</v>
      </c>
      <c r="B27" s="108">
        <v>3</v>
      </c>
      <c r="C27" s="109">
        <v>0</v>
      </c>
      <c r="D27" s="108">
        <v>3</v>
      </c>
      <c r="E27" s="92">
        <v>4</v>
      </c>
      <c r="F27" s="108">
        <v>7</v>
      </c>
      <c r="G27" s="92">
        <v>1</v>
      </c>
      <c r="H27" s="108">
        <v>8</v>
      </c>
      <c r="I27" s="110">
        <v>-3</v>
      </c>
      <c r="J27" s="108">
        <v>5</v>
      </c>
      <c r="K27" s="110">
        <v>-2</v>
      </c>
      <c r="L27" s="108">
        <v>3</v>
      </c>
      <c r="M27" s="92">
        <v>2</v>
      </c>
      <c r="N27" s="108">
        <v>5</v>
      </c>
      <c r="O27" s="109">
        <v>0</v>
      </c>
      <c r="P27" s="108">
        <v>5</v>
      </c>
      <c r="Q27" s="103">
        <v>39</v>
      </c>
      <c r="R27" s="75">
        <v>53</v>
      </c>
      <c r="T27" s="65" t="s">
        <v>410</v>
      </c>
      <c r="U27" s="66" t="s">
        <v>411</v>
      </c>
      <c r="V27" s="67" t="s">
        <v>412</v>
      </c>
      <c r="W27" s="68" t="s">
        <v>413</v>
      </c>
      <c r="X27" s="69" t="s">
        <v>414</v>
      </c>
    </row>
    <row r="28" spans="1:24" ht="19">
      <c r="A28" s="121" t="s">
        <v>72</v>
      </c>
      <c r="B28" s="108">
        <v>2</v>
      </c>
      <c r="C28" s="92">
        <v>1</v>
      </c>
      <c r="D28" s="108">
        <v>3</v>
      </c>
      <c r="E28" s="92">
        <v>8</v>
      </c>
      <c r="F28" s="108">
        <v>11</v>
      </c>
      <c r="G28" s="110">
        <v>-5</v>
      </c>
      <c r="H28" s="108">
        <v>6</v>
      </c>
      <c r="I28" s="110">
        <v>-1</v>
      </c>
      <c r="J28" s="108">
        <v>5</v>
      </c>
      <c r="K28" s="110">
        <v>-3</v>
      </c>
      <c r="L28" s="108">
        <v>2</v>
      </c>
      <c r="M28" s="92">
        <v>1</v>
      </c>
      <c r="N28" s="108">
        <v>3</v>
      </c>
      <c r="O28" s="109">
        <v>0</v>
      </c>
      <c r="P28" s="108">
        <v>3</v>
      </c>
      <c r="Q28" s="103">
        <v>35</v>
      </c>
      <c r="R28" s="75">
        <v>46</v>
      </c>
      <c r="T28" s="9">
        <f>R9</f>
        <v>57</v>
      </c>
      <c r="U28" s="9">
        <f>R19</f>
        <v>151</v>
      </c>
      <c r="V28" s="9">
        <f>R25</f>
        <v>49</v>
      </c>
      <c r="W28" s="9">
        <f>R30</f>
        <v>179</v>
      </c>
      <c r="X28" s="9">
        <f>R34</f>
        <v>77</v>
      </c>
    </row>
    <row r="29" spans="1:24" ht="19">
      <c r="A29" s="121" t="s">
        <v>54</v>
      </c>
      <c r="B29" s="108">
        <v>5</v>
      </c>
      <c r="C29" s="92">
        <v>4</v>
      </c>
      <c r="D29" s="108">
        <v>9</v>
      </c>
      <c r="E29" s="109">
        <v>0</v>
      </c>
      <c r="F29" s="108">
        <v>9</v>
      </c>
      <c r="G29" s="92">
        <v>3</v>
      </c>
      <c r="H29" s="108">
        <v>12</v>
      </c>
      <c r="I29" s="110">
        <v>-9</v>
      </c>
      <c r="J29" s="108">
        <v>3</v>
      </c>
      <c r="K29" s="92">
        <v>2</v>
      </c>
      <c r="L29" s="108">
        <v>5</v>
      </c>
      <c r="M29" s="110">
        <v>-1</v>
      </c>
      <c r="N29" s="108">
        <v>4</v>
      </c>
      <c r="O29" s="110">
        <v>-2</v>
      </c>
      <c r="P29" s="108">
        <v>2</v>
      </c>
      <c r="Q29" s="103">
        <v>49</v>
      </c>
      <c r="R29" s="75">
        <v>70</v>
      </c>
      <c r="T29" s="44">
        <f>(H9/T28)*100</f>
        <v>10.526315789473683</v>
      </c>
      <c r="U29" s="44">
        <f>(H19/U28)*100</f>
        <v>3.9735099337748347</v>
      </c>
      <c r="V29" s="44">
        <f>(H25/V28)*100</f>
        <v>12.244897959183673</v>
      </c>
      <c r="W29" s="44">
        <f>(H30/W28)*100</f>
        <v>15.083798882681565</v>
      </c>
      <c r="X29" s="44">
        <f>(H34/X28)*100</f>
        <v>16.883116883116884</v>
      </c>
    </row>
    <row r="30" spans="1:24" ht="19">
      <c r="A30" s="124" t="s">
        <v>413</v>
      </c>
      <c r="B30" s="113">
        <v>10</v>
      </c>
      <c r="C30" s="114">
        <v>5</v>
      </c>
      <c r="D30" s="113">
        <v>15</v>
      </c>
      <c r="E30" s="92">
        <v>12</v>
      </c>
      <c r="F30" s="113">
        <v>27</v>
      </c>
      <c r="G30" s="115">
        <v>0</v>
      </c>
      <c r="H30" s="113">
        <v>27</v>
      </c>
      <c r="I30" s="110">
        <v>-12</v>
      </c>
      <c r="J30" s="113">
        <v>15</v>
      </c>
      <c r="K30" s="110">
        <v>-5</v>
      </c>
      <c r="L30" s="113">
        <v>10</v>
      </c>
      <c r="M30" s="92">
        <v>2</v>
      </c>
      <c r="N30" s="113">
        <v>12</v>
      </c>
      <c r="O30" s="110">
        <v>-1</v>
      </c>
      <c r="P30" s="113">
        <v>11</v>
      </c>
      <c r="Q30" s="125">
        <v>127</v>
      </c>
      <c r="R30" s="95">
        <v>179</v>
      </c>
    </row>
    <row r="31" spans="1:24" ht="19">
      <c r="A31" s="121" t="s">
        <v>13</v>
      </c>
      <c r="B31" s="108"/>
      <c r="C31" s="92">
        <v>1</v>
      </c>
      <c r="D31" s="108">
        <v>1</v>
      </c>
      <c r="E31" s="92">
        <v>7</v>
      </c>
      <c r="F31" s="108">
        <v>8</v>
      </c>
      <c r="G31" s="110">
        <v>-4</v>
      </c>
      <c r="H31" s="108">
        <v>4</v>
      </c>
      <c r="I31" s="109">
        <v>0</v>
      </c>
      <c r="J31" s="108">
        <v>4</v>
      </c>
      <c r="K31" s="110">
        <v>-1</v>
      </c>
      <c r="L31" s="108">
        <v>3</v>
      </c>
      <c r="M31" s="109">
        <v>0</v>
      </c>
      <c r="N31" s="108">
        <v>3</v>
      </c>
      <c r="O31" s="92">
        <v>1</v>
      </c>
      <c r="P31" s="108">
        <v>4</v>
      </c>
      <c r="Q31" s="103">
        <v>27</v>
      </c>
      <c r="R31" s="75">
        <v>30</v>
      </c>
      <c r="T31" s="178" t="s">
        <v>421</v>
      </c>
      <c r="U31" s="178"/>
      <c r="V31" s="178"/>
      <c r="W31" s="178"/>
      <c r="X31" s="178"/>
    </row>
    <row r="32" spans="1:24" ht="19">
      <c r="A32" s="121" t="s">
        <v>62</v>
      </c>
      <c r="B32" s="109">
        <v>5</v>
      </c>
      <c r="C32" s="92">
        <v>4</v>
      </c>
      <c r="D32" s="109">
        <v>9</v>
      </c>
      <c r="E32" s="110">
        <v>-4</v>
      </c>
      <c r="F32" s="109">
        <v>5</v>
      </c>
      <c r="G32" s="109">
        <v>0</v>
      </c>
      <c r="H32" s="109">
        <v>5</v>
      </c>
      <c r="I32" s="92">
        <v>1</v>
      </c>
      <c r="J32" s="109">
        <v>6</v>
      </c>
      <c r="K32" s="110">
        <v>-1</v>
      </c>
      <c r="L32" s="109">
        <v>5</v>
      </c>
      <c r="M32" s="92">
        <v>1</v>
      </c>
      <c r="N32" s="109">
        <v>6</v>
      </c>
      <c r="O32" s="110">
        <v>-1</v>
      </c>
      <c r="P32" s="109">
        <v>5</v>
      </c>
      <c r="Q32" s="103">
        <v>46</v>
      </c>
      <c r="R32" s="75">
        <v>31</v>
      </c>
      <c r="T32" s="65" t="s">
        <v>410</v>
      </c>
      <c r="U32" s="66" t="s">
        <v>411</v>
      </c>
      <c r="V32" s="67" t="s">
        <v>412</v>
      </c>
      <c r="W32" s="68" t="s">
        <v>413</v>
      </c>
      <c r="X32" s="69" t="s">
        <v>414</v>
      </c>
    </row>
    <row r="33" spans="1:24" ht="19">
      <c r="A33" s="121" t="s">
        <v>60</v>
      </c>
      <c r="B33" s="108">
        <v>4</v>
      </c>
      <c r="C33" s="92">
        <v>1</v>
      </c>
      <c r="D33" s="108">
        <v>5</v>
      </c>
      <c r="E33" s="110">
        <v>-1</v>
      </c>
      <c r="F33" s="108">
        <v>4</v>
      </c>
      <c r="G33" s="109">
        <v>0</v>
      </c>
      <c r="H33" s="108">
        <v>4</v>
      </c>
      <c r="I33" s="109">
        <v>0</v>
      </c>
      <c r="J33" s="108">
        <v>4</v>
      </c>
      <c r="K33" s="110">
        <v>-1</v>
      </c>
      <c r="L33" s="108">
        <v>3</v>
      </c>
      <c r="M33" s="110">
        <v>-1</v>
      </c>
      <c r="N33" s="108">
        <v>2</v>
      </c>
      <c r="O33" s="109">
        <v>0</v>
      </c>
      <c r="P33" s="108">
        <v>2</v>
      </c>
      <c r="Q33" s="103">
        <v>28</v>
      </c>
      <c r="R33" s="75">
        <v>16</v>
      </c>
      <c r="T33" s="9">
        <f>R9</f>
        <v>57</v>
      </c>
      <c r="U33" s="9">
        <f>R19</f>
        <v>151</v>
      </c>
      <c r="V33" s="9">
        <f>R25</f>
        <v>49</v>
      </c>
      <c r="W33" s="9">
        <f>R30</f>
        <v>179</v>
      </c>
      <c r="X33" s="9">
        <f>R34</f>
        <v>77</v>
      </c>
    </row>
    <row r="34" spans="1:24" ht="19">
      <c r="A34" s="126" t="s">
        <v>414</v>
      </c>
      <c r="B34" s="127">
        <v>9</v>
      </c>
      <c r="C34" s="128">
        <v>6</v>
      </c>
      <c r="D34" s="127">
        <v>15</v>
      </c>
      <c r="E34" s="92">
        <v>2</v>
      </c>
      <c r="F34" s="127">
        <v>17</v>
      </c>
      <c r="G34" s="110">
        <v>-4</v>
      </c>
      <c r="H34" s="127">
        <v>13</v>
      </c>
      <c r="I34" s="92">
        <v>1</v>
      </c>
      <c r="J34" s="127">
        <v>14</v>
      </c>
      <c r="K34" s="110">
        <v>-3</v>
      </c>
      <c r="L34" s="127">
        <v>11</v>
      </c>
      <c r="M34" s="115">
        <v>0</v>
      </c>
      <c r="N34" s="127">
        <v>11</v>
      </c>
      <c r="O34" s="115">
        <v>0</v>
      </c>
      <c r="P34" s="127">
        <v>11</v>
      </c>
      <c r="Q34" s="129">
        <v>101</v>
      </c>
      <c r="R34" s="99">
        <v>77</v>
      </c>
      <c r="T34" s="44">
        <f>(F9/T33)*100</f>
        <v>28.07017543859649</v>
      </c>
      <c r="U34" s="44">
        <f>(F19/U33)*100</f>
        <v>8.6092715231788084</v>
      </c>
      <c r="V34" s="44">
        <f>(F25/V33)*100</f>
        <v>28.571428571428569</v>
      </c>
      <c r="W34" s="44">
        <f>(F30/W33)*100</f>
        <v>15.083798882681565</v>
      </c>
      <c r="X34" s="44">
        <f>(F34/X33)*100</f>
        <v>22.077922077922079</v>
      </c>
    </row>
    <row r="35" spans="1:24" ht="19">
      <c r="A35" s="130" t="s">
        <v>420</v>
      </c>
      <c r="B35" s="131">
        <v>38</v>
      </c>
      <c r="C35" s="132">
        <v>41</v>
      </c>
      <c r="D35" s="131">
        <v>79</v>
      </c>
      <c r="E35" s="92">
        <v>8</v>
      </c>
      <c r="F35" s="131">
        <v>87</v>
      </c>
      <c r="G35" s="110">
        <v>-29</v>
      </c>
      <c r="H35" s="131">
        <v>58</v>
      </c>
      <c r="I35" s="110">
        <v>-9</v>
      </c>
      <c r="J35" s="131">
        <v>49</v>
      </c>
      <c r="K35" s="110">
        <v>-8</v>
      </c>
      <c r="L35" s="131">
        <v>41</v>
      </c>
      <c r="M35" s="92">
        <v>3</v>
      </c>
      <c r="N35" s="131">
        <v>44</v>
      </c>
      <c r="O35" s="110">
        <v>-6</v>
      </c>
      <c r="P35" s="131">
        <v>38</v>
      </c>
      <c r="Q35" s="133">
        <v>434</v>
      </c>
      <c r="R35" s="75">
        <v>513</v>
      </c>
    </row>
    <row r="36" spans="1:24">
      <c r="T36" s="178" t="s">
        <v>422</v>
      </c>
      <c r="U36" s="178"/>
      <c r="V36" s="178"/>
      <c r="W36" s="178"/>
      <c r="X36" s="178"/>
    </row>
    <row r="37" spans="1:24">
      <c r="T37" s="65" t="s">
        <v>410</v>
      </c>
      <c r="U37" s="66" t="s">
        <v>411</v>
      </c>
      <c r="V37" s="67" t="s">
        <v>412</v>
      </c>
      <c r="W37" s="68" t="s">
        <v>413</v>
      </c>
      <c r="X37" s="69" t="s">
        <v>414</v>
      </c>
    </row>
    <row r="38" spans="1:24">
      <c r="T38" s="9">
        <f>R9</f>
        <v>57</v>
      </c>
      <c r="U38" s="9">
        <f>R19</f>
        <v>151</v>
      </c>
      <c r="V38" s="9">
        <f>R25</f>
        <v>49</v>
      </c>
      <c r="W38" s="17">
        <f>(R30-10)</f>
        <v>169</v>
      </c>
      <c r="X38" s="9">
        <f>R34</f>
        <v>77</v>
      </c>
    </row>
    <row r="39" spans="1:24">
      <c r="T39" s="44">
        <f>(D9/T38)*100</f>
        <v>29.82456140350877</v>
      </c>
      <c r="U39" s="44">
        <f>(D19/U38)*100</f>
        <v>13.245033112582782</v>
      </c>
      <c r="V39" s="44">
        <f>(D25/V38)*100</f>
        <v>24.489795918367346</v>
      </c>
      <c r="W39" s="44">
        <f>(D30/W38)*100</f>
        <v>8.8757396449704142</v>
      </c>
      <c r="X39" s="44">
        <f>(D34/X38)*100</f>
        <v>19.480519480519483</v>
      </c>
    </row>
    <row r="41" spans="1:24">
      <c r="T41" s="178" t="s">
        <v>428</v>
      </c>
      <c r="U41" s="178"/>
      <c r="V41" s="178"/>
      <c r="W41" s="178"/>
      <c r="X41" s="178"/>
    </row>
    <row r="42" spans="1:24">
      <c r="T42" s="65" t="s">
        <v>410</v>
      </c>
      <c r="U42" s="66" t="s">
        <v>411</v>
      </c>
      <c r="V42" s="67" t="s">
        <v>412</v>
      </c>
      <c r="W42" s="68" t="s">
        <v>413</v>
      </c>
      <c r="X42" s="69" t="s">
        <v>414</v>
      </c>
    </row>
    <row r="43" spans="1:24">
      <c r="T43" s="9">
        <f>R9</f>
        <v>57</v>
      </c>
      <c r="U43" s="9">
        <f>R19</f>
        <v>151</v>
      </c>
      <c r="V43" s="9">
        <f>R25</f>
        <v>49</v>
      </c>
      <c r="W43" s="17">
        <f>(R30-19)</f>
        <v>160</v>
      </c>
      <c r="X43" s="9">
        <f>R34</f>
        <v>77</v>
      </c>
    </row>
    <row r="44" spans="1:24">
      <c r="T44" s="44">
        <f>(B9/T43)*100</f>
        <v>7.0175438596491224</v>
      </c>
      <c r="U44" s="44">
        <f>(B19/U43)*100</f>
        <v>7.2847682119205297</v>
      </c>
      <c r="V44" s="44">
        <f>(B25/V43)*100</f>
        <v>8.1632653061224492</v>
      </c>
      <c r="W44" s="44">
        <f>(B30/W43)*100</f>
        <v>6.25</v>
      </c>
      <c r="X44" s="44">
        <f>(B34/X43)*100</f>
        <v>11.688311688311687</v>
      </c>
    </row>
  </sheetData>
  <mergeCells count="10">
    <mergeCell ref="T26:X26"/>
    <mergeCell ref="T31:X31"/>
    <mergeCell ref="T36:X36"/>
    <mergeCell ref="T41:X41"/>
    <mergeCell ref="A1:Q1"/>
    <mergeCell ref="T1:X1"/>
    <mergeCell ref="T6:X6"/>
    <mergeCell ref="T11:X11"/>
    <mergeCell ref="T16:X16"/>
    <mergeCell ref="T21:X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GERAL PARTIDOS</vt:lpstr>
      <vt:lpstr>SENADO</vt:lpstr>
      <vt:lpstr>DEM</vt:lpstr>
      <vt:lpstr>MDB</vt:lpstr>
      <vt:lpstr>PCdoB</vt:lpstr>
      <vt:lpstr>PDT</vt:lpstr>
      <vt:lpstr>PPS</vt:lpstr>
      <vt:lpstr>PR</vt:lpstr>
      <vt:lpstr>PROGRESSISTAS</vt:lpstr>
      <vt:lpstr>PSB</vt:lpstr>
      <vt:lpstr>PSC</vt:lpstr>
      <vt:lpstr>PSD</vt:lpstr>
      <vt:lpstr>PSDB</vt:lpstr>
      <vt:lpstr>PSOL</vt:lpstr>
      <vt:lpstr>PT</vt:lpstr>
      <vt:lpstr>PTB</vt:lpstr>
      <vt:lpstr>PV</vt:lpstr>
      <vt:lpstr>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Otávio Miranda</cp:lastModifiedBy>
  <dcterms:created xsi:type="dcterms:W3CDTF">2018-03-25T16:02:55Z</dcterms:created>
  <dcterms:modified xsi:type="dcterms:W3CDTF">2018-06-20T14:04:57Z</dcterms:modified>
</cp:coreProperties>
</file>