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704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161" i="1" l="1"/>
  <c r="G157" i="1" l="1"/>
  <c r="E155" i="1"/>
  <c r="D155" i="1"/>
  <c r="B146" i="1"/>
  <c r="A146" i="1"/>
  <c r="A137" i="1" l="1"/>
  <c r="E11" i="1" l="1"/>
  <c r="B33" i="1"/>
  <c r="B214" i="1"/>
  <c r="C212" i="1" l="1"/>
  <c r="Q187" i="1"/>
  <c r="A212" i="1" s="1"/>
  <c r="D212" i="1" s="1"/>
  <c r="D231" i="1" l="1"/>
  <c r="J187" i="1"/>
  <c r="B188" i="1"/>
  <c r="B185" i="1"/>
  <c r="C190" i="1"/>
  <c r="N134" i="1"/>
  <c r="C127" i="1"/>
  <c r="A127" i="1"/>
  <c r="B122" i="1"/>
  <c r="B116" i="1"/>
  <c r="B119" i="1"/>
  <c r="B124" i="1" s="1"/>
  <c r="F110" i="1"/>
  <c r="F134" i="1" s="1"/>
  <c r="E110" i="1"/>
  <c r="A113" i="1" s="1"/>
  <c r="B113" i="1" s="1"/>
  <c r="C134" i="1" s="1"/>
  <c r="A107" i="1"/>
  <c r="B134" i="1" s="1"/>
  <c r="B104" i="1"/>
  <c r="A104" i="1"/>
  <c r="E80" i="1"/>
  <c r="D80" i="1"/>
  <c r="C80" i="1"/>
  <c r="B80" i="1"/>
  <c r="D50" i="1"/>
  <c r="E50" i="1"/>
  <c r="F50" i="1"/>
  <c r="G50" i="1"/>
  <c r="H50" i="1"/>
  <c r="I50" i="1"/>
  <c r="J50" i="1"/>
  <c r="C50" i="1"/>
  <c r="D49" i="1"/>
  <c r="E49" i="1"/>
  <c r="F49" i="1"/>
  <c r="G49" i="1"/>
  <c r="H49" i="1"/>
  <c r="I49" i="1"/>
  <c r="J49" i="1"/>
  <c r="C49" i="1"/>
  <c r="B34" i="1"/>
  <c r="B35" i="1"/>
  <c r="B36" i="1"/>
  <c r="B37" i="1"/>
  <c r="B38" i="1"/>
  <c r="B39" i="1"/>
  <c r="B40" i="1"/>
  <c r="B41" i="1"/>
  <c r="B42" i="1"/>
  <c r="B32" i="1"/>
  <c r="A29" i="1"/>
  <c r="N187" i="1" l="1"/>
  <c r="E196" i="1" s="1"/>
  <c r="F196" i="1" s="1"/>
  <c r="A218" i="1" s="1"/>
  <c r="H51" i="1"/>
  <c r="E51" i="1"/>
  <c r="J51" i="1"/>
  <c r="F51" i="1"/>
  <c r="E134" i="1"/>
  <c r="P187" i="1"/>
  <c r="D51" i="1"/>
  <c r="C52" i="1" s="1"/>
  <c r="I134" i="1"/>
  <c r="I51" i="1"/>
  <c r="C51" i="1"/>
  <c r="G51" i="1"/>
  <c r="B127" i="1"/>
  <c r="D127" i="1" s="1"/>
  <c r="B107" i="1"/>
  <c r="B81" i="1"/>
  <c r="B84" i="1"/>
  <c r="B82" i="1"/>
  <c r="D11" i="1"/>
  <c r="L187" i="1" s="1"/>
  <c r="C11" i="1"/>
  <c r="K187" i="1" s="1"/>
  <c r="B11" i="1"/>
  <c r="A11" i="1"/>
  <c r="O187" i="1" s="1"/>
  <c r="J134" i="1" l="1"/>
  <c r="C101" i="1"/>
  <c r="C107" i="1" s="1"/>
  <c r="B101" i="1"/>
  <c r="M187" i="1"/>
  <c r="F11" i="1"/>
  <c r="A101" i="1"/>
  <c r="M134" i="1"/>
  <c r="D101" i="1"/>
  <c r="D107" i="1" s="1"/>
  <c r="I11" i="1"/>
  <c r="K11" i="1"/>
  <c r="K134" i="1" s="1"/>
  <c r="G134" i="1" l="1"/>
  <c r="F101" i="1"/>
  <c r="D143" i="1"/>
  <c r="A143" i="1"/>
  <c r="B143" i="1"/>
  <c r="C143" i="1"/>
  <c r="A140" i="1"/>
  <c r="D140" i="1"/>
  <c r="C140" i="1"/>
  <c r="B140" i="1"/>
  <c r="A110" i="1"/>
  <c r="C110" i="1" s="1"/>
  <c r="B110" i="1"/>
  <c r="L134" i="1"/>
  <c r="E101" i="1"/>
  <c r="J11" i="1"/>
  <c r="B17" i="1"/>
  <c r="D23" i="1"/>
  <c r="D20" i="1"/>
  <c r="D17" i="1"/>
  <c r="B14" i="1"/>
  <c r="B20" i="1"/>
  <c r="C23" i="1"/>
  <c r="C20" i="1"/>
  <c r="C17" i="1"/>
  <c r="A14" i="1"/>
  <c r="B23" i="1"/>
  <c r="A23" i="1"/>
  <c r="A20" i="1"/>
  <c r="A17" i="1"/>
  <c r="A134" i="1" l="1"/>
  <c r="C113" i="1"/>
  <c r="D113" i="1" s="1"/>
  <c r="E113" i="1" s="1"/>
  <c r="F113" i="1" s="1"/>
  <c r="H134" i="1" s="1"/>
  <c r="B137" i="1" s="1"/>
  <c r="E17" i="1"/>
  <c r="C14" i="1"/>
  <c r="E20" i="1"/>
  <c r="E23" i="1"/>
  <c r="A149" i="1" l="1"/>
  <c r="C149" i="1" s="1"/>
  <c r="C137" i="1"/>
  <c r="L11" i="1"/>
  <c r="B29" i="1"/>
  <c r="A72" i="1"/>
  <c r="B72" i="1" s="1"/>
  <c r="E140" i="1" l="1"/>
  <c r="E143" i="1"/>
  <c r="B88" i="1"/>
  <c r="D85" i="1"/>
  <c r="E85" i="1"/>
  <c r="B85" i="1"/>
  <c r="C85" i="1"/>
  <c r="B149" i="1" l="1"/>
  <c r="D149" i="1" s="1"/>
  <c r="C88" i="1"/>
  <c r="D88" i="1" s="1"/>
  <c r="E88" i="1" s="1"/>
  <c r="D167" i="1" l="1"/>
  <c r="A164" i="1"/>
  <c r="A152" i="1"/>
  <c r="B167" i="1"/>
  <c r="C152" i="1"/>
  <c r="E149" i="1"/>
  <c r="A167" i="1"/>
  <c r="B164" i="1"/>
  <c r="B152" i="1"/>
  <c r="C164" i="1"/>
  <c r="C167" i="1"/>
  <c r="D164" i="1"/>
  <c r="D152" i="1"/>
  <c r="F149" i="1"/>
  <c r="B89" i="1"/>
  <c r="G149" i="1" l="1"/>
  <c r="E164" i="1"/>
  <c r="A170" i="1" s="1"/>
  <c r="E152" i="1"/>
  <c r="A155" i="1" s="1"/>
  <c r="B155" i="1" s="1"/>
  <c r="C155" i="1" s="1"/>
  <c r="E167" i="1"/>
  <c r="B157" i="1" l="1"/>
  <c r="A161" i="1" l="1"/>
  <c r="B170" i="1"/>
  <c r="B173" i="1" s="1"/>
  <c r="D173" i="1" s="1"/>
  <c r="D176" i="1" s="1"/>
  <c r="A193" i="1"/>
  <c r="C193" i="1" s="1"/>
  <c r="G181" i="1"/>
  <c r="B193" i="1" s="1"/>
  <c r="D193" i="1" s="1"/>
  <c r="F193" i="1" l="1"/>
  <c r="H212" i="1"/>
  <c r="I212" i="1"/>
  <c r="F212" i="1"/>
  <c r="G212" i="1"/>
  <c r="B196" i="1"/>
  <c r="A196" i="1"/>
  <c r="A176" i="1"/>
  <c r="E193" i="1"/>
  <c r="A206" i="1"/>
  <c r="A173" i="1"/>
  <c r="C173" i="1" s="1"/>
  <c r="E173" i="1"/>
  <c r="G173" i="1" s="1"/>
  <c r="C161" i="1"/>
  <c r="F173" i="1"/>
  <c r="B176" i="1"/>
  <c r="E176" i="1" s="1"/>
  <c r="A179" i="1" s="1"/>
  <c r="B179" i="1" s="1"/>
  <c r="C179" i="1" s="1"/>
  <c r="D179" i="1" s="1"/>
  <c r="E179" i="1" s="1"/>
  <c r="B181" i="1" s="1"/>
  <c r="C176" i="1"/>
  <c r="C196" i="1" l="1"/>
  <c r="J212" i="1"/>
  <c r="K212" i="1" s="1"/>
  <c r="G214" i="1" s="1"/>
  <c r="G233" i="1" l="1"/>
  <c r="B223" i="1"/>
  <c r="C223" i="1" s="1"/>
  <c r="B200" i="1"/>
  <c r="C200" i="1" s="1"/>
  <c r="B199" i="1"/>
  <c r="C199" i="1" s="1"/>
  <c r="B221" i="1"/>
  <c r="C221" i="1" s="1"/>
  <c r="B224" i="1"/>
  <c r="C224" i="1" s="1"/>
  <c r="B203" i="1"/>
  <c r="C203" i="1" s="1"/>
  <c r="B222" i="1"/>
  <c r="C222" i="1" s="1"/>
  <c r="B202" i="1"/>
  <c r="C202" i="1" s="1"/>
  <c r="B225" i="1"/>
  <c r="C225" i="1" s="1"/>
  <c r="B201" i="1"/>
  <c r="C201" i="1" s="1"/>
  <c r="D196" i="1"/>
  <c r="G196" i="1" l="1"/>
  <c r="A209" i="1" s="1"/>
  <c r="B209" i="1" s="1"/>
  <c r="C209" i="1" s="1"/>
  <c r="B218" i="1"/>
  <c r="A231" i="1" s="1"/>
  <c r="B231" i="1" s="1"/>
  <c r="C231" i="1" s="1"/>
  <c r="B233" i="1" s="1"/>
  <c r="D225" i="1"/>
  <c r="D223" i="1"/>
  <c r="D224" i="1"/>
  <c r="D201" i="1"/>
  <c r="D222" i="1"/>
  <c r="D202" i="1"/>
  <c r="D221" i="1"/>
  <c r="D200" i="1" l="1"/>
  <c r="D203" i="1"/>
  <c r="D199" i="1"/>
</calcChain>
</file>

<file path=xl/sharedStrings.xml><?xml version="1.0" encoding="utf-8"?>
<sst xmlns="http://schemas.openxmlformats.org/spreadsheetml/2006/main" count="311" uniqueCount="180">
  <si>
    <t>L,км</t>
  </si>
  <si>
    <t>Pн, МПа</t>
  </si>
  <si>
    <t>Pк, МПа</t>
  </si>
  <si>
    <t>Тср, К</t>
  </si>
  <si>
    <t>Dн, мм</t>
  </si>
  <si>
    <t>δ, мм</t>
  </si>
  <si>
    <t>λ</t>
  </si>
  <si>
    <t>ρст, кг/м3</t>
  </si>
  <si>
    <t>R, Дж/кмольК</t>
  </si>
  <si>
    <t>Δ</t>
  </si>
  <si>
    <t>Pср, МПа</t>
  </si>
  <si>
    <t>Pпр</t>
  </si>
  <si>
    <t>Tпр</t>
  </si>
  <si>
    <t>ρг, кг/м3</t>
  </si>
  <si>
    <t>A1</t>
  </si>
  <si>
    <t>A2</t>
  </si>
  <si>
    <t>Zср</t>
  </si>
  <si>
    <t>x/L</t>
  </si>
  <si>
    <t>Px</t>
  </si>
  <si>
    <t>E0</t>
  </si>
  <si>
    <t>E1</t>
  </si>
  <si>
    <t>E2</t>
  </si>
  <si>
    <t>E3</t>
  </si>
  <si>
    <t>μo</t>
  </si>
  <si>
    <t>B1</t>
  </si>
  <si>
    <t>B2</t>
  </si>
  <si>
    <t>B3</t>
  </si>
  <si>
    <t>μг</t>
  </si>
  <si>
    <t>H0</t>
  </si>
  <si>
    <t>H1</t>
  </si>
  <si>
    <t>H2</t>
  </si>
  <si>
    <t>H3</t>
  </si>
  <si>
    <t>Задание 2</t>
  </si>
  <si>
    <t>D, мм</t>
  </si>
  <si>
    <t>Q, млн. м3/сут</t>
  </si>
  <si>
    <r>
      <t>CH</t>
    </r>
    <r>
      <rPr>
        <vertAlign val="subscript"/>
        <sz val="10"/>
        <color theme="1"/>
        <rFont val="Arial"/>
        <family val="2"/>
        <charset val="204"/>
      </rPr>
      <t>4</t>
    </r>
  </si>
  <si>
    <r>
      <t>C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H</t>
    </r>
    <r>
      <rPr>
        <vertAlign val="subscript"/>
        <sz val="10"/>
        <color theme="1"/>
        <rFont val="Arial"/>
        <family val="2"/>
        <charset val="204"/>
      </rPr>
      <t>6</t>
    </r>
  </si>
  <si>
    <r>
      <t>C</t>
    </r>
    <r>
      <rPr>
        <vertAlign val="subscript"/>
        <sz val="10"/>
        <color theme="1"/>
        <rFont val="Arial"/>
        <family val="2"/>
        <charset val="204"/>
      </rPr>
      <t>3</t>
    </r>
    <r>
      <rPr>
        <sz val="10"/>
        <color theme="1"/>
        <rFont val="Arial"/>
        <family val="2"/>
        <charset val="204"/>
      </rPr>
      <t>H</t>
    </r>
    <r>
      <rPr>
        <vertAlign val="subscript"/>
        <sz val="10"/>
        <color theme="1"/>
        <rFont val="Arial"/>
        <family val="2"/>
        <charset val="204"/>
      </rPr>
      <t>8</t>
    </r>
  </si>
  <si>
    <r>
      <t>иC</t>
    </r>
    <r>
      <rPr>
        <vertAlign val="subscript"/>
        <sz val="10"/>
        <color theme="1"/>
        <rFont val="Arial"/>
        <family val="2"/>
        <charset val="204"/>
      </rPr>
      <t>4</t>
    </r>
    <r>
      <rPr>
        <sz val="10"/>
        <color theme="1"/>
        <rFont val="Arial"/>
        <family val="2"/>
        <charset val="204"/>
      </rPr>
      <t>H</t>
    </r>
    <r>
      <rPr>
        <vertAlign val="subscript"/>
        <sz val="10"/>
        <color theme="1"/>
        <rFont val="Arial"/>
        <family val="2"/>
        <charset val="204"/>
      </rPr>
      <t>10</t>
    </r>
  </si>
  <si>
    <r>
      <t>нC</t>
    </r>
    <r>
      <rPr>
        <vertAlign val="subscript"/>
        <sz val="10"/>
        <color theme="1"/>
        <rFont val="Arial"/>
        <family val="2"/>
        <charset val="204"/>
      </rPr>
      <t>5</t>
    </r>
    <r>
      <rPr>
        <sz val="10"/>
        <color theme="1"/>
        <rFont val="Arial"/>
        <family val="2"/>
        <charset val="204"/>
      </rPr>
      <t>H</t>
    </r>
    <r>
      <rPr>
        <vertAlign val="subscript"/>
        <sz val="10"/>
        <color theme="1"/>
        <rFont val="Arial"/>
        <family val="2"/>
        <charset val="204"/>
      </rPr>
      <t>12</t>
    </r>
  </si>
  <si>
    <r>
      <t>CO</t>
    </r>
    <r>
      <rPr>
        <vertAlign val="subscript"/>
        <sz val="10"/>
        <color theme="1"/>
        <rFont val="Arial"/>
        <family val="2"/>
        <charset val="204"/>
      </rPr>
      <t>2</t>
    </r>
  </si>
  <si>
    <r>
      <t>N</t>
    </r>
    <r>
      <rPr>
        <vertAlign val="subscript"/>
        <sz val="10"/>
        <color theme="1"/>
        <rFont val="Arial"/>
        <family val="2"/>
        <charset val="204"/>
      </rPr>
      <t>2</t>
    </r>
  </si>
  <si>
    <t>Пр Зан 1</t>
  </si>
  <si>
    <t>Пр Зан 2</t>
  </si>
  <si>
    <t>Задние 1</t>
  </si>
  <si>
    <t>Уд. от нач. ГП x, км</t>
  </si>
  <si>
    <t>Выс. отметка z, м</t>
  </si>
  <si>
    <t>az</t>
  </si>
  <si>
    <t>li, км</t>
  </si>
  <si>
    <t>zi+zi-1, м</t>
  </si>
  <si>
    <t>(zi+zi-1)*li, м*км</t>
  </si>
  <si>
    <t>Σ(zi+zi-1)*li, м*км</t>
  </si>
  <si>
    <t>задание 2</t>
  </si>
  <si>
    <t>задание 3</t>
  </si>
  <si>
    <t>задание 1</t>
  </si>
  <si>
    <t>Qэ, млн. м3/сут</t>
  </si>
  <si>
    <t>Qi, млн. м3/сут</t>
  </si>
  <si>
    <t>lэ, км</t>
  </si>
  <si>
    <t>Di, мм</t>
  </si>
  <si>
    <t>Dэ, мм</t>
  </si>
  <si>
    <t>qi, млн. м3/сут</t>
  </si>
  <si>
    <t>Пр Зан 3</t>
  </si>
  <si>
    <t>Пр Зан 4</t>
  </si>
  <si>
    <t>Этап 1</t>
  </si>
  <si>
    <t>Qг, млрд. м3/год</t>
  </si>
  <si>
    <t>тип грунта</t>
  </si>
  <si>
    <t>ωгр, %</t>
  </si>
  <si>
    <t>L, км</t>
  </si>
  <si>
    <r>
      <rPr>
        <sz val="11"/>
        <color theme="1"/>
        <rFont val="Calibri"/>
        <family val="2"/>
        <charset val="204"/>
      </rPr>
      <t>ρ</t>
    </r>
    <r>
      <rPr>
        <sz val="11"/>
        <color theme="1"/>
        <rFont val="Calibri"/>
        <family val="2"/>
      </rPr>
      <t>гр, т/м3</t>
    </r>
  </si>
  <si>
    <t>Н, м</t>
  </si>
  <si>
    <t>Тип привода</t>
  </si>
  <si>
    <t>Нагнетатель</t>
  </si>
  <si>
    <t>E</t>
  </si>
  <si>
    <t>h, м</t>
  </si>
  <si>
    <t>снег. пок.</t>
  </si>
  <si>
    <t>отсутсвует</t>
  </si>
  <si>
    <t>υ, м/с</t>
  </si>
  <si>
    <r>
      <t xml:space="preserve">to,  </t>
    </r>
    <r>
      <rPr>
        <sz val="11"/>
        <color theme="1"/>
        <rFont val="Calibri"/>
        <family val="2"/>
        <charset val="204"/>
      </rPr>
      <t>̊</t>
    </r>
    <r>
      <rPr>
        <sz val="11"/>
        <color theme="1"/>
        <rFont val="Calibri"/>
        <family val="2"/>
      </rPr>
      <t>C</t>
    </r>
  </si>
  <si>
    <t>tвозд,  ̊C</t>
  </si>
  <si>
    <t>tн,  ̊C</t>
  </si>
  <si>
    <t>Pвс, МПа</t>
  </si>
  <si>
    <t>Pнаг, МПа</t>
  </si>
  <si>
    <t>суглинок</t>
  </si>
  <si>
    <t>ГПА-Ц-16</t>
  </si>
  <si>
    <t>ГПА-Ц16/76</t>
  </si>
  <si>
    <t>Mг, кг/кмоль</t>
  </si>
  <si>
    <t xml:space="preserve">Tпк, К </t>
  </si>
  <si>
    <t>Pпк, Мпа</t>
  </si>
  <si>
    <t>Рн, Мпа</t>
  </si>
  <si>
    <t>Рк, Мпа</t>
  </si>
  <si>
    <t>Δpнаг</t>
  </si>
  <si>
    <t>ΔPвс</t>
  </si>
  <si>
    <t>Tср, К</t>
  </si>
  <si>
    <t>λтр</t>
  </si>
  <si>
    <t>no</t>
  </si>
  <si>
    <t>lкс, км</t>
  </si>
  <si>
    <t>nкс</t>
  </si>
  <si>
    <t>для песка</t>
  </si>
  <si>
    <t>для суглинка</t>
  </si>
  <si>
    <t>для смешанного грунта</t>
  </si>
  <si>
    <t>αв, Вт/(м2*К)</t>
  </si>
  <si>
    <t>hоэ, м</t>
  </si>
  <si>
    <t>hо, м</t>
  </si>
  <si>
    <t>выбрать для своего грунта</t>
  </si>
  <si>
    <t>Кср, Вт/(м2*К)</t>
  </si>
  <si>
    <t>λгр, Вт/(м*К)</t>
  </si>
  <si>
    <t>Mi, кг/кмоль</t>
  </si>
  <si>
    <t>Pпк, МПа</t>
  </si>
  <si>
    <t>Пр Зан 5</t>
  </si>
  <si>
    <t>Этап 2</t>
  </si>
  <si>
    <t>at, 1/км</t>
  </si>
  <si>
    <t>Di, К/Мпа</t>
  </si>
  <si>
    <t>l'кс, км</t>
  </si>
  <si>
    <t>Второе приближение</t>
  </si>
  <si>
    <t>Первое приближение</t>
  </si>
  <si>
    <t>Во втором приближении</t>
  </si>
  <si>
    <t>Рпр</t>
  </si>
  <si>
    <t>Тпр</t>
  </si>
  <si>
    <t>μг, Па*с</t>
  </si>
  <si>
    <t>Re</t>
  </si>
  <si>
    <t>P'к</t>
  </si>
  <si>
    <t>не требуется пересчет</t>
  </si>
  <si>
    <t>Условие!!!</t>
  </si>
  <si>
    <t>Tк</t>
  </si>
  <si>
    <t>Если не требуется пресчет, то</t>
  </si>
  <si>
    <t>Если не требуется пересчет, то</t>
  </si>
  <si>
    <t>ПЕРЕСЧЁТ</t>
  </si>
  <si>
    <t>*третье приближение</t>
  </si>
  <si>
    <t>Пр Зан 6</t>
  </si>
  <si>
    <t>k</t>
  </si>
  <si>
    <t>kt</t>
  </si>
  <si>
    <t>ky</t>
  </si>
  <si>
    <t>Neᴴ, кВт</t>
  </si>
  <si>
    <r>
      <t>k</t>
    </r>
    <r>
      <rPr>
        <sz val="11"/>
        <color theme="1"/>
        <rFont val="Calibri"/>
        <family val="2"/>
      </rPr>
      <t>ń</t>
    </r>
  </si>
  <si>
    <r>
      <t>Tвозд</t>
    </r>
    <r>
      <rPr>
        <sz val="11"/>
        <color theme="1"/>
        <rFont val="Calibri"/>
        <family val="2"/>
      </rPr>
      <t>ᴴ, К</t>
    </r>
  </si>
  <si>
    <r>
      <t>k</t>
    </r>
    <r>
      <rPr>
        <sz val="8"/>
        <color theme="1"/>
        <rFont val="Calibri"/>
        <family val="2"/>
        <charset val="204"/>
        <scheme val="minor"/>
      </rPr>
      <t>N</t>
    </r>
  </si>
  <si>
    <t>Zпр</t>
  </si>
  <si>
    <t>Nмех, кВт</t>
  </si>
  <si>
    <t>Rпр, Дж/(кг*К)</t>
  </si>
  <si>
    <t>Tпр, К</t>
  </si>
  <si>
    <t>nн, об/мин</t>
  </si>
  <si>
    <r>
      <t>n</t>
    </r>
    <r>
      <rPr>
        <sz val="8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, об/мин</t>
    </r>
  </si>
  <si>
    <r>
      <t>n</t>
    </r>
    <r>
      <rPr>
        <sz val="8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, об/мин</t>
    </r>
  </si>
  <si>
    <t>Тип ГТУ</t>
  </si>
  <si>
    <t>Тип ЦН</t>
  </si>
  <si>
    <t>P, Мпа</t>
  </si>
  <si>
    <t>T, К</t>
  </si>
  <si>
    <t>P'к, Мпа</t>
  </si>
  <si>
    <t>[P'к-Pк]/P'к, %</t>
  </si>
  <si>
    <t>Tвс, К</t>
  </si>
  <si>
    <t>Pвс, Мпа</t>
  </si>
  <si>
    <t>Pк, Мпа</t>
  </si>
  <si>
    <t>Tк, К</t>
  </si>
  <si>
    <t>Из расчетов выше</t>
  </si>
  <si>
    <t>ρвс, кг/м3</t>
  </si>
  <si>
    <r>
      <t xml:space="preserve">m  </t>
    </r>
    <r>
      <rPr>
        <sz val="11"/>
        <color theme="1"/>
        <rFont val="Calibri"/>
        <family val="2"/>
        <charset val="204"/>
      </rPr>
      <t>̊цн</t>
    </r>
  </si>
  <si>
    <t>m цн</t>
  </si>
  <si>
    <t>Qн, млн. м3/сут</t>
  </si>
  <si>
    <t>[nн/n]пр</t>
  </si>
  <si>
    <t>n</t>
  </si>
  <si>
    <t>nн/n</t>
  </si>
  <si>
    <t>Qпр</t>
  </si>
  <si>
    <t>Zвс</t>
  </si>
  <si>
    <t>Qвс, м3/мин</t>
  </si>
  <si>
    <t>ε</t>
  </si>
  <si>
    <r>
      <rPr>
        <sz val="11"/>
        <color theme="1"/>
        <rFont val="Calibri"/>
        <family val="2"/>
        <charset val="204"/>
      </rPr>
      <t xml:space="preserve">η </t>
    </r>
    <r>
      <rPr>
        <sz val="11"/>
        <color theme="1"/>
        <rFont val="Calibri"/>
        <family val="2"/>
      </rPr>
      <t>пол</t>
    </r>
  </si>
  <si>
    <t>[Ni/ρвс]пр, кВт(кг/м3)</t>
  </si>
  <si>
    <t>Qпр, м3/мин</t>
  </si>
  <si>
    <t>из графиков</t>
  </si>
  <si>
    <t>n, об/мин</t>
  </si>
  <si>
    <t>Ni, кВт</t>
  </si>
  <si>
    <t>Ne, кВт</t>
  </si>
  <si>
    <t>Kt</t>
  </si>
  <si>
    <t>Pa</t>
  </si>
  <si>
    <t>K Pa</t>
  </si>
  <si>
    <t>Интерполяцией</t>
  </si>
  <si>
    <r>
      <t>Ne</t>
    </r>
    <r>
      <rPr>
        <sz val="11"/>
        <color theme="1"/>
        <rFont val="Calibri"/>
        <family val="2"/>
        <charset val="204"/>
      </rPr>
      <t>ᴾ</t>
    </r>
    <r>
      <rPr>
        <sz val="11"/>
        <color theme="1"/>
        <rFont val="Calibri"/>
        <family val="2"/>
        <scheme val="minor"/>
      </rPr>
      <t>, кВт</t>
    </r>
  </si>
  <si>
    <t>Tнаг, К</t>
  </si>
  <si>
    <t>Cp, кДж/(кг*К)</t>
  </si>
  <si>
    <t>требуется пересчет!!!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</si>
</sst>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vertAlign val="subscript"/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  <charset val="204"/>
    </font>
    <font>
      <sz val="10"/>
      <color rgb="FF0070C0"/>
      <name val="Arial Cyr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2" xfId="0" applyBorder="1"/>
    <xf numFmtId="0" fontId="0" fillId="0" borderId="0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9" fillId="0" borderId="0" xfId="0" applyFont="1" applyFill="1" applyBorder="1"/>
    <xf numFmtId="0" fontId="0" fillId="2" borderId="0" xfId="0" applyFill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8" fillId="0" borderId="1" xfId="0" applyFont="1" applyBorder="1"/>
    <xf numFmtId="0" fontId="8" fillId="5" borderId="1" xfId="0" applyFont="1" applyFill="1" applyBorder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0" fillId="0" borderId="1" xfId="0" applyFont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/>
    <xf numFmtId="0" fontId="11" fillId="0" borderId="1" xfId="0" applyFont="1" applyBorder="1"/>
    <xf numFmtId="0" fontId="11" fillId="0" borderId="0" xfId="0" applyFont="1"/>
    <xf numFmtId="0" fontId="11" fillId="0" borderId="1" xfId="0" applyFont="1" applyFill="1" applyBorder="1"/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wrapText="1"/>
    </xf>
    <xf numFmtId="0" fontId="2" fillId="4" borderId="1" xfId="0" applyFont="1" applyFill="1" applyBorder="1"/>
    <xf numFmtId="0" fontId="8" fillId="4" borderId="1" xfId="0" applyFont="1" applyFill="1" applyBorder="1"/>
    <xf numFmtId="0" fontId="9" fillId="4" borderId="1" xfId="0" applyFont="1" applyFill="1" applyBorder="1"/>
    <xf numFmtId="0" fontId="11" fillId="0" borderId="0" xfId="0" applyFont="1" applyFill="1"/>
    <xf numFmtId="0" fontId="0" fillId="2" borderId="1" xfId="0" applyFill="1" applyBorder="1"/>
    <xf numFmtId="0" fontId="0" fillId="4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/>
    <xf numFmtId="0" fontId="0" fillId="0" borderId="1" xfId="0" applyFill="1" applyBorder="1" applyAlignment="1"/>
    <xf numFmtId="0" fontId="1" fillId="0" borderId="1" xfId="0" applyFont="1" applyBorder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11" fillId="0" borderId="6" xfId="0" applyFont="1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645776140927725"/>
          <c:y val="3.59723445037006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463705152329541"/>
          <c:y val="0.15827831581628302"/>
          <c:w val="0.72149941512945781"/>
          <c:h val="0.593543684311059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[1]Практ.1!$L$13</c:f>
              <c:strCache>
                <c:ptCount val="1"/>
                <c:pt idx="0">
                  <c:v>Px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[1]Практ.1!$K$14:$K$24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[1]Практ.1!$L$14:$L$24</c:f>
              <c:numCache>
                <c:formatCode>General</c:formatCode>
                <c:ptCount val="11"/>
                <c:pt idx="0">
                  <c:v>7.4</c:v>
                </c:pt>
                <c:pt idx="1">
                  <c:v>7.1996006833712665</c:v>
                </c:pt>
                <c:pt idx="2">
                  <c:v>6.9934612317506986</c:v>
                </c:pt>
                <c:pt idx="3">
                  <c:v>6.7810581770104292</c:v>
                </c:pt>
                <c:pt idx="4">
                  <c:v>6.5617832941967844</c:v>
                </c:pt>
                <c:pt idx="5">
                  <c:v>6.3349230460992976</c:v>
                </c:pt>
                <c:pt idx="6">
                  <c:v>6.0996311363884947</c:v>
                </c:pt>
                <c:pt idx="7">
                  <c:v>5.8548911176895508</c:v>
                </c:pt>
                <c:pt idx="8">
                  <c:v>5.5994642600877453</c:v>
                </c:pt>
                <c:pt idx="9">
                  <c:v>5.3318148880095224</c:v>
                </c:pt>
                <c:pt idx="10">
                  <c:v>5.05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4D-4734-88E3-E0BA05BA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4096"/>
        <c:axId val="111844672"/>
      </c:scatterChart>
      <c:valAx>
        <c:axId val="11184409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1679492990668086"/>
              <c:y val="0.863336268088815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1844672"/>
        <c:crosses val="autoZero"/>
        <c:crossBetween val="midCat"/>
        <c:majorUnit val="0.2"/>
      </c:valAx>
      <c:valAx>
        <c:axId val="11184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P, </a:t>
                </a:r>
                <a:r>
                  <a:rPr lang="ru-RU"/>
                  <a:t>МПа</a:t>
                </a:r>
              </a:p>
            </c:rich>
          </c:tx>
          <c:layout>
            <c:manualLayout>
              <c:xMode val="edge"/>
              <c:yMode val="edge"/>
              <c:x val="5.3692979730564264E-2"/>
              <c:y val="0.366917913937747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1844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/>
              <a:t>Профиль трассы рельефного ГП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ГП</c:v>
          </c:tx>
          <c:xVal>
            <c:numRef>
              <c:f>Лист1!$B$46:$J$46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38</c:v>
                </c:pt>
                <c:pt idx="5">
                  <c:v>52</c:v>
                </c:pt>
                <c:pt idx="6">
                  <c:v>71</c:v>
                </c:pt>
                <c:pt idx="7">
                  <c:v>78</c:v>
                </c:pt>
                <c:pt idx="8">
                  <c:v>103</c:v>
                </c:pt>
              </c:numCache>
            </c:numRef>
          </c:xVal>
          <c:yVal>
            <c:numRef>
              <c:f>Лист1!$B$47:$J$47</c:f>
              <c:numCache>
                <c:formatCode>General</c:formatCode>
                <c:ptCount val="9"/>
                <c:pt idx="0">
                  <c:v>0</c:v>
                </c:pt>
                <c:pt idx="1">
                  <c:v>-12</c:v>
                </c:pt>
                <c:pt idx="2">
                  <c:v>-175</c:v>
                </c:pt>
                <c:pt idx="3">
                  <c:v>-156</c:v>
                </c:pt>
                <c:pt idx="4">
                  <c:v>-342</c:v>
                </c:pt>
                <c:pt idx="5">
                  <c:v>-140</c:v>
                </c:pt>
                <c:pt idx="6">
                  <c:v>-107</c:v>
                </c:pt>
                <c:pt idx="7">
                  <c:v>12</c:v>
                </c:pt>
                <c:pt idx="8">
                  <c:v>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24-47B6-87D1-24A3F7BA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9936"/>
        <c:axId val="115320512"/>
      </c:scatterChart>
      <c:valAx>
        <c:axId val="1153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/>
                  <a:t>Х, км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320512"/>
        <c:crosses val="autoZero"/>
        <c:crossBetween val="midCat"/>
      </c:valAx>
      <c:valAx>
        <c:axId val="11532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Z</a:t>
                </a:r>
                <a:r>
                  <a:rPr lang="ru-RU" sz="1200" b="0"/>
                  <a:t>, м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31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493059</xdr:colOff>
      <xdr:row>26</xdr:row>
      <xdr:rowOff>89086</xdr:rowOff>
    </xdr:from>
    <xdr:to>
      <xdr:col>6</xdr:col>
      <xdr:colOff>531160</xdr:colOff>
      <xdr:row>43</xdr:row>
      <xdr:rowOff>87406</xdr:rowOff>
    </xdr:to>
    <xdr:graphicFrame macro="">
      <xdr:nvGraphicFramePr>
        <xdr:cNvPr id="2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52</xdr:row>
      <xdr:rowOff>76200</xdr:rowOff>
    </xdr:from>
    <xdr:to>
      <xdr:col>5</xdr:col>
      <xdr:colOff>581025</xdr:colOff>
      <xdr:row>69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8;&#1077;&#1079;&#1077;&#1085;&#1090;&#1072;&#1094;&#1080;&#1080;%20&#1055;&#1080;&#1069;%20&#1043;&#1053;&#1055;%20&#1088;2%20(&#1087;&#1088;)\&#1055;&#1088;&#1077;&#1079;&#1077;&#1085;&#1090;&#1072;&#1094;&#1080;&#1080;%20&#1055;&#1080;&#1069;%20&#1043;&#1053;&#1055;%20&#1088;2%20(&#1087;&#1088;&#1072;&#1082;&#1090;&#1080;&#1082;&#1072;)\&#1055;&#1088;&#1072;&#1082;&#1090;&#1080;&#1082;&#1072;%20&#1043;&#1053;&#1055;(&#1075;&#1072;&#1079;)%20&#1041;&#1052;&#1058;-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Практ.1"/>
      <sheetName val="Практ.2"/>
      <sheetName val="Практ.3"/>
      <sheetName val="Лист5"/>
      <sheetName val="Тип.Расч.(аккум,)"/>
      <sheetName val="Аккум.сп."/>
    </sheetNames>
    <sheetDataSet>
      <sheetData sheetId="0"/>
      <sheetData sheetId="1">
        <row r="13">
          <cell r="L13" t="str">
            <v>Px</v>
          </cell>
        </row>
        <row r="14">
          <cell r="K14">
            <v>0</v>
          </cell>
          <cell r="L14">
            <v>7.4</v>
          </cell>
        </row>
        <row r="15">
          <cell r="K15">
            <v>0.1</v>
          </cell>
          <cell r="L15">
            <v>7.1996006833712665</v>
          </cell>
        </row>
        <row r="16">
          <cell r="K16">
            <v>0.2</v>
          </cell>
          <cell r="L16">
            <v>6.9934612317506986</v>
          </cell>
        </row>
        <row r="17">
          <cell r="K17">
            <v>0.3</v>
          </cell>
          <cell r="L17">
            <v>6.7810581770104292</v>
          </cell>
        </row>
        <row r="18">
          <cell r="K18">
            <v>0.4</v>
          </cell>
          <cell r="L18">
            <v>6.5617832941967844</v>
          </cell>
        </row>
        <row r="19">
          <cell r="K19">
            <v>0.5</v>
          </cell>
          <cell r="L19">
            <v>6.3349230460992976</v>
          </cell>
        </row>
        <row r="20">
          <cell r="K20">
            <v>0.6</v>
          </cell>
          <cell r="L20">
            <v>6.0996311363884947</v>
          </cell>
        </row>
        <row r="21">
          <cell r="K21">
            <v>0.7</v>
          </cell>
          <cell r="L21">
            <v>5.8548911176895508</v>
          </cell>
        </row>
        <row r="22">
          <cell r="K22">
            <v>0.8</v>
          </cell>
          <cell r="L22">
            <v>5.5994642600877453</v>
          </cell>
        </row>
        <row r="23">
          <cell r="K23">
            <v>0.9</v>
          </cell>
          <cell r="L23">
            <v>5.3318148880095224</v>
          </cell>
        </row>
        <row r="24">
          <cell r="K24">
            <v>1</v>
          </cell>
          <cell r="L24">
            <v>5.05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tabSelected="1" workbookViewId="0">
      <selection activeCell="G16" sqref="G16"/>
    </sheetView>
  </sheetViews>
  <sheetFormatPr defaultRowHeight="14.5" x14ac:dyDescent="0.35"/>
  <cols>
    <col min="1" max="1" width="23.453125" customWidth="1"/>
    <col min="2" max="2" width="21.26953125" customWidth="1"/>
    <col min="3" max="3" width="21" customWidth="1"/>
    <col min="4" max="4" width="13.453125" customWidth="1"/>
    <col min="5" max="5" width="15.54296875" customWidth="1"/>
    <col min="6" max="6" width="14.1796875" customWidth="1"/>
    <col min="7" max="8" width="12.54296875" customWidth="1"/>
    <col min="9" max="9" width="12.453125" customWidth="1"/>
    <col min="10" max="10" width="13.81640625" customWidth="1"/>
    <col min="12" max="12" width="12.7265625" customWidth="1"/>
    <col min="13" max="13" width="12.81640625" customWidth="1"/>
    <col min="14" max="14" width="14.1796875" customWidth="1"/>
  </cols>
  <sheetData>
    <row r="1" spans="1:14" x14ac:dyDescent="0.35">
      <c r="A1" s="2" t="s">
        <v>42</v>
      </c>
      <c r="B1" s="1" t="s">
        <v>44</v>
      </c>
    </row>
    <row r="2" spans="1:14" ht="15.5" x14ac:dyDescent="0.35">
      <c r="A2" s="34" t="s">
        <v>35</v>
      </c>
      <c r="B2" s="34" t="s">
        <v>36</v>
      </c>
      <c r="C2" s="34" t="s">
        <v>37</v>
      </c>
      <c r="D2" s="34" t="s">
        <v>38</v>
      </c>
      <c r="E2" s="34" t="s">
        <v>39</v>
      </c>
      <c r="F2" s="34" t="s">
        <v>40</v>
      </c>
      <c r="G2" s="34" t="s">
        <v>41</v>
      </c>
      <c r="H2" s="35" t="s">
        <v>0</v>
      </c>
      <c r="I2" s="35" t="s">
        <v>1</v>
      </c>
      <c r="J2" s="35" t="s">
        <v>2</v>
      </c>
      <c r="K2" s="35" t="s">
        <v>3</v>
      </c>
      <c r="L2" s="35" t="s">
        <v>4</v>
      </c>
      <c r="M2" s="35" t="s">
        <v>5</v>
      </c>
      <c r="N2" s="35" t="s">
        <v>6</v>
      </c>
    </row>
    <row r="3" spans="1:14" ht="15.5" x14ac:dyDescent="0.35">
      <c r="A3" s="3">
        <v>92.6</v>
      </c>
      <c r="B3" s="3">
        <v>3.5</v>
      </c>
      <c r="C3" s="3">
        <v>1.6</v>
      </c>
      <c r="D3" s="3">
        <v>0.5</v>
      </c>
      <c r="E3" s="3">
        <v>0.4</v>
      </c>
      <c r="F3" s="3">
        <v>1</v>
      </c>
      <c r="G3" s="3">
        <v>0.4</v>
      </c>
      <c r="H3" s="3">
        <v>103</v>
      </c>
      <c r="I3" s="3">
        <v>5</v>
      </c>
      <c r="J3" s="3">
        <v>2</v>
      </c>
      <c r="K3" s="3">
        <v>284</v>
      </c>
      <c r="L3" s="3">
        <v>630</v>
      </c>
      <c r="M3" s="3">
        <v>8</v>
      </c>
      <c r="N3" s="3">
        <v>1.09E-2</v>
      </c>
    </row>
    <row r="5" spans="1:14" x14ac:dyDescent="0.35">
      <c r="A5" s="29">
        <v>0.66800000000000004</v>
      </c>
      <c r="B5" s="29">
        <v>1.26</v>
      </c>
      <c r="C5" s="29">
        <v>1.8640000000000001</v>
      </c>
      <c r="D5" s="29">
        <v>2.488</v>
      </c>
      <c r="E5" s="30">
        <v>3.1739999999999999</v>
      </c>
      <c r="F5" s="29">
        <v>1.839</v>
      </c>
      <c r="G5" s="29">
        <v>1.165</v>
      </c>
    </row>
    <row r="6" spans="1:14" x14ac:dyDescent="0.35">
      <c r="A6" s="29">
        <v>16.04</v>
      </c>
      <c r="B6" s="29">
        <v>30.07</v>
      </c>
      <c r="C6" s="29">
        <v>44.1</v>
      </c>
      <c r="D6" s="29">
        <v>58.12</v>
      </c>
      <c r="E6" s="30">
        <v>72.150000000000006</v>
      </c>
      <c r="F6" s="29">
        <v>44.01</v>
      </c>
      <c r="G6" s="29">
        <v>28.02</v>
      </c>
    </row>
    <row r="7" spans="1:14" x14ac:dyDescent="0.35">
      <c r="A7" s="29">
        <v>4.5999999999999996</v>
      </c>
      <c r="B7" s="29">
        <v>4.88</v>
      </c>
      <c r="C7" s="29">
        <v>4.25</v>
      </c>
      <c r="D7" s="29">
        <v>3.65</v>
      </c>
      <c r="E7" s="30">
        <v>3.36</v>
      </c>
      <c r="F7" s="29">
        <v>7.39</v>
      </c>
      <c r="G7" s="29">
        <v>3.39</v>
      </c>
    </row>
    <row r="8" spans="1:14" x14ac:dyDescent="0.35">
      <c r="A8" s="29">
        <v>190.55</v>
      </c>
      <c r="B8" s="29">
        <v>305.83</v>
      </c>
      <c r="C8" s="29">
        <v>369.82</v>
      </c>
      <c r="D8" s="29">
        <v>408.13</v>
      </c>
      <c r="E8" s="30">
        <v>469.69</v>
      </c>
      <c r="F8" s="29">
        <v>304.2</v>
      </c>
      <c r="G8" s="29">
        <v>126.2</v>
      </c>
    </row>
    <row r="10" spans="1:14" x14ac:dyDescent="0.35">
      <c r="A10" s="16" t="s">
        <v>7</v>
      </c>
      <c r="B10" s="16" t="s">
        <v>106</v>
      </c>
      <c r="C10" s="16" t="s">
        <v>107</v>
      </c>
      <c r="D10" s="16" t="s">
        <v>86</v>
      </c>
      <c r="E10" s="21" t="s">
        <v>8</v>
      </c>
      <c r="F10" s="16" t="s">
        <v>9</v>
      </c>
      <c r="I10" s="17" t="s">
        <v>10</v>
      </c>
      <c r="J10" s="17" t="s">
        <v>11</v>
      </c>
      <c r="K10" s="17" t="s">
        <v>12</v>
      </c>
      <c r="L10" s="18" t="s">
        <v>13</v>
      </c>
    </row>
    <row r="11" spans="1:14" x14ac:dyDescent="0.35">
      <c r="A11" s="4">
        <f>($A$3*A5+$B$3*B5+$C$3*C5+$D$3*D5+$E$3*E5+$F$3*F5+$G$3*G5)/100</f>
        <v>0.74067799999999995</v>
      </c>
      <c r="B11" s="4">
        <f>($A$3*A6+$B$3*B6+$C$3*C6+$D$3*D6+$E$3*E6+$F$3*F6+$G$3*G6)/100</f>
        <v>17.742469999999997</v>
      </c>
      <c r="C11" s="4">
        <f>($A$3*A7+$B$3*B7+$C$3*C7+$D$3*D7+$E$3*E7+$F$3*F7+$G$3*G7)/100</f>
        <v>4.6175499999999987</v>
      </c>
      <c r="D11" s="4">
        <f>($A$3*A8+$B$3*B8+$C$3*C8+$D$3*D8+$E$3*E8+$F$3*F8+$G$3*G8)/100</f>
        <v>200.53667999999999</v>
      </c>
      <c r="E11" s="4">
        <f>8314.4/B11</f>
        <v>468.615700068818</v>
      </c>
      <c r="F11" s="4">
        <f>A11/1.205</f>
        <v>0.614670539419087</v>
      </c>
      <c r="I11" s="4">
        <f>2/3*(I3+J3^2/(I3+J3))</f>
        <v>3.714285714285714</v>
      </c>
      <c r="J11" s="4">
        <f>I11/C11</f>
        <v>0.80438451436058411</v>
      </c>
      <c r="K11" s="4">
        <f>K3/D11</f>
        <v>1.4161997695384207</v>
      </c>
      <c r="L11" s="4">
        <f>I11*1000000/C14/E11/K3</f>
        <v>31.227196987103699</v>
      </c>
    </row>
    <row r="13" spans="1:14" x14ac:dyDescent="0.35">
      <c r="A13" s="15" t="s">
        <v>14</v>
      </c>
      <c r="B13" s="15" t="s">
        <v>15</v>
      </c>
      <c r="C13" s="15" t="s">
        <v>16</v>
      </c>
    </row>
    <row r="14" spans="1:14" x14ac:dyDescent="0.35">
      <c r="A14" s="4">
        <f>-0.39+2.03/K11-3.16/K11^2+1.09/K11^3</f>
        <v>-0.14840362225512155</v>
      </c>
      <c r="B14" s="4">
        <f>0.0423-0.1812/K11+0.2124/K11^2</f>
        <v>2.0254269084205995E-2</v>
      </c>
      <c r="C14" s="4">
        <f>1+A14*J11+B14*J11^2</f>
        <v>0.89373163417809864</v>
      </c>
    </row>
    <row r="16" spans="1:14" x14ac:dyDescent="0.35">
      <c r="A16" s="15" t="s">
        <v>19</v>
      </c>
      <c r="B16" s="15" t="s">
        <v>20</v>
      </c>
      <c r="C16" s="15" t="s">
        <v>21</v>
      </c>
      <c r="D16" s="15" t="s">
        <v>22</v>
      </c>
      <c r="E16" s="15" t="s">
        <v>178</v>
      </c>
    </row>
    <row r="17" spans="1:5" x14ac:dyDescent="0.35">
      <c r="A17" s="4">
        <f>4.437-1.015*K11+0.591*K11^2</f>
        <v>4.1848797101777429</v>
      </c>
      <c r="B17" s="4">
        <f>3.29-11.37/K11+10.9/K11^2</f>
        <v>0.69619521948403307</v>
      </c>
      <c r="C17" s="4">
        <f>3.23-16.27/K11+25.48/K11^2-11.81/K11^3</f>
        <v>0.28787538327526985</v>
      </c>
      <c r="D17" s="4">
        <f>-0.214+0.908/K11-0.967/K11^2</f>
        <v>-5.4992258475791644E-2</v>
      </c>
      <c r="E17" s="4">
        <f>E11/1000*(A17+B17*J11+C17*J11^2+D17*J11^3)</f>
        <v>2.2974035287315488</v>
      </c>
    </row>
    <row r="19" spans="1:5" x14ac:dyDescent="0.35">
      <c r="A19" s="15" t="s">
        <v>23</v>
      </c>
      <c r="B19" s="15" t="s">
        <v>24</v>
      </c>
      <c r="C19" s="15" t="s">
        <v>25</v>
      </c>
      <c r="D19" s="15" t="s">
        <v>26</v>
      </c>
      <c r="E19" s="15" t="s">
        <v>27</v>
      </c>
    </row>
    <row r="20" spans="1:5" x14ac:dyDescent="0.35">
      <c r="A20" s="4">
        <f>(1.81+5.95*K11)/1000000</f>
        <v>1.0236388628753603E-5</v>
      </c>
      <c r="B20" s="4">
        <f>-0.67+2.36/K11-1.93/K11^2</f>
        <v>3.4136475328986782E-2</v>
      </c>
      <c r="C20" s="4">
        <f>0.8-2.89/K11+2.65/K11^2</f>
        <v>8.0613452075101177E-2</v>
      </c>
      <c r="D20" s="4">
        <f>-0.1+0.354/K11-0.314/K11^2</f>
        <v>-6.5951917712586128E-3</v>
      </c>
      <c r="E20" s="4">
        <f>A20*(1+B20*J11+C20*J11^2+D20*J11^3)</f>
        <v>1.1016257819503257E-5</v>
      </c>
    </row>
    <row r="22" spans="1:5" x14ac:dyDescent="0.35">
      <c r="A22" s="15" t="s">
        <v>28</v>
      </c>
      <c r="B22" s="15" t="s">
        <v>29</v>
      </c>
      <c r="C22" s="15" t="s">
        <v>30</v>
      </c>
      <c r="D22" s="15" t="s">
        <v>31</v>
      </c>
      <c r="E22" s="15" t="s">
        <v>111</v>
      </c>
    </row>
    <row r="23" spans="1:5" x14ac:dyDescent="0.35">
      <c r="A23" s="4">
        <f>24.96-20.3*K11+4.57*K11^2</f>
        <v>5.3768362460599466</v>
      </c>
      <c r="B23" s="4">
        <f>5.66-19.92/K11+16.89/K11^2</f>
        <v>1.5516338511510241E-2</v>
      </c>
      <c r="C23" s="4">
        <f>-4.11+14.68/K11-13.39/K11^2</f>
        <v>-0.420464583153219</v>
      </c>
      <c r="D23" s="4">
        <f>0.568-2/K11+1.79/K11^2</f>
        <v>4.8261161048230639E-2</v>
      </c>
      <c r="E23" s="4">
        <f>A23+B23*J11+C23*J11^2+D23*J11^3</f>
        <v>5.1423805000002734</v>
      </c>
    </row>
    <row r="26" spans="1:5" x14ac:dyDescent="0.35">
      <c r="A26" s="2" t="s">
        <v>43</v>
      </c>
    </row>
    <row r="27" spans="1:5" x14ac:dyDescent="0.35">
      <c r="A27" s="1" t="s">
        <v>44</v>
      </c>
    </row>
    <row r="28" spans="1:5" x14ac:dyDescent="0.35">
      <c r="A28" s="15" t="s">
        <v>33</v>
      </c>
      <c r="B28" s="15" t="s">
        <v>34</v>
      </c>
    </row>
    <row r="29" spans="1:5" x14ac:dyDescent="0.35">
      <c r="A29" s="4">
        <f>L3-2*M3</f>
        <v>614</v>
      </c>
      <c r="B29" s="4">
        <f>3.32*10^-6*SQRT((I3^2-J3^2)*A29^5/(N3*C14*F11*K3*H3))</f>
        <v>10.738728517903498</v>
      </c>
    </row>
    <row r="31" spans="1:5" x14ac:dyDescent="0.35">
      <c r="A31" s="15" t="s">
        <v>17</v>
      </c>
      <c r="B31" s="15" t="s">
        <v>18</v>
      </c>
    </row>
    <row r="32" spans="1:5" x14ac:dyDescent="0.35">
      <c r="A32" s="4">
        <v>0</v>
      </c>
      <c r="B32" s="4">
        <f>SQRT($I$3^2-($I$3^2-$J$3^2)*A32)</f>
        <v>5</v>
      </c>
    </row>
    <row r="33" spans="1:10" x14ac:dyDescent="0.35">
      <c r="A33" s="4">
        <v>0.1</v>
      </c>
      <c r="B33" s="4">
        <f>SQRT($I$3^2-($I$3^2-$J$3^2)*A33)</f>
        <v>4.7853944456021598</v>
      </c>
    </row>
    <row r="34" spans="1:10" x14ac:dyDescent="0.35">
      <c r="A34" s="4">
        <v>0.2</v>
      </c>
      <c r="B34" s="4">
        <f t="shared" ref="B34:B42" si="0">SQRT($I$3^2-($I$3^2-$J$3^2)*A34)</f>
        <v>4.5607017003965522</v>
      </c>
    </row>
    <row r="35" spans="1:10" x14ac:dyDescent="0.35">
      <c r="A35" s="4">
        <v>0.3</v>
      </c>
      <c r="B35" s="4">
        <f t="shared" si="0"/>
        <v>4.3243496620879309</v>
      </c>
    </row>
    <row r="36" spans="1:10" x14ac:dyDescent="0.35">
      <c r="A36" s="4">
        <v>0.4</v>
      </c>
      <c r="B36" s="4">
        <f t="shared" si="0"/>
        <v>4.0743097574926725</v>
      </c>
    </row>
    <row r="37" spans="1:10" x14ac:dyDescent="0.35">
      <c r="A37" s="4">
        <v>0.5</v>
      </c>
      <c r="B37" s="4">
        <f t="shared" si="0"/>
        <v>3.8078865529319543</v>
      </c>
    </row>
    <row r="38" spans="1:10" x14ac:dyDescent="0.35">
      <c r="A38" s="4">
        <v>0.6</v>
      </c>
      <c r="B38" s="4">
        <f t="shared" si="0"/>
        <v>3.5213633723318019</v>
      </c>
    </row>
    <row r="39" spans="1:10" x14ac:dyDescent="0.35">
      <c r="A39" s="4">
        <v>0.7</v>
      </c>
      <c r="B39" s="4">
        <f t="shared" si="0"/>
        <v>3.2093613071762426</v>
      </c>
    </row>
    <row r="40" spans="1:10" x14ac:dyDescent="0.35">
      <c r="A40" s="4">
        <v>0.8</v>
      </c>
      <c r="B40" s="4">
        <f t="shared" si="0"/>
        <v>2.8635642126552705</v>
      </c>
    </row>
    <row r="41" spans="1:10" x14ac:dyDescent="0.35">
      <c r="A41" s="4">
        <v>0.9</v>
      </c>
      <c r="B41" s="4">
        <f t="shared" si="0"/>
        <v>2.4698178070456933</v>
      </c>
    </row>
    <row r="42" spans="1:10" x14ac:dyDescent="0.35">
      <c r="A42" s="4">
        <v>1</v>
      </c>
      <c r="B42" s="4">
        <f t="shared" si="0"/>
        <v>2</v>
      </c>
    </row>
    <row r="45" spans="1:10" x14ac:dyDescent="0.35">
      <c r="A45" s="1" t="s">
        <v>32</v>
      </c>
    </row>
    <row r="46" spans="1:10" x14ac:dyDescent="0.35">
      <c r="A46" s="10" t="s">
        <v>45</v>
      </c>
      <c r="B46" s="28">
        <v>0</v>
      </c>
      <c r="C46" s="4">
        <v>9</v>
      </c>
      <c r="D46" s="4">
        <v>17</v>
      </c>
      <c r="E46" s="4">
        <v>25</v>
      </c>
      <c r="F46" s="4">
        <v>38</v>
      </c>
      <c r="G46" s="4">
        <v>52</v>
      </c>
      <c r="H46" s="4">
        <v>71</v>
      </c>
      <c r="I46" s="4">
        <v>78</v>
      </c>
      <c r="J46" s="4">
        <v>103</v>
      </c>
    </row>
    <row r="47" spans="1:10" x14ac:dyDescent="0.35">
      <c r="A47" s="10" t="s">
        <v>46</v>
      </c>
      <c r="B47" s="28">
        <v>0</v>
      </c>
      <c r="C47" s="4">
        <v>-12</v>
      </c>
      <c r="D47" s="4">
        <v>-175</v>
      </c>
      <c r="E47" s="4">
        <v>-156</v>
      </c>
      <c r="F47" s="4">
        <v>-342</v>
      </c>
      <c r="G47" s="4">
        <v>-140</v>
      </c>
      <c r="H47" s="4">
        <v>-107</v>
      </c>
      <c r="I47" s="4">
        <v>12</v>
      </c>
      <c r="J47" s="4">
        <v>107</v>
      </c>
    </row>
    <row r="48" spans="1:10" x14ac:dyDescent="0.35">
      <c r="A48" s="6"/>
    </row>
    <row r="49" spans="2:10" x14ac:dyDescent="0.35">
      <c r="B49" s="7" t="s">
        <v>48</v>
      </c>
      <c r="C49" s="26">
        <f t="shared" ref="C49:J49" si="1">C46-B46</f>
        <v>9</v>
      </c>
      <c r="D49" s="26">
        <f t="shared" si="1"/>
        <v>8</v>
      </c>
      <c r="E49" s="26">
        <f t="shared" si="1"/>
        <v>8</v>
      </c>
      <c r="F49" s="26">
        <f t="shared" si="1"/>
        <v>13</v>
      </c>
      <c r="G49" s="26">
        <f t="shared" si="1"/>
        <v>14</v>
      </c>
      <c r="H49" s="26">
        <f t="shared" si="1"/>
        <v>19</v>
      </c>
      <c r="I49" s="26">
        <f t="shared" si="1"/>
        <v>7</v>
      </c>
      <c r="J49" s="26">
        <f t="shared" si="1"/>
        <v>25</v>
      </c>
    </row>
    <row r="50" spans="2:10" x14ac:dyDescent="0.35">
      <c r="B50" s="7" t="s">
        <v>49</v>
      </c>
      <c r="C50" s="26">
        <f t="shared" ref="C50:J50" si="2">C46+B46</f>
        <v>9</v>
      </c>
      <c r="D50" s="26">
        <f t="shared" si="2"/>
        <v>26</v>
      </c>
      <c r="E50" s="26">
        <f t="shared" si="2"/>
        <v>42</v>
      </c>
      <c r="F50" s="26">
        <f t="shared" si="2"/>
        <v>63</v>
      </c>
      <c r="G50" s="26">
        <f t="shared" si="2"/>
        <v>90</v>
      </c>
      <c r="H50" s="26">
        <f t="shared" si="2"/>
        <v>123</v>
      </c>
      <c r="I50" s="26">
        <f t="shared" si="2"/>
        <v>149</v>
      </c>
      <c r="J50" s="26">
        <f t="shared" si="2"/>
        <v>181</v>
      </c>
    </row>
    <row r="51" spans="2:10" x14ac:dyDescent="0.35">
      <c r="B51" s="7" t="s">
        <v>50</v>
      </c>
      <c r="C51" s="26">
        <f>C50*C49</f>
        <v>81</v>
      </c>
      <c r="D51" s="26">
        <f t="shared" ref="D51:J51" si="3">D50*D49</f>
        <v>208</v>
      </c>
      <c r="E51" s="26">
        <f t="shared" si="3"/>
        <v>336</v>
      </c>
      <c r="F51" s="26">
        <f t="shared" si="3"/>
        <v>819</v>
      </c>
      <c r="G51" s="26">
        <f t="shared" si="3"/>
        <v>1260</v>
      </c>
      <c r="H51" s="26">
        <f t="shared" si="3"/>
        <v>2337</v>
      </c>
      <c r="I51" s="26">
        <f t="shared" si="3"/>
        <v>1043</v>
      </c>
      <c r="J51" s="26">
        <f t="shared" si="3"/>
        <v>4525</v>
      </c>
    </row>
    <row r="52" spans="2:10" x14ac:dyDescent="0.35">
      <c r="B52" s="7" t="s">
        <v>51</v>
      </c>
      <c r="C52" s="26">
        <f>SUM(C51:J51)</f>
        <v>10609</v>
      </c>
      <c r="D52" s="27"/>
      <c r="E52" s="27"/>
      <c r="F52" s="27"/>
      <c r="G52" s="27"/>
      <c r="H52" s="27"/>
      <c r="I52" s="27"/>
      <c r="J52" s="27"/>
    </row>
    <row r="71" spans="1:10" x14ac:dyDescent="0.35">
      <c r="A71" s="15" t="s">
        <v>47</v>
      </c>
      <c r="B71" s="15" t="s">
        <v>34</v>
      </c>
      <c r="C71" s="5"/>
    </row>
    <row r="72" spans="1:10" x14ac:dyDescent="0.35">
      <c r="A72" s="4">
        <f>F11/(14.64*C14*K3)</f>
        <v>1.6541536638310666E-4</v>
      </c>
      <c r="B72" s="4">
        <f>3.32*10^-6*A29^2.5*SQRT((I3^2-J3^2*(1+A72*J47))/(N3*C14*K3*F11*H3*(1+A72*C52/(2*H3))))</f>
        <v>10.675237212076993</v>
      </c>
    </row>
    <row r="74" spans="1:10" x14ac:dyDescent="0.35">
      <c r="G74" s="9"/>
      <c r="H74" s="9"/>
      <c r="I74" s="9"/>
      <c r="J74" s="9"/>
    </row>
    <row r="75" spans="1:10" x14ac:dyDescent="0.35">
      <c r="A75" s="2" t="s">
        <v>61</v>
      </c>
      <c r="G75" s="9"/>
      <c r="H75" s="9"/>
      <c r="I75" s="9"/>
      <c r="J75" s="9"/>
    </row>
    <row r="76" spans="1:10" x14ac:dyDescent="0.35">
      <c r="A76" s="1" t="s">
        <v>54</v>
      </c>
      <c r="G76" s="9"/>
      <c r="H76" s="9"/>
      <c r="I76" s="13"/>
      <c r="J76" s="9"/>
    </row>
    <row r="77" spans="1:10" x14ac:dyDescent="0.35">
      <c r="A77" s="36" t="s">
        <v>48</v>
      </c>
      <c r="B77" s="4">
        <v>22</v>
      </c>
      <c r="C77" s="4">
        <v>28</v>
      </c>
      <c r="D77" s="4">
        <v>17</v>
      </c>
      <c r="E77" s="4">
        <v>36</v>
      </c>
      <c r="G77" s="9"/>
      <c r="H77" s="9"/>
      <c r="I77" s="9"/>
      <c r="J77" s="9"/>
    </row>
    <row r="78" spans="1:10" x14ac:dyDescent="0.35">
      <c r="A78" s="36" t="s">
        <v>33</v>
      </c>
      <c r="B78" s="4">
        <v>820</v>
      </c>
      <c r="C78" s="4">
        <v>720</v>
      </c>
      <c r="D78" s="4">
        <v>630</v>
      </c>
      <c r="E78" s="4">
        <v>530</v>
      </c>
      <c r="G78" s="9"/>
      <c r="H78" s="9"/>
      <c r="I78" s="9"/>
      <c r="J78" s="9"/>
    </row>
    <row r="79" spans="1:10" x14ac:dyDescent="0.35">
      <c r="A79" s="37" t="s">
        <v>5</v>
      </c>
      <c r="B79" s="4">
        <v>10</v>
      </c>
      <c r="C79" s="4">
        <v>8.5</v>
      </c>
      <c r="D79" s="4">
        <v>8</v>
      </c>
      <c r="E79" s="4">
        <v>7</v>
      </c>
    </row>
    <row r="80" spans="1:10" x14ac:dyDescent="0.35">
      <c r="A80" s="12" t="s">
        <v>58</v>
      </c>
      <c r="B80" s="4">
        <f>B78-2*B79</f>
        <v>800</v>
      </c>
      <c r="C80" s="4">
        <f t="shared" ref="C80:E80" si="4">C78-2*C79</f>
        <v>703</v>
      </c>
      <c r="D80" s="4">
        <f t="shared" si="4"/>
        <v>614</v>
      </c>
      <c r="E80" s="4">
        <f t="shared" si="4"/>
        <v>516</v>
      </c>
    </row>
    <row r="81" spans="1:10" x14ac:dyDescent="0.35">
      <c r="A81" s="12" t="s">
        <v>59</v>
      </c>
      <c r="B81" s="4">
        <f>(H3/(B77/B80^5.2+C77/C80^5.2+D77/D80^5.2+E77/E80^5.2))^(1/5.2)</f>
        <v>591.26484207709086</v>
      </c>
    </row>
    <row r="82" spans="1:10" x14ac:dyDescent="0.35">
      <c r="A82" s="12" t="s">
        <v>57</v>
      </c>
      <c r="B82" s="4">
        <f>B77*(B80/B80)^5.2+C77*(B80/C80)^5.2+D77*(B80/D80)^5.2+E77*(B80/E80)^5.2</f>
        <v>496.17910075506518</v>
      </c>
    </row>
    <row r="83" spans="1:10" x14ac:dyDescent="0.35">
      <c r="A83" s="1" t="s">
        <v>52</v>
      </c>
    </row>
    <row r="84" spans="1:10" x14ac:dyDescent="0.35">
      <c r="A84" s="12" t="s">
        <v>59</v>
      </c>
      <c r="B84" s="8">
        <f>(B80^2.6+C80^2.6+D80^2.6+E80^2.6)^(1/2.6)</f>
        <v>1144.4422635704072</v>
      </c>
    </row>
    <row r="85" spans="1:10" x14ac:dyDescent="0.35">
      <c r="A85" s="12" t="s">
        <v>56</v>
      </c>
      <c r="B85" s="4">
        <f>B29*B80^2.6/(B80^2.6+C80^2.6+D80^2.6+E80^2.6)</f>
        <v>4.2329459350205623</v>
      </c>
      <c r="C85" s="4">
        <f>B29*C80^2.6/(B80^2.6+C80^2.6+D80^2.6+E80^2.6)</f>
        <v>3.0247716951825252</v>
      </c>
      <c r="D85" s="4">
        <f>B29*D80^2.6/(B80^2.6+C80^2.6+D80^2.6+E80^2.6)</f>
        <v>2.1273870943948436</v>
      </c>
      <c r="E85" s="4">
        <f>B29*E80^2.6/(B80^2.6+C80^2.6+D80^2.6+E80^2.6)</f>
        <v>1.3536237933055664</v>
      </c>
    </row>
    <row r="86" spans="1:10" x14ac:dyDescent="0.35">
      <c r="A86" s="14" t="s">
        <v>53</v>
      </c>
    </row>
    <row r="87" spans="1:10" x14ac:dyDescent="0.35">
      <c r="A87" s="38" t="s">
        <v>60</v>
      </c>
      <c r="B87" s="4">
        <v>0</v>
      </c>
      <c r="C87" s="4">
        <v>-0.7</v>
      </c>
      <c r="D87" s="4">
        <v>0.5</v>
      </c>
      <c r="E87" s="4">
        <v>-0.8</v>
      </c>
    </row>
    <row r="88" spans="1:10" x14ac:dyDescent="0.35">
      <c r="A88" s="12" t="s">
        <v>56</v>
      </c>
      <c r="B88" s="4">
        <f>B29</f>
        <v>10.738728517903498</v>
      </c>
      <c r="C88" s="4">
        <f>B88+C87</f>
        <v>10.038728517903499</v>
      </c>
      <c r="D88" s="4">
        <f>C88+D87</f>
        <v>10.538728517903499</v>
      </c>
      <c r="E88" s="4">
        <f>D88+E87</f>
        <v>9.7387285179034979</v>
      </c>
    </row>
    <row r="89" spans="1:10" x14ac:dyDescent="0.35">
      <c r="A89" s="12" t="s">
        <v>55</v>
      </c>
      <c r="B89" s="4">
        <f>SQRT(1/H3*(B88^2*B77+C88^2*C77+D88^2*D77+E88^2*E77))</f>
        <v>10.173838486484469</v>
      </c>
    </row>
    <row r="92" spans="1:10" x14ac:dyDescent="0.35">
      <c r="A92" s="2" t="s">
        <v>62</v>
      </c>
    </row>
    <row r="93" spans="1:10" x14ac:dyDescent="0.35">
      <c r="A93" s="1" t="s">
        <v>63</v>
      </c>
    </row>
    <row r="94" spans="1:10" x14ac:dyDescent="0.35">
      <c r="A94" s="10" t="s">
        <v>64</v>
      </c>
      <c r="B94" s="10" t="s">
        <v>67</v>
      </c>
      <c r="C94" s="10" t="s">
        <v>65</v>
      </c>
      <c r="D94" s="10" t="s">
        <v>77</v>
      </c>
      <c r="E94" s="37" t="s">
        <v>66</v>
      </c>
      <c r="F94" s="37" t="s">
        <v>68</v>
      </c>
      <c r="G94" s="10" t="s">
        <v>78</v>
      </c>
      <c r="H94" s="10" t="s">
        <v>69</v>
      </c>
      <c r="I94" s="10" t="s">
        <v>70</v>
      </c>
      <c r="J94" s="10" t="s">
        <v>71</v>
      </c>
    </row>
    <row r="95" spans="1:10" x14ac:dyDescent="0.35">
      <c r="A95" s="4">
        <v>31.8</v>
      </c>
      <c r="B95" s="4">
        <v>920</v>
      </c>
      <c r="C95" s="4" t="s">
        <v>82</v>
      </c>
      <c r="D95" s="4">
        <v>3</v>
      </c>
      <c r="E95" s="4">
        <v>12</v>
      </c>
      <c r="F95" s="4">
        <v>1.6</v>
      </c>
      <c r="G95" s="4">
        <v>13</v>
      </c>
      <c r="H95" s="4">
        <v>260</v>
      </c>
      <c r="I95" s="4" t="s">
        <v>83</v>
      </c>
      <c r="J95" s="4" t="s">
        <v>84</v>
      </c>
    </row>
    <row r="97" spans="1:9" x14ac:dyDescent="0.35">
      <c r="A97" s="11" t="s">
        <v>4</v>
      </c>
      <c r="B97" s="20" t="s">
        <v>5</v>
      </c>
      <c r="C97" s="11" t="s">
        <v>73</v>
      </c>
      <c r="D97" s="11" t="s">
        <v>74</v>
      </c>
      <c r="E97" s="20" t="s">
        <v>76</v>
      </c>
      <c r="F97" s="11" t="s">
        <v>79</v>
      </c>
      <c r="G97" s="11" t="s">
        <v>72</v>
      </c>
      <c r="H97" s="11" t="s">
        <v>80</v>
      </c>
      <c r="I97" s="11" t="s">
        <v>81</v>
      </c>
    </row>
    <row r="98" spans="1:9" x14ac:dyDescent="0.35">
      <c r="A98" s="4">
        <v>1420</v>
      </c>
      <c r="B98" s="4">
        <v>20.5</v>
      </c>
      <c r="C98" s="4">
        <v>1</v>
      </c>
      <c r="D98" s="4" t="s">
        <v>75</v>
      </c>
      <c r="E98" s="4">
        <v>5</v>
      </c>
      <c r="F98" s="4">
        <v>35</v>
      </c>
      <c r="G98" s="4">
        <v>0.95</v>
      </c>
      <c r="H98" s="4">
        <v>5.14</v>
      </c>
      <c r="I98" s="4">
        <v>7.45</v>
      </c>
    </row>
    <row r="100" spans="1:9" x14ac:dyDescent="0.35">
      <c r="A100" s="16" t="s">
        <v>7</v>
      </c>
      <c r="B100" s="16" t="s">
        <v>85</v>
      </c>
      <c r="C100" s="16" t="s">
        <v>87</v>
      </c>
      <c r="D100" s="16" t="s">
        <v>86</v>
      </c>
      <c r="E100" s="21" t="s">
        <v>8</v>
      </c>
      <c r="F100" s="16" t="s">
        <v>9</v>
      </c>
    </row>
    <row r="101" spans="1:9" x14ac:dyDescent="0.35">
      <c r="A101" s="4">
        <f>A11</f>
        <v>0.74067799999999995</v>
      </c>
      <c r="B101" s="4">
        <f t="shared" ref="B101:F101" si="5">B11</f>
        <v>17.742469999999997</v>
      </c>
      <c r="C101" s="4">
        <f t="shared" si="5"/>
        <v>4.6175499999999987</v>
      </c>
      <c r="D101" s="4">
        <f t="shared" si="5"/>
        <v>200.53667999999999</v>
      </c>
      <c r="E101" s="4">
        <f t="shared" si="5"/>
        <v>468.615700068818</v>
      </c>
      <c r="F101" s="4">
        <f t="shared" si="5"/>
        <v>0.614670539419087</v>
      </c>
    </row>
    <row r="103" spans="1:9" x14ac:dyDescent="0.35">
      <c r="A103" s="4" t="s">
        <v>88</v>
      </c>
      <c r="B103" s="4" t="s">
        <v>89</v>
      </c>
      <c r="C103" s="10" t="s">
        <v>90</v>
      </c>
      <c r="D103" s="10" t="s">
        <v>91</v>
      </c>
    </row>
    <row r="104" spans="1:9" x14ac:dyDescent="0.35">
      <c r="A104" s="4">
        <f>I98-C104</f>
        <v>7.38</v>
      </c>
      <c r="B104" s="4">
        <f>H98+D104</f>
        <v>5.26</v>
      </c>
      <c r="C104" s="4">
        <v>7.0000000000000007E-2</v>
      </c>
      <c r="D104" s="4">
        <v>0.12</v>
      </c>
    </row>
    <row r="105" spans="1:9" x14ac:dyDescent="0.35">
      <c r="E105" s="6"/>
      <c r="F105" s="6"/>
    </row>
    <row r="106" spans="1:9" x14ac:dyDescent="0.35">
      <c r="A106" s="4" t="s">
        <v>92</v>
      </c>
      <c r="B106" s="22" t="s">
        <v>10</v>
      </c>
      <c r="C106" s="22" t="s">
        <v>11</v>
      </c>
      <c r="D106" s="22" t="s">
        <v>12</v>
      </c>
      <c r="E106" s="24"/>
      <c r="F106" s="6"/>
    </row>
    <row r="107" spans="1:9" x14ac:dyDescent="0.35">
      <c r="A107" s="4">
        <f>(F98+273+D95+273)/2</f>
        <v>292</v>
      </c>
      <c r="B107" s="23">
        <f>2/3*(A104+B104^2/(A104+B104))</f>
        <v>6.3792616033755269</v>
      </c>
      <c r="C107" s="23">
        <f>B107/C101</f>
        <v>1.3815251818335543</v>
      </c>
      <c r="D107" s="23">
        <f>A107/D101</f>
        <v>1.4560927207930241</v>
      </c>
      <c r="E107" s="25"/>
      <c r="F107" s="6"/>
    </row>
    <row r="108" spans="1:9" x14ac:dyDescent="0.35">
      <c r="E108" s="6"/>
      <c r="F108" s="6"/>
    </row>
    <row r="109" spans="1:9" x14ac:dyDescent="0.35">
      <c r="A109" s="15" t="s">
        <v>14</v>
      </c>
      <c r="B109" s="15" t="s">
        <v>15</v>
      </c>
      <c r="C109" s="15" t="s">
        <v>16</v>
      </c>
      <c r="E109" s="31" t="s">
        <v>33</v>
      </c>
      <c r="F109" s="31" t="s">
        <v>34</v>
      </c>
    </row>
    <row r="110" spans="1:9" x14ac:dyDescent="0.35">
      <c r="A110" s="4">
        <f>-0.39+2.03/D107-3.16/D107^2+1.09/D107^3</f>
        <v>-0.13321036588682389</v>
      </c>
      <c r="B110" s="4">
        <f>0.0423-0.1812/D107+0.2124/D107^2</f>
        <v>1.8036319618217736E-2</v>
      </c>
      <c r="C110" s="4">
        <f>1+A110*C107+B110*C107^2</f>
        <v>0.85039085800373582</v>
      </c>
      <c r="E110" s="26">
        <f>A98-2*B98</f>
        <v>1379</v>
      </c>
      <c r="F110" s="26">
        <f>A95*1000/(365*0.9)</f>
        <v>96.803652968036531</v>
      </c>
    </row>
    <row r="112" spans="1:9" x14ac:dyDescent="0.35">
      <c r="A112" s="19" t="s">
        <v>93</v>
      </c>
      <c r="B112" s="4" t="s">
        <v>6</v>
      </c>
      <c r="C112" s="4" t="s">
        <v>112</v>
      </c>
      <c r="D112" s="4" t="s">
        <v>94</v>
      </c>
      <c r="E112" s="4" t="s">
        <v>96</v>
      </c>
      <c r="F112" s="4" t="s">
        <v>95</v>
      </c>
    </row>
    <row r="113" spans="1:6" x14ac:dyDescent="0.35">
      <c r="A113" s="4">
        <f>0.067*(2*0.03/E110)^0.2</f>
        <v>8.9906729446362684E-3</v>
      </c>
      <c r="B113" s="4">
        <f>A113/G98^2</f>
        <v>9.9619644815914336E-3</v>
      </c>
      <c r="C113" s="4">
        <f>(3.32*10^-6)^2*E110^5*(A104^2-B104^2)/(F110^2*B113*C110*F101*A107)</f>
        <v>103.37323787938895</v>
      </c>
      <c r="D113" s="4">
        <f>B95/C113</f>
        <v>8.8997889480197276</v>
      </c>
      <c r="E113" s="4">
        <f>CEILING(D113,1)</f>
        <v>9</v>
      </c>
      <c r="F113" s="4">
        <f>B95/E113</f>
        <v>102.22222222222223</v>
      </c>
    </row>
    <row r="115" spans="1:6" x14ac:dyDescent="0.35">
      <c r="A115" t="s">
        <v>97</v>
      </c>
    </row>
    <row r="116" spans="1:6" x14ac:dyDescent="0.35">
      <c r="A116" s="4" t="s">
        <v>105</v>
      </c>
      <c r="B116" s="4">
        <f>10^((-134.2+23.89*E95-2.389*(D95+273)+442.98*F95-0.276*E95^2)/1000)</f>
        <v>1.4525797985245026</v>
      </c>
    </row>
    <row r="118" spans="1:6" x14ac:dyDescent="0.35">
      <c r="A118" t="s">
        <v>98</v>
      </c>
    </row>
    <row r="119" spans="1:6" x14ac:dyDescent="0.35">
      <c r="A119" s="4" t="s">
        <v>105</v>
      </c>
      <c r="B119" s="4">
        <f>10^((-711.8+8.25*E95+2.48*(D95+273)-17.2*F95)/1000)</f>
        <v>1.1070315543557001</v>
      </c>
    </row>
    <row r="121" spans="1:6" x14ac:dyDescent="0.35">
      <c r="A121" t="s">
        <v>99</v>
      </c>
    </row>
    <row r="122" spans="1:6" x14ac:dyDescent="0.35">
      <c r="A122" s="4" t="s">
        <v>105</v>
      </c>
      <c r="B122" s="4">
        <f>10^((-920.27+13.9*E95+3.26*(D95+273)+18.6*F95-0.36*E95^2)/1000)</f>
        <v>1.3310979052894498</v>
      </c>
    </row>
    <row r="124" spans="1:6" x14ac:dyDescent="0.35">
      <c r="A124" s="10" t="s">
        <v>105</v>
      </c>
      <c r="B124" s="4">
        <f>B119</f>
        <v>1.1070315543557001</v>
      </c>
      <c r="C124" t="s">
        <v>103</v>
      </c>
    </row>
    <row r="126" spans="1:6" x14ac:dyDescent="0.35">
      <c r="A126" s="19" t="s">
        <v>100</v>
      </c>
      <c r="B126" s="4" t="s">
        <v>101</v>
      </c>
      <c r="C126" s="4" t="s">
        <v>102</v>
      </c>
      <c r="D126" s="4" t="s">
        <v>104</v>
      </c>
    </row>
    <row r="127" spans="1:6" x14ac:dyDescent="0.35">
      <c r="A127" s="4">
        <f>6.2+4.2*E98</f>
        <v>27.2</v>
      </c>
      <c r="B127" s="4">
        <f>C127+B124*(1/A127)</f>
        <v>1.7506996894983713</v>
      </c>
      <c r="C127" s="4">
        <f>C98+A98/2/1000</f>
        <v>1.71</v>
      </c>
      <c r="D127" s="4">
        <f>B124/(A98/1000)*(0.65+(A98/1000/B127)^2)</f>
        <v>1.0196307447928947</v>
      </c>
    </row>
    <row r="130" spans="1:14" x14ac:dyDescent="0.35">
      <c r="A130" s="2" t="s">
        <v>108</v>
      </c>
    </row>
    <row r="131" spans="1:14" x14ac:dyDescent="0.35">
      <c r="A131" s="1" t="s">
        <v>109</v>
      </c>
      <c r="D131" s="6"/>
      <c r="E131" s="6"/>
      <c r="F131" s="6"/>
    </row>
    <row r="132" spans="1:14" x14ac:dyDescent="0.35">
      <c r="A132" t="s">
        <v>114</v>
      </c>
      <c r="D132" s="6"/>
      <c r="E132" s="6"/>
      <c r="F132" s="6"/>
      <c r="N132" s="39"/>
    </row>
    <row r="133" spans="1:14" x14ac:dyDescent="0.35">
      <c r="A133" s="4" t="s">
        <v>16</v>
      </c>
      <c r="B133" s="4" t="s">
        <v>3</v>
      </c>
      <c r="C133" s="4" t="s">
        <v>6</v>
      </c>
      <c r="D133" s="9"/>
      <c r="E133" s="28" t="s">
        <v>88</v>
      </c>
      <c r="F133" s="28" t="s">
        <v>34</v>
      </c>
      <c r="G133" s="28" t="s">
        <v>9</v>
      </c>
      <c r="H133" s="26" t="s">
        <v>95</v>
      </c>
      <c r="I133" s="31" t="s">
        <v>33</v>
      </c>
      <c r="J133" s="32" t="s">
        <v>107</v>
      </c>
      <c r="K133" s="29" t="s">
        <v>12</v>
      </c>
      <c r="L133" s="33" t="s">
        <v>8</v>
      </c>
      <c r="M133" s="32" t="s">
        <v>86</v>
      </c>
      <c r="N133" s="28" t="s">
        <v>72</v>
      </c>
    </row>
    <row r="134" spans="1:14" x14ac:dyDescent="0.35">
      <c r="A134" s="4">
        <f>C110</f>
        <v>0.85039085800373582</v>
      </c>
      <c r="B134" s="4">
        <f>A107</f>
        <v>292</v>
      </c>
      <c r="C134" s="4">
        <f>B113</f>
        <v>9.9619644815914336E-3</v>
      </c>
      <c r="D134" s="6"/>
      <c r="E134" s="26">
        <f>A104</f>
        <v>7.38</v>
      </c>
      <c r="F134" s="26">
        <f>F110</f>
        <v>96.803652968036531</v>
      </c>
      <c r="G134" s="26">
        <f>F11</f>
        <v>0.614670539419087</v>
      </c>
      <c r="H134" s="26">
        <f>F113</f>
        <v>102.22222222222223</v>
      </c>
      <c r="I134" s="26">
        <f>E110</f>
        <v>1379</v>
      </c>
      <c r="J134" s="26">
        <f>C11</f>
        <v>4.6175499999999987</v>
      </c>
      <c r="K134" s="26">
        <f>K11</f>
        <v>1.4161997695384207</v>
      </c>
      <c r="L134" s="26">
        <f>E11</f>
        <v>468.615700068818</v>
      </c>
      <c r="M134" s="26">
        <f>D11</f>
        <v>200.53667999999999</v>
      </c>
      <c r="N134" s="28">
        <f>G98</f>
        <v>0.95</v>
      </c>
    </row>
    <row r="135" spans="1:14" x14ac:dyDescent="0.35">
      <c r="D135" s="6"/>
      <c r="E135" s="6"/>
      <c r="F135" s="6"/>
    </row>
    <row r="136" spans="1:14" x14ac:dyDescent="0.35">
      <c r="A136" s="4" t="s">
        <v>89</v>
      </c>
      <c r="B136" s="4" t="s">
        <v>10</v>
      </c>
      <c r="C136" s="4" t="s">
        <v>11</v>
      </c>
      <c r="D136" s="6"/>
      <c r="E136" s="6"/>
      <c r="F136" s="6"/>
    </row>
    <row r="137" spans="1:14" x14ac:dyDescent="0.35">
      <c r="A137" s="4">
        <f>SQRT(E134^2-F134^2*G134*C134*A134*B134*H134/((3.32*10^-6)^2*I134^5))</f>
        <v>5.2882861697414141</v>
      </c>
      <c r="B137" s="4">
        <f>2/3*(E134+A137^2/(E134+A137))</f>
        <v>6.3917050245715625</v>
      </c>
      <c r="C137" s="4">
        <f>B137/J134</f>
        <v>1.3842199921108735</v>
      </c>
      <c r="D137" s="6"/>
      <c r="E137" s="6"/>
      <c r="F137" s="6"/>
    </row>
    <row r="139" spans="1:14" x14ac:dyDescent="0.35">
      <c r="A139" s="15" t="s">
        <v>19</v>
      </c>
      <c r="B139" s="15" t="s">
        <v>20</v>
      </c>
      <c r="C139" s="15" t="s">
        <v>21</v>
      </c>
      <c r="D139" s="15" t="s">
        <v>22</v>
      </c>
      <c r="E139" s="15" t="s">
        <v>178</v>
      </c>
    </row>
    <row r="140" spans="1:14" x14ac:dyDescent="0.35">
      <c r="A140" s="4">
        <f>4.437-1.015*K134+0.591*K134^2</f>
        <v>4.1848797101777429</v>
      </c>
      <c r="B140" s="4">
        <f>3.29-11.37/K134+10.9/K134^2</f>
        <v>0.69619521948403307</v>
      </c>
      <c r="C140" s="4">
        <f>3.23-16.27/K134+25.48/K134^2-11.81/K134^3</f>
        <v>0.28787538327526985</v>
      </c>
      <c r="D140" s="4">
        <f>-0.214+0.908/K134-0.967/K134^2</f>
        <v>-5.4992258475791644E-2</v>
      </c>
      <c r="E140" s="4">
        <f>L134/1000*(A140+B140*C137+C140*C137^2+D140*C137^3)</f>
        <v>2.6028328745473015</v>
      </c>
    </row>
    <row r="142" spans="1:14" x14ac:dyDescent="0.35">
      <c r="A142" s="15" t="s">
        <v>28</v>
      </c>
      <c r="B142" s="15" t="s">
        <v>29</v>
      </c>
      <c r="C142" s="15" t="s">
        <v>30</v>
      </c>
      <c r="D142" s="15" t="s">
        <v>31</v>
      </c>
      <c r="E142" s="15" t="s">
        <v>111</v>
      </c>
    </row>
    <row r="143" spans="1:14" x14ac:dyDescent="0.35">
      <c r="A143" s="4">
        <f>24.96-20.3*K134+4.57*K134^2</f>
        <v>5.3768362460599466</v>
      </c>
      <c r="B143" s="4">
        <f>5.66-19.92/K134+16.89/K134^2</f>
        <v>1.5516338511510241E-2</v>
      </c>
      <c r="C143" s="4">
        <f>-4.11+14.68/K134-13.39/K134^2</f>
        <v>-0.420464583153219</v>
      </c>
      <c r="D143" s="4">
        <f>0.568-2/K134+1.79/K134^2</f>
        <v>4.8261161048230639E-2</v>
      </c>
      <c r="E143" s="4">
        <f>A143+B143*C137+C143*C137^2+D143*C137^3</f>
        <v>4.7206777340878139</v>
      </c>
    </row>
    <row r="144" spans="1:14" x14ac:dyDescent="0.35">
      <c r="A144" t="s">
        <v>113</v>
      </c>
    </row>
    <row r="145" spans="1:7" x14ac:dyDescent="0.35">
      <c r="A145" s="4" t="s">
        <v>110</v>
      </c>
      <c r="B145" s="4" t="s">
        <v>3</v>
      </c>
    </row>
    <row r="146" spans="1:7" x14ac:dyDescent="0.35">
      <c r="A146" s="4">
        <f>225.5*10^-3*D127*I134/(F134*G134*E140*1000)</f>
        <v>2.0472614411967322E-3</v>
      </c>
      <c r="B146" s="4">
        <f>D95+273+(F98-D95)*(1-EXP(-1*A146*H134))/(A146*H134)-E143*(E134^2-A137^2)/(2*A146*H134*B137)*(1-(1-EXP(-1*A146*H134))/(A146*H134))</f>
        <v>300.304925304417</v>
      </c>
    </row>
    <row r="147" spans="1:7" x14ac:dyDescent="0.35">
      <c r="A147" s="9" t="s">
        <v>115</v>
      </c>
    </row>
    <row r="148" spans="1:7" x14ac:dyDescent="0.35">
      <c r="A148" s="4" t="s">
        <v>145</v>
      </c>
      <c r="B148" s="4" t="s">
        <v>146</v>
      </c>
      <c r="C148" s="4" t="s">
        <v>116</v>
      </c>
      <c r="D148" s="4" t="s">
        <v>117</v>
      </c>
      <c r="E148" s="15" t="s">
        <v>14</v>
      </c>
      <c r="F148" s="15" t="s">
        <v>15</v>
      </c>
      <c r="G148" s="15" t="s">
        <v>16</v>
      </c>
    </row>
    <row r="149" spans="1:7" x14ac:dyDescent="0.35">
      <c r="A149" s="4">
        <f>B137</f>
        <v>6.3917050245715625</v>
      </c>
      <c r="B149" s="4">
        <f>B146</f>
        <v>300.304925304417</v>
      </c>
      <c r="C149" s="4">
        <f>A149/J134</f>
        <v>1.3842199921108735</v>
      </c>
      <c r="D149" s="4">
        <f>B149/M134</f>
        <v>1.4975062183358028</v>
      </c>
      <c r="E149" s="4">
        <f>-0.39+2.03/D149-3.16/D149^2+1.09/D149^3</f>
        <v>-0.11895979551670011</v>
      </c>
      <c r="F149" s="4">
        <f>0.0423-0.1812/D149+0.2124/D149^2</f>
        <v>1.6013501487945489E-2</v>
      </c>
      <c r="G149" s="4">
        <f>1+E149*C149+F149*C149^2</f>
        <v>0.86601638230163192</v>
      </c>
    </row>
    <row r="151" spans="1:7" x14ac:dyDescent="0.35">
      <c r="A151" s="15" t="s">
        <v>23</v>
      </c>
      <c r="B151" s="15" t="s">
        <v>24</v>
      </c>
      <c r="C151" s="15" t="s">
        <v>25</v>
      </c>
      <c r="D151" s="15" t="s">
        <v>26</v>
      </c>
      <c r="E151" s="15" t="s">
        <v>118</v>
      </c>
    </row>
    <row r="152" spans="1:7" x14ac:dyDescent="0.35">
      <c r="A152" s="4">
        <f>(1.81+5.95*D149)/1000000</f>
        <v>1.0720161999098027E-5</v>
      </c>
      <c r="B152" s="4">
        <f>-0.67+2.36/D149-1.93/D149^2</f>
        <v>4.531633557484227E-2</v>
      </c>
      <c r="C152" s="4">
        <f>0.8-2.89/D149+2.65/D149^2</f>
        <v>5.1828601556644704E-2</v>
      </c>
      <c r="D152" s="4">
        <f>-0.1+0.354/D149-0.314/D149^2</f>
        <v>-3.6277350583942825E-3</v>
      </c>
      <c r="E152" s="4">
        <f>A152*(1+B152*C149+C152*C149^2+D152*C149^3)</f>
        <v>1.2354054760600082E-5</v>
      </c>
    </row>
    <row r="154" spans="1:7" x14ac:dyDescent="0.35">
      <c r="A154" s="4" t="s">
        <v>119</v>
      </c>
      <c r="B154" s="4" t="s">
        <v>93</v>
      </c>
      <c r="C154" s="4" t="s">
        <v>6</v>
      </c>
      <c r="D154" s="12" t="s">
        <v>120</v>
      </c>
      <c r="E154" s="12" t="s">
        <v>148</v>
      </c>
      <c r="G154" s="27" t="s">
        <v>179</v>
      </c>
    </row>
    <row r="155" spans="1:7" x14ac:dyDescent="0.35">
      <c r="A155" s="4">
        <f>17.75*1000*G134*F134/(I134*E152)</f>
        <v>61995292.521428749</v>
      </c>
      <c r="B155" s="4">
        <f>0.067*(158/A155+2*0.03/I134)^0.2</f>
        <v>9.0936140111010609E-3</v>
      </c>
      <c r="C155" s="4">
        <f>B155/N134^2</f>
        <v>1.0076026605098128E-2</v>
      </c>
      <c r="D155" s="4">
        <f>SQRT(E134^2-F134^2*G134*C155*G149*B146*H134/((3.32*10^-6)^2*I134^5))</f>
        <v>5.1374903971682784</v>
      </c>
      <c r="E155" s="4">
        <f>ABS(D155-A137)/A137*100</f>
        <v>2.8515055300138812</v>
      </c>
      <c r="G155" s="27" t="s">
        <v>121</v>
      </c>
    </row>
    <row r="157" spans="1:7" x14ac:dyDescent="0.35">
      <c r="A157" s="40" t="s">
        <v>122</v>
      </c>
      <c r="B157" s="4" t="str">
        <f>IF(E155&lt;1,G155,G154)</f>
        <v>требуется пересчет!!!</v>
      </c>
      <c r="D157" t="s">
        <v>125</v>
      </c>
      <c r="F157" s="4" t="s">
        <v>123</v>
      </c>
      <c r="G157" s="4">
        <f>D95+273+(F98-D95)*EXP(-1*A146*H134)-E143*(E134^2-A137^2)/(2*A146*H134*B137)*(1-EXP(-1*A146*H134))</f>
        <v>293.12819022496541</v>
      </c>
    </row>
    <row r="159" spans="1:7" x14ac:dyDescent="0.35">
      <c r="A159" s="47" t="s">
        <v>126</v>
      </c>
      <c r="B159" s="48"/>
      <c r="C159" s="48"/>
      <c r="D159" s="48"/>
      <c r="E159" s="48"/>
      <c r="F159" s="48"/>
      <c r="G159" s="49"/>
    </row>
    <row r="160" spans="1:7" x14ac:dyDescent="0.35">
      <c r="A160" s="4" t="s">
        <v>89</v>
      </c>
      <c r="B160" s="4" t="s">
        <v>10</v>
      </c>
      <c r="C160" s="4" t="s">
        <v>11</v>
      </c>
      <c r="D160" s="6" t="s">
        <v>127</v>
      </c>
      <c r="E160" s="6"/>
      <c r="F160" s="6"/>
      <c r="G160" s="50"/>
    </row>
    <row r="161" spans="1:7" x14ac:dyDescent="0.35">
      <c r="A161" s="4">
        <f>D155</f>
        <v>5.1374903971682784</v>
      </c>
      <c r="B161" s="4">
        <f>2/3*(E134+A161^2/(E134+A161))</f>
        <v>6.3257028335843373</v>
      </c>
      <c r="C161" s="4">
        <f>B161/J134</f>
        <v>1.3699262235567213</v>
      </c>
      <c r="D161" s="6"/>
      <c r="E161" s="6"/>
      <c r="F161" s="6"/>
      <c r="G161" s="50"/>
    </row>
    <row r="162" spans="1:7" x14ac:dyDescent="0.35">
      <c r="A162" s="51"/>
      <c r="B162" s="6"/>
      <c r="C162" s="6"/>
      <c r="D162" s="6"/>
      <c r="E162" s="6"/>
      <c r="F162" s="6"/>
      <c r="G162" s="50"/>
    </row>
    <row r="163" spans="1:7" x14ac:dyDescent="0.35">
      <c r="A163" s="15" t="s">
        <v>19</v>
      </c>
      <c r="B163" s="15" t="s">
        <v>20</v>
      </c>
      <c r="C163" s="15" t="s">
        <v>21</v>
      </c>
      <c r="D163" s="15" t="s">
        <v>22</v>
      </c>
      <c r="E163" s="15" t="s">
        <v>178</v>
      </c>
      <c r="F163" s="6"/>
      <c r="G163" s="50"/>
    </row>
    <row r="164" spans="1:7" x14ac:dyDescent="0.35">
      <c r="A164" s="4">
        <f>4.437-1.015*D149+0.591*D149^2</f>
        <v>4.2423633888962096</v>
      </c>
      <c r="B164" s="4">
        <f>3.29-11.37/D149+10.9/D149^2</f>
        <v>0.55796978992944624</v>
      </c>
      <c r="C164" s="4">
        <f>3.23-16.27/D149+25.48/D149^2-11.81/D149^3</f>
        <v>0.2106930727447387</v>
      </c>
      <c r="D164" s="4">
        <f>-0.214+0.908/D149-0.967/D149^2</f>
        <v>-3.8868989945083032E-2</v>
      </c>
      <c r="E164" s="4">
        <f>L134/1000*(A164+B164*C149+C164*C149^2+D164*C149^3)</f>
        <v>2.4908458968313814</v>
      </c>
      <c r="F164" s="6"/>
      <c r="G164" s="50"/>
    </row>
    <row r="165" spans="1:7" x14ac:dyDescent="0.35">
      <c r="A165" s="51"/>
      <c r="B165" s="6"/>
      <c r="C165" s="6"/>
      <c r="D165" s="6"/>
      <c r="E165" s="6"/>
      <c r="F165" s="6"/>
      <c r="G165" s="50"/>
    </row>
    <row r="166" spans="1:7" x14ac:dyDescent="0.35">
      <c r="A166" s="15" t="s">
        <v>28</v>
      </c>
      <c r="B166" s="15" t="s">
        <v>29</v>
      </c>
      <c r="C166" s="15" t="s">
        <v>30</v>
      </c>
      <c r="D166" s="15" t="s">
        <v>31</v>
      </c>
      <c r="E166" s="15" t="s">
        <v>111</v>
      </c>
      <c r="F166" s="6"/>
      <c r="G166" s="50"/>
    </row>
    <row r="167" spans="1:7" x14ac:dyDescent="0.35">
      <c r="A167" s="4">
        <f>24.96-20.3*D149+4.57*D149^2</f>
        <v>4.8089624417547956</v>
      </c>
      <c r="B167" s="4">
        <f>5.66-19.92/D149+16.89/D149^2</f>
        <v>-0.11042601379517247</v>
      </c>
      <c r="C167" s="4">
        <f>-4.11+14.68/D149-13.39/D149^2</f>
        <v>-0.27798396085735799</v>
      </c>
      <c r="D167" s="4">
        <f>0.568-2/D149+1.79/D149^2</f>
        <v>3.0653703124048359E-2</v>
      </c>
      <c r="E167" s="4">
        <f>A167+B167*C149+C167*C149^2+D167*C149^3</f>
        <v>4.2047746630842475</v>
      </c>
      <c r="F167" s="6"/>
      <c r="G167" s="50"/>
    </row>
    <row r="168" spans="1:7" x14ac:dyDescent="0.35">
      <c r="A168" s="51"/>
      <c r="B168" s="6"/>
      <c r="C168" s="6"/>
      <c r="D168" s="6"/>
      <c r="E168" s="6"/>
      <c r="F168" s="6"/>
      <c r="G168" s="50"/>
    </row>
    <row r="169" spans="1:7" x14ac:dyDescent="0.35">
      <c r="A169" s="4" t="s">
        <v>110</v>
      </c>
      <c r="B169" s="4" t="s">
        <v>3</v>
      </c>
      <c r="C169" s="6"/>
      <c r="D169" s="6"/>
      <c r="E169" s="6"/>
      <c r="F169" s="6"/>
      <c r="G169" s="50"/>
    </row>
    <row r="170" spans="1:7" x14ac:dyDescent="0.35">
      <c r="A170" s="4">
        <f>225.5*10^-3*D127*I134/(F134*G134*E164*1000)</f>
        <v>2.1393051206895549E-3</v>
      </c>
      <c r="B170" s="4">
        <f>D95+273+(F98-D95)*(1-EXP(-1*A170*H134))/(A170*H134)-E167*(E134^2-A161^2)/(2*A170*H134*B161)*(1-(1-EXP(-1*A170*H134))/(A170*H134))</f>
        <v>300.40025619112356</v>
      </c>
      <c r="C170" s="6"/>
      <c r="D170" s="6"/>
      <c r="E170" s="6"/>
      <c r="F170" s="6"/>
      <c r="G170" s="50"/>
    </row>
    <row r="171" spans="1:7" x14ac:dyDescent="0.35">
      <c r="A171" s="55"/>
      <c r="B171" s="6"/>
      <c r="C171" s="6"/>
      <c r="D171" s="6"/>
      <c r="E171" s="6"/>
      <c r="F171" s="6"/>
      <c r="G171" s="50"/>
    </row>
    <row r="172" spans="1:7" x14ac:dyDescent="0.35">
      <c r="A172" s="4" t="s">
        <v>145</v>
      </c>
      <c r="B172" s="4" t="s">
        <v>146</v>
      </c>
      <c r="C172" s="4" t="s">
        <v>116</v>
      </c>
      <c r="D172" s="4" t="s">
        <v>117</v>
      </c>
      <c r="E172" s="15" t="s">
        <v>14</v>
      </c>
      <c r="F172" s="15" t="s">
        <v>15</v>
      </c>
      <c r="G172" s="15" t="s">
        <v>16</v>
      </c>
    </row>
    <row r="173" spans="1:7" x14ac:dyDescent="0.35">
      <c r="A173" s="4">
        <f>B161</f>
        <v>6.3257028335843373</v>
      </c>
      <c r="B173" s="4">
        <f>B170</f>
        <v>300.40025619112356</v>
      </c>
      <c r="C173" s="4">
        <f>A173/J134</f>
        <v>1.3699262235567213</v>
      </c>
      <c r="D173" s="4">
        <f>B173/M134</f>
        <v>1.4979815971378581</v>
      </c>
      <c r="E173" s="4">
        <f>-0.39+2.03/D173-3.16/D173^2+1.09/D173^3</f>
        <v>-0.11880468008394507</v>
      </c>
      <c r="F173" s="4">
        <f>0.0423-0.1812/D173+0.2124/D173^2</f>
        <v>1.5991795605239029E-2</v>
      </c>
      <c r="G173" s="4">
        <f>1+E173*C173+F173*C173^2</f>
        <v>0.86725812182947681</v>
      </c>
    </row>
    <row r="174" spans="1:7" x14ac:dyDescent="0.35">
      <c r="A174" s="51"/>
      <c r="B174" s="6"/>
      <c r="C174" s="6"/>
      <c r="D174" s="6"/>
      <c r="E174" s="6"/>
      <c r="F174" s="6"/>
      <c r="G174" s="50"/>
    </row>
    <row r="175" spans="1:7" x14ac:dyDescent="0.35">
      <c r="A175" s="15" t="s">
        <v>23</v>
      </c>
      <c r="B175" s="15" t="s">
        <v>24</v>
      </c>
      <c r="C175" s="15" t="s">
        <v>25</v>
      </c>
      <c r="D175" s="15" t="s">
        <v>26</v>
      </c>
      <c r="E175" s="15" t="s">
        <v>118</v>
      </c>
      <c r="F175" s="6"/>
      <c r="G175" s="50"/>
    </row>
    <row r="176" spans="1:7" x14ac:dyDescent="0.35">
      <c r="A176" s="4">
        <f>(1.81+5.95*D173)/1000000</f>
        <v>1.0722990502970256E-5</v>
      </c>
      <c r="B176" s="4">
        <f>-0.67+2.36/D173-1.93/D173^2</f>
        <v>4.536236588224396E-2</v>
      </c>
      <c r="C176" s="4">
        <f>0.8-2.89/D173+2.65/D173^2</f>
        <v>5.1691140717567752E-2</v>
      </c>
      <c r="D176" s="4">
        <f>-0.1+0.354/D173-0.314/D173^2</f>
        <v>-3.6138974799021506E-3</v>
      </c>
      <c r="E176" s="4">
        <f>A176*(1+B176*C173+C176*C173^2+D176*C173^3)</f>
        <v>1.2329944751399332E-5</v>
      </c>
      <c r="F176" s="6"/>
      <c r="G176" s="50"/>
    </row>
    <row r="177" spans="1:17" x14ac:dyDescent="0.35">
      <c r="A177" s="51"/>
      <c r="B177" s="6"/>
      <c r="C177" s="6"/>
      <c r="D177" s="6"/>
      <c r="E177" s="6"/>
      <c r="F177" s="6"/>
      <c r="G177" s="50"/>
    </row>
    <row r="178" spans="1:17" x14ac:dyDescent="0.35">
      <c r="A178" s="4" t="s">
        <v>119</v>
      </c>
      <c r="B178" s="4" t="s">
        <v>93</v>
      </c>
      <c r="C178" s="4" t="s">
        <v>6</v>
      </c>
      <c r="D178" s="12" t="s">
        <v>147</v>
      </c>
      <c r="E178" s="12" t="s">
        <v>148</v>
      </c>
      <c r="F178" s="6"/>
      <c r="G178" s="56"/>
    </row>
    <row r="179" spans="1:17" x14ac:dyDescent="0.35">
      <c r="A179" s="4">
        <f>17.75*1000*G134*F134/(I134*E176)</f>
        <v>62116518.293581963</v>
      </c>
      <c r="B179" s="4">
        <f>0.067*(158/A179+2*0.03/I134)^0.2</f>
        <v>9.0934176014009875E-3</v>
      </c>
      <c r="C179" s="4">
        <f>B179/N134^2</f>
        <v>1.0075808976621593E-2</v>
      </c>
      <c r="D179" s="4">
        <f>SQRT(E134^2-F134^2*G134*C179*G173*B170*H134/((3.32*10^-6)^2*I134^5))</f>
        <v>5.1327616491179953</v>
      </c>
      <c r="E179" s="4">
        <f>ABS(D179-A161)/A161*100</f>
        <v>9.2043929714974132E-2</v>
      </c>
      <c r="F179" s="6"/>
      <c r="G179" s="56"/>
    </row>
    <row r="180" spans="1:17" x14ac:dyDescent="0.35">
      <c r="A180" s="51"/>
      <c r="B180" s="6"/>
      <c r="C180" s="6"/>
      <c r="D180" s="6"/>
      <c r="E180" s="6"/>
      <c r="F180" s="6"/>
      <c r="G180" s="50"/>
    </row>
    <row r="181" spans="1:17" x14ac:dyDescent="0.35">
      <c r="A181" s="40" t="s">
        <v>122</v>
      </c>
      <c r="B181" s="4" t="str">
        <f>IF(E179&lt;1,G155,G154)</f>
        <v>не требуется пересчет</v>
      </c>
      <c r="C181" s="6"/>
      <c r="D181" s="6" t="s">
        <v>124</v>
      </c>
      <c r="E181" s="6"/>
      <c r="F181" s="4" t="s">
        <v>123</v>
      </c>
      <c r="G181" s="4">
        <f>D95+273+(F98-D95)*EXP(-1*A170*H134)-E167*(E134^2-A161^2)/(2*A170*H134*B161)*(1-EXP(-1*A170*H134))</f>
        <v>293.33460273363715</v>
      </c>
    </row>
    <row r="182" spans="1:17" x14ac:dyDescent="0.35">
      <c r="A182" s="53"/>
      <c r="B182" s="54"/>
      <c r="C182" s="54"/>
      <c r="D182" s="54"/>
      <c r="E182" s="54"/>
      <c r="F182" s="54"/>
      <c r="G182" s="57"/>
    </row>
    <row r="184" spans="1:17" x14ac:dyDescent="0.35">
      <c r="A184" s="2" t="s">
        <v>128</v>
      </c>
    </row>
    <row r="185" spans="1:17" x14ac:dyDescent="0.35">
      <c r="A185" t="s">
        <v>143</v>
      </c>
      <c r="B185" t="str">
        <f>I95</f>
        <v>ГПА-Ц-16</v>
      </c>
    </row>
    <row r="186" spans="1:17" x14ac:dyDescent="0.35">
      <c r="A186" s="10" t="s">
        <v>132</v>
      </c>
      <c r="B186" s="10" t="s">
        <v>135</v>
      </c>
      <c r="C186" s="41" t="s">
        <v>130</v>
      </c>
      <c r="D186" s="41" t="s">
        <v>131</v>
      </c>
      <c r="E186" s="41" t="s">
        <v>133</v>
      </c>
      <c r="F186" s="41" t="s">
        <v>134</v>
      </c>
      <c r="G186" s="10" t="s">
        <v>142</v>
      </c>
      <c r="H186" s="10" t="s">
        <v>141</v>
      </c>
      <c r="J186" s="28" t="s">
        <v>91</v>
      </c>
      <c r="K186" s="32" t="s">
        <v>107</v>
      </c>
      <c r="L186" s="32" t="s">
        <v>86</v>
      </c>
      <c r="M186" s="33" t="s">
        <v>8</v>
      </c>
      <c r="N186" s="44" t="s">
        <v>34</v>
      </c>
      <c r="O186" s="32" t="s">
        <v>7</v>
      </c>
      <c r="P186" s="26" t="s">
        <v>88</v>
      </c>
      <c r="Q186" s="28" t="s">
        <v>78</v>
      </c>
    </row>
    <row r="187" spans="1:17" x14ac:dyDescent="0.35">
      <c r="A187" s="4">
        <v>16000</v>
      </c>
      <c r="B187" s="4">
        <v>0.95</v>
      </c>
      <c r="C187" s="4">
        <v>2.8</v>
      </c>
      <c r="D187" s="4">
        <v>1</v>
      </c>
      <c r="E187" s="4">
        <v>1</v>
      </c>
      <c r="F187" s="4">
        <v>288</v>
      </c>
      <c r="G187" s="4">
        <v>3430</v>
      </c>
      <c r="H187" s="4">
        <v>5150</v>
      </c>
      <c r="J187" s="28">
        <f>D104</f>
        <v>0.12</v>
      </c>
      <c r="K187" s="26">
        <f>C11</f>
        <v>4.6175499999999987</v>
      </c>
      <c r="L187" s="26">
        <f>D11</f>
        <v>200.53667999999999</v>
      </c>
      <c r="M187" s="26">
        <f>E11</f>
        <v>468.615700068818</v>
      </c>
      <c r="N187" s="26">
        <f>F110</f>
        <v>96.803652968036531</v>
      </c>
      <c r="O187" s="26">
        <f>A11</f>
        <v>0.74067799999999995</v>
      </c>
      <c r="P187" s="26">
        <f>A104</f>
        <v>7.38</v>
      </c>
      <c r="Q187" s="28">
        <f>G95</f>
        <v>13</v>
      </c>
    </row>
    <row r="188" spans="1:17" x14ac:dyDescent="0.35">
      <c r="A188" t="s">
        <v>144</v>
      </c>
      <c r="B188" t="str">
        <f>J95</f>
        <v>ГПА-Ц16/76</v>
      </c>
    </row>
    <row r="189" spans="1:17" x14ac:dyDescent="0.35">
      <c r="A189" s="10" t="s">
        <v>157</v>
      </c>
      <c r="B189" s="10" t="s">
        <v>140</v>
      </c>
      <c r="C189" s="42" t="s">
        <v>137</v>
      </c>
      <c r="D189" s="10" t="s">
        <v>136</v>
      </c>
      <c r="E189" s="10" t="s">
        <v>138</v>
      </c>
      <c r="F189" s="10" t="s">
        <v>139</v>
      </c>
    </row>
    <row r="190" spans="1:17" x14ac:dyDescent="0.35">
      <c r="A190" s="4">
        <v>32.6</v>
      </c>
      <c r="B190" s="4">
        <v>4900</v>
      </c>
      <c r="C190" s="4">
        <f>0.01*A187</f>
        <v>160</v>
      </c>
      <c r="D190" s="4">
        <v>0.88800000000000001</v>
      </c>
      <c r="E190" s="4">
        <v>508.2</v>
      </c>
      <c r="F190" s="4">
        <v>288</v>
      </c>
    </row>
    <row r="191" spans="1:17" x14ac:dyDescent="0.35">
      <c r="A191" s="9" t="s">
        <v>153</v>
      </c>
    </row>
    <row r="192" spans="1:17" x14ac:dyDescent="0.35">
      <c r="A192" s="10" t="s">
        <v>151</v>
      </c>
      <c r="B192" s="10" t="s">
        <v>152</v>
      </c>
      <c r="C192" s="4" t="s">
        <v>150</v>
      </c>
      <c r="D192" s="4" t="s">
        <v>149</v>
      </c>
      <c r="E192" s="4" t="s">
        <v>11</v>
      </c>
      <c r="F192" s="4" t="s">
        <v>12</v>
      </c>
    </row>
    <row r="193" spans="1:7" x14ac:dyDescent="0.35">
      <c r="A193" s="4">
        <f>A161</f>
        <v>5.1374903971682784</v>
      </c>
      <c r="B193" s="4">
        <f>G181</f>
        <v>293.33460273363715</v>
      </c>
      <c r="C193" s="4">
        <f>A193-J187</f>
        <v>5.0174903971682783</v>
      </c>
      <c r="D193" s="4">
        <f>B193</f>
        <v>293.33460273363715</v>
      </c>
      <c r="E193" s="23">
        <f>C193/K187</f>
        <v>1.086613116732527</v>
      </c>
      <c r="F193" s="4">
        <f>D193/L187</f>
        <v>1.46274787601768</v>
      </c>
    </row>
    <row r="195" spans="1:7" x14ac:dyDescent="0.35">
      <c r="A195" s="15" t="s">
        <v>14</v>
      </c>
      <c r="B195" s="15" t="s">
        <v>15</v>
      </c>
      <c r="C195" s="15" t="s">
        <v>162</v>
      </c>
      <c r="D195" s="43" t="s">
        <v>154</v>
      </c>
      <c r="E195" s="4" t="s">
        <v>155</v>
      </c>
      <c r="F195" s="4" t="s">
        <v>156</v>
      </c>
      <c r="G195" s="45" t="s">
        <v>163</v>
      </c>
    </row>
    <row r="196" spans="1:7" x14ac:dyDescent="0.35">
      <c r="A196" s="4">
        <f>-0.39+2.03/F193-3.16/F193^2+1.09/F193^3</f>
        <v>-0.1308193536868586</v>
      </c>
      <c r="B196" s="4">
        <f>0.0423-0.1812/F193+0.2124/F193^2</f>
        <v>1.769299694591131E-2</v>
      </c>
      <c r="C196" s="4">
        <f>1+A196*E193+B196*E193^2</f>
        <v>0.87874059241743796</v>
      </c>
      <c r="D196" s="4">
        <f>C193/(C196*M187*D193)*10^6</f>
        <v>41.538014139765117</v>
      </c>
      <c r="E196" s="4">
        <f>N187/A190</f>
        <v>2.9694372076084825</v>
      </c>
      <c r="F196" s="4">
        <f>CEILING(E196,1)</f>
        <v>3</v>
      </c>
      <c r="G196" s="4">
        <f>N187*10^6*O187/(F196*24*60*D196)</f>
        <v>399.56893367762086</v>
      </c>
    </row>
    <row r="198" spans="1:7" x14ac:dyDescent="0.35">
      <c r="A198" s="4" t="s">
        <v>158</v>
      </c>
      <c r="B198" s="4" t="s">
        <v>159</v>
      </c>
      <c r="C198" s="4" t="s">
        <v>160</v>
      </c>
      <c r="D198" s="4" t="s">
        <v>161</v>
      </c>
    </row>
    <row r="199" spans="1:7" x14ac:dyDescent="0.35">
      <c r="A199" s="4">
        <v>0.7</v>
      </c>
      <c r="B199" s="4">
        <f>$B$190*A199/SQRT($D$190*$E$190*$F$190/($C$196*$M$187*$D$193))</f>
        <v>3306.6975453237151</v>
      </c>
      <c r="C199" s="4">
        <f>$B$190/B199</f>
        <v>1.4818410008286094</v>
      </c>
      <c r="D199" s="4">
        <f>C199*$G$196</f>
        <v>592.09762858086594</v>
      </c>
    </row>
    <row r="200" spans="1:7" x14ac:dyDescent="0.35">
      <c r="A200" s="4">
        <v>0.8</v>
      </c>
      <c r="B200" s="4">
        <f t="shared" ref="B200:B203" si="6">$B$190*A200/SQRT($D$190*$E$190*$F$190/($C$196*$M$187*$D$193))</f>
        <v>3779.0829089413883</v>
      </c>
      <c r="C200" s="4">
        <f t="shared" ref="C200:C203" si="7">$B$190/B200</f>
        <v>1.2966108757250334</v>
      </c>
      <c r="D200" s="4">
        <f t="shared" ref="D200:D203" si="8">C200*$G$196</f>
        <v>518.08542500825774</v>
      </c>
    </row>
    <row r="201" spans="1:7" x14ac:dyDescent="0.35">
      <c r="A201" s="4">
        <v>0.9</v>
      </c>
      <c r="B201" s="4">
        <f t="shared" si="6"/>
        <v>4251.4682725590619</v>
      </c>
      <c r="C201" s="4">
        <f t="shared" si="7"/>
        <v>1.1525430006444741</v>
      </c>
      <c r="D201" s="4">
        <f t="shared" si="8"/>
        <v>460.520377785118</v>
      </c>
    </row>
    <row r="202" spans="1:7" x14ac:dyDescent="0.35">
      <c r="A202" s="4">
        <v>1</v>
      </c>
      <c r="B202" s="4">
        <f t="shared" si="6"/>
        <v>4723.8536361767356</v>
      </c>
      <c r="C202" s="4">
        <f t="shared" si="7"/>
        <v>1.0372887005800266</v>
      </c>
      <c r="D202" s="4">
        <f t="shared" si="8"/>
        <v>414.46834000660618</v>
      </c>
    </row>
    <row r="203" spans="1:7" x14ac:dyDescent="0.35">
      <c r="A203" s="4">
        <v>1.1000000000000001</v>
      </c>
      <c r="B203" s="4">
        <f t="shared" si="6"/>
        <v>5196.2389997944092</v>
      </c>
      <c r="C203" s="4">
        <f t="shared" si="7"/>
        <v>0.94298972780002421</v>
      </c>
      <c r="D203" s="4">
        <f t="shared" si="8"/>
        <v>376.78940000600562</v>
      </c>
    </row>
    <row r="204" spans="1:7" x14ac:dyDescent="0.35">
      <c r="B204" t="s">
        <v>168</v>
      </c>
    </row>
    <row r="205" spans="1:7" x14ac:dyDescent="0.35">
      <c r="A205" s="19" t="s">
        <v>164</v>
      </c>
      <c r="B205" s="10" t="s">
        <v>167</v>
      </c>
      <c r="C205" s="10" t="s">
        <v>166</v>
      </c>
      <c r="D205" s="37" t="s">
        <v>165</v>
      </c>
    </row>
    <row r="206" spans="1:7" ht="13.5" customHeight="1" x14ac:dyDescent="0.35">
      <c r="A206" s="4">
        <f>P187/C193</f>
        <v>1.4708548329589333</v>
      </c>
      <c r="B206" s="4">
        <v>404</v>
      </c>
      <c r="C206" s="4">
        <v>497</v>
      </c>
      <c r="D206" s="4">
        <v>0.85299999999999998</v>
      </c>
    </row>
    <row r="208" spans="1:7" x14ac:dyDescent="0.35">
      <c r="A208" s="4" t="s">
        <v>169</v>
      </c>
      <c r="B208" s="46" t="s">
        <v>170</v>
      </c>
      <c r="C208" s="4" t="s">
        <v>171</v>
      </c>
    </row>
    <row r="209" spans="1:11" x14ac:dyDescent="0.35">
      <c r="A209" s="4">
        <f>B190*G196/B206</f>
        <v>4846.2568688622332</v>
      </c>
      <c r="B209" s="4">
        <f>D196*C206*(A209/B190)^3</f>
        <v>19972.533909230355</v>
      </c>
      <c r="C209" s="4">
        <f>B209+C190</f>
        <v>20132.533909230355</v>
      </c>
    </row>
    <row r="210" spans="1:11" x14ac:dyDescent="0.35">
      <c r="B210" t="s">
        <v>175</v>
      </c>
    </row>
    <row r="211" spans="1:11" x14ac:dyDescent="0.35">
      <c r="A211" s="4" t="s">
        <v>172</v>
      </c>
      <c r="B211" s="10" t="s">
        <v>173</v>
      </c>
      <c r="C211" s="4" t="s">
        <v>174</v>
      </c>
      <c r="D211" s="4" t="s">
        <v>176</v>
      </c>
      <c r="F211" s="15" t="s">
        <v>19</v>
      </c>
      <c r="G211" s="15" t="s">
        <v>20</v>
      </c>
      <c r="H211" s="15" t="s">
        <v>21</v>
      </c>
      <c r="I211" s="15" t="s">
        <v>22</v>
      </c>
      <c r="J211" s="15" t="s">
        <v>178</v>
      </c>
      <c r="K211" s="45" t="s">
        <v>129</v>
      </c>
    </row>
    <row r="212" spans="1:11" x14ac:dyDescent="0.35">
      <c r="A212" s="4">
        <f>1-C187*(273+Q187-288)/(273+Q187)</f>
        <v>1.0195804195804197</v>
      </c>
      <c r="B212" s="4">
        <v>9.8199999999999996E-2</v>
      </c>
      <c r="C212" s="4">
        <f>B212/0.1013</f>
        <v>0.96939782823297127</v>
      </c>
      <c r="D212" s="4">
        <f>A187*B187*A212*D187*E187*C212</f>
        <v>15023.361475641832</v>
      </c>
      <c r="F212" s="4">
        <f>4.437-1.015*F193+0.591*F193^2</f>
        <v>4.2168330329794479</v>
      </c>
      <c r="G212" s="4">
        <f>3.29-11.37/F193+10.9/F193^2</f>
        <v>0.61129399134532658</v>
      </c>
      <c r="H212" s="4">
        <f>3.23-16.27/F193+25.48/F193^2-11.81/F193^3</f>
        <v>0.24221745384054261</v>
      </c>
      <c r="I212" s="4">
        <f>-0.214+0.908/F193-0.967/F193^2</f>
        <v>-4.5197523055740485E-2</v>
      </c>
      <c r="J212" s="4">
        <f>M187/1000*(F212+G212*E193+H212*E193^2+I212*E193^3)</f>
        <v>2.394194102610113</v>
      </c>
      <c r="K212" s="4">
        <f>J212/(J212-M187/1000)</f>
        <v>1.2433636041255756</v>
      </c>
    </row>
    <row r="214" spans="1:11" x14ac:dyDescent="0.35">
      <c r="A214" s="1" t="s">
        <v>122</v>
      </c>
      <c r="B214" t="str">
        <f>IF(C209&lt;D212,G155,G154)</f>
        <v>требуется пересчет!!!</v>
      </c>
      <c r="D214" t="s">
        <v>124</v>
      </c>
      <c r="F214" s="4" t="s">
        <v>177</v>
      </c>
      <c r="G214" s="4">
        <f>D193*A206^((K212-1)/(K212*D206))</f>
        <v>320.48963972811362</v>
      </c>
    </row>
    <row r="216" spans="1:11" x14ac:dyDescent="0.35">
      <c r="A216" s="47" t="s">
        <v>126</v>
      </c>
      <c r="B216" s="48"/>
      <c r="C216" s="48"/>
      <c r="D216" s="48"/>
      <c r="E216" s="48"/>
      <c r="F216" s="48"/>
      <c r="G216" s="49"/>
    </row>
    <row r="217" spans="1:11" x14ac:dyDescent="0.35">
      <c r="A217" s="4" t="s">
        <v>156</v>
      </c>
      <c r="B217" s="45" t="s">
        <v>163</v>
      </c>
      <c r="C217" s="6"/>
      <c r="D217" s="6"/>
      <c r="E217" s="6"/>
      <c r="F217" s="6"/>
      <c r="G217" s="50"/>
    </row>
    <row r="218" spans="1:11" x14ac:dyDescent="0.35">
      <c r="A218" s="4">
        <f>F196+1</f>
        <v>4</v>
      </c>
      <c r="B218" s="4">
        <f>N187*10^6*O187/(A218*24*60*D196)</f>
        <v>299.67670025821565</v>
      </c>
      <c r="C218" s="6"/>
      <c r="D218" s="6"/>
      <c r="E218" s="6"/>
      <c r="F218" s="6"/>
      <c r="G218" s="50"/>
    </row>
    <row r="219" spans="1:11" x14ac:dyDescent="0.35">
      <c r="A219" s="51"/>
      <c r="B219" s="6"/>
      <c r="C219" s="6"/>
      <c r="D219" s="6"/>
      <c r="E219" s="6"/>
      <c r="F219" s="6"/>
      <c r="G219" s="50"/>
    </row>
    <row r="220" spans="1:11" x14ac:dyDescent="0.35">
      <c r="A220" s="4" t="s">
        <v>158</v>
      </c>
      <c r="B220" s="4" t="s">
        <v>159</v>
      </c>
      <c r="C220" s="4" t="s">
        <v>160</v>
      </c>
      <c r="D220" s="4" t="s">
        <v>161</v>
      </c>
      <c r="E220" s="6"/>
      <c r="F220" s="6"/>
      <c r="G220" s="50"/>
    </row>
    <row r="221" spans="1:11" x14ac:dyDescent="0.35">
      <c r="A221" s="4">
        <v>0.7</v>
      </c>
      <c r="B221" s="4">
        <f>$B$190*A199/SQRT($D$190*$E$190*$F$190/($C$196*$M$187*$D$193))</f>
        <v>3306.6975453237151</v>
      </c>
      <c r="C221" s="4">
        <f>$B$190/B221</f>
        <v>1.4818410008286094</v>
      </c>
      <c r="D221" s="4">
        <f>C221*$B$218</f>
        <v>444.07322143564943</v>
      </c>
      <c r="E221" s="6"/>
      <c r="F221" s="6"/>
      <c r="G221" s="50"/>
    </row>
    <row r="222" spans="1:11" x14ac:dyDescent="0.35">
      <c r="A222" s="4">
        <v>0.8</v>
      </c>
      <c r="B222" s="4">
        <f t="shared" ref="B222:B225" si="9">$B$190*A222/SQRT($D$190*$E$190*$F$190/($C$196*$M$187*$D$193))</f>
        <v>3779.0829089413883</v>
      </c>
      <c r="C222" s="4">
        <f t="shared" ref="C222:C225" si="10">$B$190/B222</f>
        <v>1.2966108757250334</v>
      </c>
      <c r="D222" s="4">
        <f t="shared" ref="D222:D225" si="11">C222*$B$218</f>
        <v>388.56406875619336</v>
      </c>
      <c r="E222" s="6"/>
      <c r="F222" s="6"/>
      <c r="G222" s="50"/>
    </row>
    <row r="223" spans="1:11" x14ac:dyDescent="0.35">
      <c r="A223" s="4">
        <v>0.9</v>
      </c>
      <c r="B223" s="4">
        <f t="shared" si="9"/>
        <v>4251.4682725590619</v>
      </c>
      <c r="C223" s="4">
        <f t="shared" si="10"/>
        <v>1.1525430006444741</v>
      </c>
      <c r="D223" s="4">
        <f t="shared" si="11"/>
        <v>345.39028333883851</v>
      </c>
      <c r="E223" s="6"/>
      <c r="F223" s="6"/>
      <c r="G223" s="50"/>
    </row>
    <row r="224" spans="1:11" x14ac:dyDescent="0.35">
      <c r="A224" s="4">
        <v>1</v>
      </c>
      <c r="B224" s="4">
        <f t="shared" si="9"/>
        <v>4723.8536361767356</v>
      </c>
      <c r="C224" s="4">
        <f t="shared" si="10"/>
        <v>1.0372887005800266</v>
      </c>
      <c r="D224" s="4">
        <f t="shared" si="11"/>
        <v>310.85125500495462</v>
      </c>
      <c r="E224" s="6"/>
      <c r="F224" s="6"/>
      <c r="G224" s="50"/>
    </row>
    <row r="225" spans="1:7" x14ac:dyDescent="0.35">
      <c r="A225" s="4">
        <v>1.1000000000000001</v>
      </c>
      <c r="B225" s="4">
        <f t="shared" si="9"/>
        <v>5196.2389997944092</v>
      </c>
      <c r="C225" s="4">
        <f t="shared" si="10"/>
        <v>0.94298972780002421</v>
      </c>
      <c r="D225" s="4">
        <f t="shared" si="11"/>
        <v>282.59205000450424</v>
      </c>
      <c r="E225" s="6"/>
      <c r="F225" s="6"/>
      <c r="G225" s="50"/>
    </row>
    <row r="226" spans="1:7" x14ac:dyDescent="0.35">
      <c r="A226" s="51" t="s">
        <v>168</v>
      </c>
      <c r="B226" s="6"/>
      <c r="C226" s="6"/>
      <c r="D226" s="6"/>
      <c r="E226" s="6"/>
      <c r="F226" s="6"/>
      <c r="G226" s="50"/>
    </row>
    <row r="227" spans="1:7" x14ac:dyDescent="0.35">
      <c r="A227" s="10" t="s">
        <v>167</v>
      </c>
      <c r="B227" s="10" t="s">
        <v>166</v>
      </c>
      <c r="C227" s="37" t="s">
        <v>165</v>
      </c>
      <c r="D227" s="6"/>
      <c r="E227" s="6"/>
      <c r="F227" s="6"/>
      <c r="G227" s="50"/>
    </row>
    <row r="228" spans="1:7" x14ac:dyDescent="0.35">
      <c r="A228" s="4">
        <v>398</v>
      </c>
      <c r="B228" s="4">
        <v>490</v>
      </c>
      <c r="C228" s="4">
        <v>0.85199999999999998</v>
      </c>
      <c r="D228" s="6"/>
      <c r="E228" s="6"/>
      <c r="F228" s="6"/>
      <c r="G228" s="50"/>
    </row>
    <row r="229" spans="1:7" x14ac:dyDescent="0.35">
      <c r="A229" s="51"/>
      <c r="B229" s="6"/>
      <c r="C229" s="6"/>
      <c r="D229" s="6"/>
      <c r="E229" s="6"/>
      <c r="F229" s="6"/>
      <c r="G229" s="50"/>
    </row>
    <row r="230" spans="1:7" x14ac:dyDescent="0.35">
      <c r="A230" s="4" t="s">
        <v>169</v>
      </c>
      <c r="B230" s="46" t="s">
        <v>170</v>
      </c>
      <c r="C230" s="4" t="s">
        <v>171</v>
      </c>
      <c r="D230" s="4" t="s">
        <v>176</v>
      </c>
      <c r="E230" s="6"/>
      <c r="F230" s="6"/>
      <c r="G230" s="50"/>
    </row>
    <row r="231" spans="1:7" x14ac:dyDescent="0.35">
      <c r="A231" s="4">
        <f>B190*B218/A228</f>
        <v>3689.4870132292881</v>
      </c>
      <c r="B231" s="4">
        <f>D196*B228*(A231/B190)^3</f>
        <v>8688.6344874761908</v>
      </c>
      <c r="C231" s="4">
        <f>B231+C190</f>
        <v>8848.6344874761908</v>
      </c>
      <c r="D231" s="4">
        <f>D212</f>
        <v>15023.361475641832</v>
      </c>
      <c r="E231" s="6"/>
      <c r="F231" s="6"/>
      <c r="G231" s="50"/>
    </row>
    <row r="232" spans="1:7" x14ac:dyDescent="0.35">
      <c r="A232" s="51"/>
      <c r="B232" s="6"/>
      <c r="C232" s="6"/>
      <c r="D232" s="6"/>
      <c r="E232" s="6"/>
      <c r="F232" s="6"/>
      <c r="G232" s="50"/>
    </row>
    <row r="233" spans="1:7" x14ac:dyDescent="0.35">
      <c r="A233" s="52" t="s">
        <v>122</v>
      </c>
      <c r="B233" s="6" t="str">
        <f>IF(C231&lt;D231,G155,G154)</f>
        <v>не требуется пересчет</v>
      </c>
      <c r="C233" s="6"/>
      <c r="D233" s="6" t="s">
        <v>124</v>
      </c>
      <c r="E233" s="6"/>
      <c r="F233" s="4" t="s">
        <v>177</v>
      </c>
      <c r="G233" s="4">
        <f>D193*A206^((K212-1)/(K212*C228))</f>
        <v>320.52294529904663</v>
      </c>
    </row>
    <row r="234" spans="1:7" x14ac:dyDescent="0.35">
      <c r="A234" s="53"/>
      <c r="B234" s="54"/>
      <c r="C234" s="54"/>
      <c r="D234" s="54"/>
      <c r="E234" s="54"/>
      <c r="F234" s="54"/>
      <c r="G234" s="57"/>
    </row>
  </sheetData>
  <pageMargins left="0.7" right="0.7" top="0.75" bottom="0.75" header="0.3" footer="0.3"/>
  <pageSetup paperSize="9" orientation="portrait" r:id="rId1"/>
  <ignoredErrors>
    <ignoredError sqref="K1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2020-02-05T12:14:10Z</dcterms:modified>
</cp:coreProperties>
</file>