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N9" i="1" l="1"/>
  <c r="AH9" i="1"/>
  <c r="AN8" i="1"/>
  <c r="AH8" i="1"/>
  <c r="AZ5" i="1" l="1"/>
  <c r="AR8" i="1"/>
  <c r="AQ8" i="1"/>
  <c r="AK13" i="1"/>
  <c r="AK12" i="1"/>
  <c r="AE13" i="1"/>
  <c r="AG9" i="1" s="1"/>
  <c r="AE12" i="1"/>
  <c r="Z8" i="1"/>
  <c r="AA8" i="1"/>
  <c r="W4" i="1"/>
  <c r="U22" i="1"/>
  <c r="W17" i="1"/>
  <c r="W16" i="1"/>
  <c r="W15" i="1"/>
  <c r="W14" i="1"/>
  <c r="W13" i="1"/>
  <c r="W12" i="1"/>
  <c r="W11" i="1"/>
  <c r="W10" i="1"/>
  <c r="W9" i="1"/>
  <c r="W8" i="1"/>
  <c r="Q22" i="1"/>
  <c r="Q21" i="1"/>
  <c r="N5" i="1"/>
  <c r="N4" i="1"/>
  <c r="O9" i="1"/>
  <c r="P9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9" i="1"/>
  <c r="P19" i="1" s="1"/>
  <c r="O20" i="1"/>
  <c r="O21" i="1"/>
  <c r="P21" i="1" s="1"/>
  <c r="O8" i="1"/>
  <c r="P8" i="1" s="1"/>
  <c r="P20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8" i="1"/>
  <c r="M21" i="1"/>
  <c r="L22" i="1"/>
  <c r="I9" i="1"/>
  <c r="I10" i="1"/>
  <c r="I11" i="1"/>
  <c r="I12" i="1"/>
  <c r="I13" i="1"/>
  <c r="I22" i="1" s="1"/>
  <c r="I14" i="1"/>
  <c r="I15" i="1"/>
  <c r="I16" i="1"/>
  <c r="I17" i="1"/>
  <c r="I18" i="1"/>
  <c r="I19" i="1"/>
  <c r="I20" i="1"/>
  <c r="I21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8" i="1"/>
  <c r="F21" i="1"/>
  <c r="G21" i="1"/>
  <c r="G22" i="1" s="1"/>
  <c r="G9" i="1"/>
  <c r="G10" i="1"/>
  <c r="G11" i="1"/>
  <c r="G12" i="1"/>
  <c r="G13" i="1"/>
  <c r="G14" i="1"/>
  <c r="G15" i="1"/>
  <c r="G16" i="1"/>
  <c r="G17" i="1"/>
  <c r="G18" i="1"/>
  <c r="G19" i="1"/>
  <c r="G20" i="1"/>
  <c r="G8" i="1"/>
  <c r="E22" i="1"/>
  <c r="AM9" i="1" l="1"/>
  <c r="AM8" i="1"/>
  <c r="AG8" i="1"/>
  <c r="W22" i="1"/>
  <c r="O18" i="1"/>
  <c r="P18" i="1" s="1"/>
  <c r="O10" i="1"/>
  <c r="P10" i="1" s="1"/>
  <c r="O17" i="1"/>
  <c r="P17" i="1" s="1"/>
  <c r="P22" i="1" s="1"/>
  <c r="N22" i="1"/>
  <c r="H22" i="1"/>
  <c r="O22" i="1" l="1"/>
</calcChain>
</file>

<file path=xl/sharedStrings.xml><?xml version="1.0" encoding="utf-8"?>
<sst xmlns="http://schemas.openxmlformats.org/spreadsheetml/2006/main" count="110" uniqueCount="58">
  <si>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</si>
  <si>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</si>
  <si>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</si>
  <si>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</si>
  <si>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</si>
  <si>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6</t>
    </r>
  </si>
  <si>
    <r>
      <t>iC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</si>
  <si>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nC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</si>
  <si>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iC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</si>
  <si>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r>
      <t>nC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</si>
  <si>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7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</si>
  <si>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8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</si>
  <si>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9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</si>
  <si>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10+</t>
    </r>
  </si>
  <si>
    <t>Молярная масса г/моль</t>
  </si>
  <si>
    <t>Мольная концентрация, %</t>
  </si>
  <si>
    <t>Итого</t>
  </si>
  <si>
    <t>Мольная концентрация, д.ед</t>
  </si>
  <si>
    <t>-</t>
  </si>
  <si>
    <t>Массовая доля, д.ед.</t>
  </si>
  <si>
    <t>Массовая доля, %.</t>
  </si>
  <si>
    <t>Упражнение 1.1</t>
  </si>
  <si>
    <t>Упражнение 1.2</t>
  </si>
  <si>
    <t>Молярная масса</t>
  </si>
  <si>
    <t>Молярная масса смеси</t>
  </si>
  <si>
    <r>
      <t>Плотность при ст. усл., 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</si>
  <si>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Упражнение 1.3</t>
  </si>
  <si>
    <t>Pc, bar</t>
  </si>
  <si>
    <t>Расчетное Tc, K</t>
  </si>
  <si>
    <t>Расчетное Pc, bar</t>
  </si>
  <si>
    <r>
      <t xml:space="preserve">Tc,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</si>
  <si>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Упражнение 1.4</t>
  </si>
  <si>
    <t>Ст. усл.</t>
  </si>
  <si>
    <r>
      <t>Плотность, 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</si>
  <si>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Газ</t>
  </si>
  <si>
    <t>Метан</t>
  </si>
  <si>
    <t>Н-Бутан</t>
  </si>
  <si>
    <t>Раб. Усл.</t>
  </si>
  <si>
    <r>
      <t>Плотнсть расчетная, 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</si>
  <si>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Плотнсть фактическая, 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</si>
  <si>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T</t>
  </si>
  <si>
    <t>P</t>
  </si>
  <si>
    <t>Упражнение 1.5</t>
  </si>
  <si>
    <t>Коэф.</t>
  </si>
  <si>
    <t>B</t>
  </si>
  <si>
    <t>Температура</t>
  </si>
  <si>
    <t>Давление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</si>
  <si>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</si>
  <si>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бар</t>
  </si>
  <si>
    <t>Упражнение 1.6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</si>
  <si>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</si>
  <si>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o1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</si>
  <si>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</si>
  <si>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o2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</si>
  <si>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</si>
  <si>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Плотность разг. нефти</t>
  </si>
  <si>
    <t>Ошибка</t>
  </si>
  <si>
    <t xml:space="preserve">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</si>
</sst>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medium">
        <color indexed="64"/>
      </left>
      <right style="hair">
        <color theme="0" tint="-0.24994659260841701"/>
      </right>
      <top/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64" fontId="0" fillId="3" borderId="14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 wrapText="1"/>
    </xf>
    <xf numFmtId="2" fontId="0" fillId="3" borderId="9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2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7" fillId="2" borderId="9" xfId="2" applyBorder="1" applyAlignment="1">
      <alignment horizontal="center" vertical="center" wrapText="1"/>
    </xf>
    <xf numFmtId="164" fontId="7" fillId="2" borderId="9" xfId="2" applyNumberFormat="1" applyBorder="1" applyAlignment="1">
      <alignment horizontal="center" vertical="center" wrapText="1"/>
    </xf>
    <xf numFmtId="164" fontId="7" fillId="2" borderId="14" xfId="2" applyNumberFormat="1" applyBorder="1" applyAlignment="1">
      <alignment horizontal="center" vertical="center" wrapText="1"/>
    </xf>
    <xf numFmtId="2" fontId="7" fillId="2" borderId="14" xfId="2" applyNumberFormat="1" applyBorder="1" applyAlignment="1">
      <alignment horizontal="center" vertical="center" wrapText="1"/>
    </xf>
    <xf numFmtId="2" fontId="7" fillId="2" borderId="9" xfId="2" applyNumberFormat="1" applyBorder="1" applyAlignment="1">
      <alignment horizontal="center" vertical="center"/>
    </xf>
    <xf numFmtId="0" fontId="7" fillId="2" borderId="16" xfId="2" applyBorder="1" applyAlignment="1">
      <alignment horizontal="center" vertical="center"/>
    </xf>
    <xf numFmtId="0" fontId="7" fillId="2" borderId="15" xfId="2" applyBorder="1" applyAlignment="1">
      <alignment horizontal="center" vertical="center" wrapText="1"/>
    </xf>
    <xf numFmtId="0" fontId="7" fillId="2" borderId="17" xfId="2" applyBorder="1" applyAlignment="1">
      <alignment horizontal="center" vertical="center" wrapText="1"/>
    </xf>
    <xf numFmtId="0" fontId="7" fillId="2" borderId="16" xfId="2" applyBorder="1" applyAlignment="1">
      <alignment horizontal="center" vertical="center" wrapText="1"/>
    </xf>
    <xf numFmtId="0" fontId="0" fillId="5" borderId="4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7" fillId="2" borderId="9" xfId="2" applyBorder="1" applyAlignment="1">
      <alignment horizontal="center" vertical="center"/>
    </xf>
    <xf numFmtId="0" fontId="7" fillId="2" borderId="16" xfId="2" applyBorder="1" applyAlignment="1">
      <alignment horizontal="center" vertical="center"/>
    </xf>
    <xf numFmtId="0" fontId="7" fillId="2" borderId="14" xfId="2" applyBorder="1" applyAlignment="1">
      <alignment horizontal="center" vertical="center"/>
    </xf>
    <xf numFmtId="0" fontId="7" fillId="2" borderId="17" xfId="2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2" fontId="0" fillId="3" borderId="14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Z22"/>
  <sheetViews>
    <sheetView tabSelected="1" topLeftCell="AK1" workbookViewId="0">
      <selection activeCell="AY5" sqref="AY5"/>
    </sheetView>
  </sheetViews>
  <sheetFormatPr defaultRowHeight="14.5" x14ac:dyDescent="0.35"/>
  <cols>
    <col min="1" max="5" width="8.7265625" style="1"/>
    <col min="6" max="6" width="11.36328125" style="1" bestFit="1" customWidth="1"/>
    <col min="7" max="7" width="8.7265625" style="1"/>
    <col min="8" max="8" width="11.36328125" style="1" bestFit="1" customWidth="1"/>
    <col min="9" max="9" width="10.36328125" style="1" bestFit="1" customWidth="1"/>
    <col min="10" max="12" width="8.7265625" style="1"/>
    <col min="13" max="14" width="11.36328125" style="1" bestFit="1" customWidth="1"/>
    <col min="15" max="16" width="8.7265625" style="1"/>
    <col min="17" max="17" width="11.36328125" style="1" bestFit="1" customWidth="1"/>
    <col min="18" max="22" width="8.7265625" style="1"/>
    <col min="23" max="23" width="10.36328125" style="1" bestFit="1" customWidth="1"/>
    <col min="24" max="32" width="8.7265625" style="1"/>
    <col min="33" max="33" width="10.36328125" style="1" bestFit="1" customWidth="1"/>
    <col min="34" max="37" width="8.7265625" style="1"/>
    <col min="38" max="38" width="11.36328125" style="1" bestFit="1" customWidth="1"/>
    <col min="39" max="42" width="8.7265625" style="1"/>
    <col min="43" max="43" width="13.81640625" style="1" customWidth="1"/>
    <col min="44" max="44" width="9.36328125" style="1" bestFit="1" customWidth="1"/>
    <col min="45" max="16384" width="8.7265625" style="1"/>
  </cols>
  <sheetData>
    <row r="1" spans="4:52" ht="15" thickBot="1" x14ac:dyDescent="0.4"/>
    <row r="2" spans="4:52" ht="29" customHeight="1" thickBot="1" x14ac:dyDescent="0.4">
      <c r="D2" s="60" t="s">
        <v>21</v>
      </c>
      <c r="E2" s="61"/>
      <c r="F2" s="61"/>
      <c r="G2" s="61"/>
      <c r="H2" s="61"/>
      <c r="I2" s="62"/>
      <c r="K2" s="60" t="s">
        <v>22</v>
      </c>
      <c r="L2" s="61"/>
      <c r="M2" s="61"/>
      <c r="N2" s="61"/>
      <c r="O2" s="61"/>
      <c r="P2" s="61"/>
      <c r="Q2" s="62"/>
      <c r="T2" s="60" t="s">
        <v>26</v>
      </c>
      <c r="U2" s="61"/>
      <c r="V2" s="61"/>
      <c r="W2" s="61"/>
      <c r="X2" s="61"/>
      <c r="Y2" s="61"/>
      <c r="Z2" s="61"/>
      <c r="AA2" s="62"/>
      <c r="AD2" s="60" t="s">
        <v>31</v>
      </c>
      <c r="AE2" s="61"/>
      <c r="AF2" s="61"/>
      <c r="AG2" s="61"/>
      <c r="AH2" s="61"/>
      <c r="AI2" s="61"/>
      <c r="AJ2" s="61"/>
      <c r="AK2" s="61"/>
      <c r="AL2" s="61"/>
      <c r="AM2" s="61"/>
      <c r="AN2" s="62"/>
      <c r="AQ2" s="60" t="s">
        <v>42</v>
      </c>
      <c r="AR2" s="61"/>
      <c r="AS2" s="62"/>
      <c r="AV2" s="60" t="s">
        <v>49</v>
      </c>
      <c r="AW2" s="61"/>
      <c r="AX2" s="61"/>
      <c r="AY2" s="61"/>
      <c r="AZ2" s="62"/>
    </row>
    <row r="3" spans="4:52" ht="17" thickBot="1" x14ac:dyDescent="0.4">
      <c r="D3" s="26"/>
      <c r="E3" s="27"/>
      <c r="F3" s="27"/>
      <c r="G3" s="27"/>
      <c r="H3" s="27"/>
      <c r="I3" s="28"/>
      <c r="K3" s="26"/>
      <c r="L3" s="27"/>
      <c r="M3" s="27"/>
      <c r="N3" s="27"/>
      <c r="O3" s="27"/>
      <c r="P3" s="27"/>
      <c r="Q3" s="28"/>
      <c r="T3" s="26"/>
      <c r="U3" s="27"/>
      <c r="V3" s="27"/>
      <c r="W3" s="27"/>
      <c r="X3" s="27"/>
      <c r="Y3" s="27"/>
      <c r="Z3" s="27"/>
      <c r="AA3" s="28"/>
      <c r="AD3" s="26"/>
      <c r="AE3" s="27"/>
      <c r="AF3" s="27"/>
      <c r="AG3" s="27"/>
      <c r="AH3" s="27"/>
      <c r="AI3" s="27"/>
      <c r="AJ3" s="27"/>
      <c r="AK3" s="27"/>
      <c r="AL3" s="27"/>
      <c r="AM3" s="27"/>
      <c r="AN3" s="28"/>
      <c r="AQ3" s="26"/>
      <c r="AR3" s="27"/>
      <c r="AS3" s="28"/>
      <c r="AV3" s="6" t="s">
        <v>50</v>
      </c>
      <c r="AW3" s="7" t="s">
        <v>51</v>
      </c>
      <c r="AX3" s="7" t="s">
        <v>52</v>
      </c>
      <c r="AY3" s="7" t="s">
        <v>53</v>
      </c>
      <c r="AZ3" s="8" t="s">
        <v>54</v>
      </c>
    </row>
    <row r="4" spans="4:52" ht="14.5" customHeight="1" x14ac:dyDescent="0.35">
      <c r="D4" s="58" t="s">
        <v>24</v>
      </c>
      <c r="E4" s="59"/>
      <c r="F4" s="59"/>
      <c r="G4" s="29">
        <v>59.7</v>
      </c>
      <c r="H4" s="27"/>
      <c r="I4" s="28"/>
      <c r="K4" s="58" t="s">
        <v>55</v>
      </c>
      <c r="L4" s="59"/>
      <c r="M4" s="59"/>
      <c r="N4" s="29">
        <f>836*1</f>
        <v>836</v>
      </c>
      <c r="O4" s="27"/>
      <c r="P4" s="27"/>
      <c r="Q4" s="28"/>
      <c r="T4" s="58" t="s">
        <v>23</v>
      </c>
      <c r="U4" s="59"/>
      <c r="V4" s="59"/>
      <c r="W4" s="29">
        <f>SUMPRODUCT(W8:W17,V8:V17)</f>
        <v>23.044974099999997</v>
      </c>
      <c r="X4" s="27"/>
      <c r="Y4" s="27"/>
      <c r="Z4" s="27"/>
      <c r="AA4" s="28"/>
      <c r="AD4" s="26"/>
      <c r="AE4" s="27"/>
      <c r="AF4" s="27"/>
      <c r="AG4" s="27"/>
      <c r="AH4" s="27"/>
      <c r="AI4" s="27"/>
      <c r="AJ4" s="27"/>
      <c r="AK4" s="27"/>
      <c r="AL4" s="27"/>
      <c r="AM4" s="27"/>
      <c r="AN4" s="28"/>
      <c r="AQ4" s="6" t="s">
        <v>45</v>
      </c>
      <c r="AR4" s="7">
        <v>20</v>
      </c>
      <c r="AS4" s="25" t="s">
        <v>47</v>
      </c>
      <c r="AV4" s="9" t="s">
        <v>48</v>
      </c>
      <c r="AW4" s="4" t="s">
        <v>18</v>
      </c>
      <c r="AX4" s="4" t="s">
        <v>48</v>
      </c>
      <c r="AY4" s="4" t="s">
        <v>18</v>
      </c>
      <c r="AZ4" s="24" t="s">
        <v>18</v>
      </c>
    </row>
    <row r="5" spans="4:52" ht="15" thickBot="1" x14ac:dyDescent="0.4">
      <c r="D5" s="26"/>
      <c r="E5" s="27"/>
      <c r="F5" s="27"/>
      <c r="G5" s="27"/>
      <c r="H5" s="27"/>
      <c r="I5" s="28"/>
      <c r="K5" s="58" t="s">
        <v>23</v>
      </c>
      <c r="L5" s="59"/>
      <c r="M5" s="59"/>
      <c r="N5" s="29">
        <f>SUMPRODUCT(N8:N21,M8:M21)</f>
        <v>186.7787424100261</v>
      </c>
      <c r="O5" s="27"/>
      <c r="P5" s="27"/>
      <c r="Q5" s="28"/>
      <c r="T5" s="63"/>
      <c r="U5" s="64"/>
      <c r="V5" s="64"/>
      <c r="W5" s="27"/>
      <c r="X5" s="27"/>
      <c r="Y5" s="27"/>
      <c r="Z5" s="27"/>
      <c r="AA5" s="28"/>
      <c r="AD5" s="26"/>
      <c r="AE5" s="27"/>
      <c r="AF5" s="27"/>
      <c r="AG5" s="27"/>
      <c r="AH5" s="27"/>
      <c r="AI5" s="27"/>
      <c r="AJ5" s="27"/>
      <c r="AK5" s="27"/>
      <c r="AL5" s="27"/>
      <c r="AM5" s="27"/>
      <c r="AN5" s="28"/>
      <c r="AQ5" s="11" t="s">
        <v>46</v>
      </c>
      <c r="AR5" s="12">
        <v>20</v>
      </c>
      <c r="AS5" s="13" t="s">
        <v>48</v>
      </c>
      <c r="AV5" s="11">
        <v>70</v>
      </c>
      <c r="AW5" s="12">
        <v>1.1000000000000001</v>
      </c>
      <c r="AX5" s="12">
        <v>100</v>
      </c>
      <c r="AY5" s="57"/>
      <c r="AZ5" s="13">
        <f>5*10^-4</f>
        <v>5.0000000000000001E-4</v>
      </c>
    </row>
    <row r="6" spans="4:52" ht="15" thickBot="1" x14ac:dyDescent="0.4">
      <c r="D6" s="26"/>
      <c r="E6" s="27"/>
      <c r="F6" s="27"/>
      <c r="G6" s="27"/>
      <c r="H6" s="27"/>
      <c r="I6" s="28"/>
      <c r="K6" s="26"/>
      <c r="L6" s="27"/>
      <c r="M6" s="27"/>
      <c r="N6" s="27"/>
      <c r="O6" s="27"/>
      <c r="P6" s="27"/>
      <c r="Q6" s="28"/>
      <c r="T6" s="26"/>
      <c r="U6" s="27"/>
      <c r="V6" s="27"/>
      <c r="W6" s="27"/>
      <c r="X6" s="27"/>
      <c r="Y6" s="27"/>
      <c r="Z6" s="27"/>
      <c r="AA6" s="28"/>
      <c r="AD6" s="6"/>
      <c r="AE6" s="23" t="s">
        <v>32</v>
      </c>
      <c r="AF6" s="69" t="s">
        <v>37</v>
      </c>
      <c r="AG6" s="69"/>
      <c r="AH6" s="8"/>
      <c r="AI6" s="27"/>
      <c r="AJ6" s="6"/>
      <c r="AK6" s="23" t="s">
        <v>32</v>
      </c>
      <c r="AL6" s="69" t="s">
        <v>37</v>
      </c>
      <c r="AM6" s="69"/>
      <c r="AN6" s="8"/>
      <c r="AQ6" s="26"/>
      <c r="AR6" s="27"/>
      <c r="AS6" s="28"/>
    </row>
    <row r="7" spans="4:52" ht="60" x14ac:dyDescent="0.35">
      <c r="D7" s="6"/>
      <c r="E7" s="7" t="s">
        <v>15</v>
      </c>
      <c r="F7" s="7" t="s">
        <v>14</v>
      </c>
      <c r="G7" s="7" t="s">
        <v>17</v>
      </c>
      <c r="H7" s="7" t="s">
        <v>19</v>
      </c>
      <c r="I7" s="8" t="s">
        <v>20</v>
      </c>
      <c r="K7" s="6"/>
      <c r="L7" s="7" t="s">
        <v>15</v>
      </c>
      <c r="M7" s="7" t="s">
        <v>14</v>
      </c>
      <c r="N7" s="7" t="s">
        <v>17</v>
      </c>
      <c r="O7" s="17" t="s">
        <v>19</v>
      </c>
      <c r="P7" s="17" t="s">
        <v>20</v>
      </c>
      <c r="Q7" s="8" t="s">
        <v>25</v>
      </c>
      <c r="T7" s="6"/>
      <c r="U7" s="7" t="s">
        <v>15</v>
      </c>
      <c r="V7" s="7" t="s">
        <v>14</v>
      </c>
      <c r="W7" s="7" t="s">
        <v>17</v>
      </c>
      <c r="X7" s="7" t="s">
        <v>30</v>
      </c>
      <c r="Y7" s="7" t="s">
        <v>27</v>
      </c>
      <c r="Z7" s="7" t="s">
        <v>28</v>
      </c>
      <c r="AA7" s="8" t="s">
        <v>29</v>
      </c>
      <c r="AD7" s="9" t="s">
        <v>34</v>
      </c>
      <c r="AE7" s="4" t="s">
        <v>33</v>
      </c>
      <c r="AF7" s="4" t="s">
        <v>39</v>
      </c>
      <c r="AG7" s="4" t="s">
        <v>38</v>
      </c>
      <c r="AH7" s="24" t="s">
        <v>56</v>
      </c>
      <c r="AI7" s="27"/>
      <c r="AJ7" s="9" t="s">
        <v>34</v>
      </c>
      <c r="AK7" s="4" t="s">
        <v>33</v>
      </c>
      <c r="AL7" s="4" t="s">
        <v>39</v>
      </c>
      <c r="AM7" s="4" t="s">
        <v>38</v>
      </c>
      <c r="AN7" s="24" t="s">
        <v>57</v>
      </c>
      <c r="AQ7" s="6" t="s">
        <v>43</v>
      </c>
      <c r="AR7" s="8" t="s">
        <v>44</v>
      </c>
      <c r="AS7" s="28"/>
    </row>
    <row r="8" spans="4:52" ht="17" thickBot="1" x14ac:dyDescent="0.4">
      <c r="D8" s="9" t="s">
        <v>0</v>
      </c>
      <c r="E8" s="4">
        <v>0.54500000000000004</v>
      </c>
      <c r="F8" s="4">
        <v>28</v>
      </c>
      <c r="G8" s="5">
        <f>E8/100</f>
        <v>5.45E-3</v>
      </c>
      <c r="H8" s="5">
        <f>(G8*F8)/$G$4</f>
        <v>2.5561139028475715E-3</v>
      </c>
      <c r="I8" s="10">
        <f>H8*100</f>
        <v>0.25561139028475716</v>
      </c>
      <c r="K8" s="9" t="s">
        <v>0</v>
      </c>
      <c r="L8" s="4">
        <v>1E-3</v>
      </c>
      <c r="M8" s="4">
        <v>28</v>
      </c>
      <c r="N8" s="14">
        <f>L8/100</f>
        <v>1.0000000000000001E-5</v>
      </c>
      <c r="O8" s="15">
        <f t="shared" ref="O8:O21" si="0">(N8*M8)/$N$5</f>
        <v>1.4990999317541711E-6</v>
      </c>
      <c r="P8" s="15">
        <f>O8*100</f>
        <v>1.4990999317541712E-4</v>
      </c>
      <c r="Q8" s="18">
        <v>1.165</v>
      </c>
      <c r="T8" s="9" t="s">
        <v>0</v>
      </c>
      <c r="U8" s="4">
        <v>0.63800000000000001</v>
      </c>
      <c r="V8" s="4">
        <v>28</v>
      </c>
      <c r="W8" s="14">
        <f>U8/100</f>
        <v>6.3800000000000003E-3</v>
      </c>
      <c r="X8" s="14">
        <v>-146.94999999999999</v>
      </c>
      <c r="Y8" s="4">
        <v>33.94</v>
      </c>
      <c r="Z8" s="65">
        <f>SUMPRODUCT(W8:W17,X8:X17)+273.15</f>
        <v>234.65000399999997</v>
      </c>
      <c r="AA8" s="67">
        <f>SUMPRODUCT(W8:W17,Y8:Y17)</f>
        <v>45.70256599999999</v>
      </c>
      <c r="AD8" s="9" t="s">
        <v>35</v>
      </c>
      <c r="AE8" s="4">
        <v>0.66800000000000004</v>
      </c>
      <c r="AF8" s="4">
        <v>19.52</v>
      </c>
      <c r="AG8" s="53">
        <f>(AF13*AE8*AE12)/(AF12*AE13)</f>
        <v>18.519350629269603</v>
      </c>
      <c r="AH8" s="71">
        <f>AG8/AF8</f>
        <v>0.94873722486012313</v>
      </c>
      <c r="AI8" s="27"/>
      <c r="AJ8" s="9" t="s">
        <v>35</v>
      </c>
      <c r="AK8" s="4">
        <v>0.66800000000000004</v>
      </c>
      <c r="AL8" s="4">
        <v>3.12</v>
      </c>
      <c r="AM8" s="53">
        <f>(AL13*AK8*AK12)/(AL12*AK13)</f>
        <v>2.9910437101221183</v>
      </c>
      <c r="AN8" s="71">
        <f>AM8/AL8</f>
        <v>0.95866785580837122</v>
      </c>
      <c r="AQ8" s="55">
        <f>101325/293.15</f>
        <v>345.64216271533348</v>
      </c>
      <c r="AR8" s="56">
        <f>AQ8*(293.15/20/100000)</f>
        <v>5.0662500000000006E-2</v>
      </c>
      <c r="AS8" s="44"/>
    </row>
    <row r="9" spans="4:52" ht="17" thickBot="1" x14ac:dyDescent="0.4">
      <c r="D9" s="9" t="s">
        <v>1</v>
      </c>
      <c r="E9" s="4">
        <v>2.8210000000000002</v>
      </c>
      <c r="F9" s="4">
        <v>44</v>
      </c>
      <c r="G9" s="5">
        <f t="shared" ref="G9:G21" si="1">E9/100</f>
        <v>2.8210000000000002E-2</v>
      </c>
      <c r="H9" s="5">
        <f t="shared" ref="H9:H21" si="2">(G9*F9)/$G$4</f>
        <v>2.0791289782244558E-2</v>
      </c>
      <c r="I9" s="10">
        <f t="shared" ref="I9:I21" si="3">H9*100</f>
        <v>2.079128978224456</v>
      </c>
      <c r="K9" s="9" t="s">
        <v>1</v>
      </c>
      <c r="L9" s="4">
        <v>5.8000000000000003E-2</v>
      </c>
      <c r="M9" s="4">
        <v>44</v>
      </c>
      <c r="N9" s="14">
        <f t="shared" ref="N9:N21" si="4">L9/100</f>
        <v>5.8E-4</v>
      </c>
      <c r="O9" s="15">
        <f t="shared" si="0"/>
        <v>1.3663225092273729E-4</v>
      </c>
      <c r="P9" s="15">
        <f t="shared" ref="P9:P21" si="5">O9*100</f>
        <v>1.366322509227373E-2</v>
      </c>
      <c r="Q9" s="18">
        <v>1.8420000000000001</v>
      </c>
      <c r="T9" s="9" t="s">
        <v>1</v>
      </c>
      <c r="U9" s="4">
        <v>0.81699999999999995</v>
      </c>
      <c r="V9" s="4">
        <v>44</v>
      </c>
      <c r="W9" s="14">
        <f t="shared" ref="W9:W17" si="6">U9/100</f>
        <v>8.1700000000000002E-3</v>
      </c>
      <c r="X9" s="14">
        <v>31.05</v>
      </c>
      <c r="Y9" s="4">
        <v>73.760000000000005</v>
      </c>
      <c r="Z9" s="65"/>
      <c r="AA9" s="67"/>
      <c r="AD9" s="11" t="s">
        <v>36</v>
      </c>
      <c r="AE9" s="12">
        <v>2.4900000000000002</v>
      </c>
      <c r="AF9" s="70">
        <v>588</v>
      </c>
      <c r="AG9" s="54">
        <f>(AF13*AE9*AE12)/(AF12*AE13)</f>
        <v>69.031711177966031</v>
      </c>
      <c r="AH9" s="72">
        <f>AG9/AF9</f>
        <v>0.11740086935028236</v>
      </c>
      <c r="AI9" s="27"/>
      <c r="AJ9" s="11" t="s">
        <v>36</v>
      </c>
      <c r="AK9" s="12">
        <v>2.4900000000000002</v>
      </c>
      <c r="AL9" s="70">
        <v>580</v>
      </c>
      <c r="AM9" s="54">
        <f>(AL13*AK9*AK12)/(AL12*AK13)</f>
        <v>11.149249757790532</v>
      </c>
      <c r="AN9" s="72">
        <f>AM9/AL9</f>
        <v>1.9222844409983675E-2</v>
      </c>
    </row>
    <row r="10" spans="4:52" ht="17" thickBot="1" x14ac:dyDescent="0.4">
      <c r="D10" s="9" t="s">
        <v>2</v>
      </c>
      <c r="E10" s="4">
        <v>55.465000000000003</v>
      </c>
      <c r="F10" s="4">
        <v>16.04</v>
      </c>
      <c r="G10" s="5">
        <f t="shared" si="1"/>
        <v>0.55465000000000009</v>
      </c>
      <c r="H10" s="5">
        <f t="shared" si="2"/>
        <v>0.14902154103852597</v>
      </c>
      <c r="I10" s="10">
        <f t="shared" si="3"/>
        <v>14.902154103852597</v>
      </c>
      <c r="K10" s="9" t="s">
        <v>2</v>
      </c>
      <c r="L10" s="4">
        <v>0.34799999999999998</v>
      </c>
      <c r="M10" s="4">
        <v>16.04</v>
      </c>
      <c r="N10" s="14">
        <f t="shared" si="4"/>
        <v>3.4799999999999996E-3</v>
      </c>
      <c r="O10" s="15">
        <f t="shared" si="0"/>
        <v>2.9885199610918715E-4</v>
      </c>
      <c r="P10" s="15">
        <f t="shared" si="5"/>
        <v>2.9885199610918716E-2</v>
      </c>
      <c r="Q10" s="18">
        <v>0.66800000000000004</v>
      </c>
      <c r="T10" s="9" t="s">
        <v>2</v>
      </c>
      <c r="U10" s="4">
        <v>71.430999999999997</v>
      </c>
      <c r="V10" s="4">
        <v>16.04</v>
      </c>
      <c r="W10" s="14">
        <f t="shared" si="6"/>
        <v>0.71431</v>
      </c>
      <c r="X10" s="14">
        <v>-82.55</v>
      </c>
      <c r="Y10" s="4">
        <v>46</v>
      </c>
      <c r="Z10" s="65"/>
      <c r="AA10" s="67"/>
      <c r="AD10" s="26"/>
      <c r="AE10" s="27"/>
      <c r="AF10" s="27"/>
      <c r="AG10" s="34"/>
      <c r="AH10" s="34"/>
      <c r="AI10" s="27"/>
      <c r="AJ10" s="27"/>
      <c r="AK10" s="27"/>
      <c r="AL10" s="27"/>
      <c r="AM10" s="34"/>
      <c r="AN10" s="47"/>
    </row>
    <row r="11" spans="4:52" ht="16.5" x14ac:dyDescent="0.35">
      <c r="D11" s="9" t="s">
        <v>3</v>
      </c>
      <c r="E11" s="4">
        <v>8.58</v>
      </c>
      <c r="F11" s="4">
        <v>30.07</v>
      </c>
      <c r="G11" s="5">
        <f t="shared" si="1"/>
        <v>8.5800000000000001E-2</v>
      </c>
      <c r="H11" s="5">
        <f t="shared" si="2"/>
        <v>4.3216180904522609E-2</v>
      </c>
      <c r="I11" s="10">
        <f t="shared" si="3"/>
        <v>4.3216180904522608</v>
      </c>
      <c r="K11" s="9" t="s">
        <v>3</v>
      </c>
      <c r="L11" s="4">
        <v>0.378</v>
      </c>
      <c r="M11" s="4">
        <v>30.07</v>
      </c>
      <c r="N11" s="14">
        <f t="shared" si="4"/>
        <v>3.7799999999999999E-3</v>
      </c>
      <c r="O11" s="15">
        <f t="shared" si="0"/>
        <v>6.0855212179594697E-4</v>
      </c>
      <c r="P11" s="15">
        <f t="shared" si="5"/>
        <v>6.0855212179594699E-2</v>
      </c>
      <c r="Q11" s="18">
        <v>1.26</v>
      </c>
      <c r="T11" s="9" t="s">
        <v>3</v>
      </c>
      <c r="U11" s="4">
        <v>12.374000000000001</v>
      </c>
      <c r="V11" s="4">
        <v>30.07</v>
      </c>
      <c r="W11" s="14">
        <f t="shared" si="6"/>
        <v>0.12374</v>
      </c>
      <c r="X11" s="14">
        <v>32.25</v>
      </c>
      <c r="Y11" s="4">
        <v>48.84</v>
      </c>
      <c r="Z11" s="65"/>
      <c r="AA11" s="67"/>
      <c r="AD11" s="26"/>
      <c r="AE11" s="6" t="s">
        <v>40</v>
      </c>
      <c r="AF11" s="8" t="s">
        <v>41</v>
      </c>
      <c r="AG11" s="34"/>
      <c r="AH11" s="34"/>
      <c r="AI11" s="27"/>
      <c r="AJ11" s="27"/>
      <c r="AK11" s="6" t="s">
        <v>40</v>
      </c>
      <c r="AL11" s="8" t="s">
        <v>41</v>
      </c>
      <c r="AM11" s="34"/>
      <c r="AN11" s="47"/>
    </row>
    <row r="12" spans="4:52" ht="16.5" x14ac:dyDescent="0.35">
      <c r="D12" s="9" t="s">
        <v>4</v>
      </c>
      <c r="E12" s="4">
        <v>5.7359999999999998</v>
      </c>
      <c r="F12" s="4">
        <v>44.09</v>
      </c>
      <c r="G12" s="5">
        <f t="shared" si="1"/>
        <v>5.7359999999999994E-2</v>
      </c>
      <c r="H12" s="5">
        <f t="shared" si="2"/>
        <v>4.2361849246231154E-2</v>
      </c>
      <c r="I12" s="10">
        <f t="shared" si="3"/>
        <v>4.2361849246231156</v>
      </c>
      <c r="K12" s="9" t="s">
        <v>4</v>
      </c>
      <c r="L12" s="4">
        <v>0.98299999999999998</v>
      </c>
      <c r="M12" s="4">
        <v>44.09</v>
      </c>
      <c r="N12" s="14">
        <f t="shared" si="4"/>
        <v>9.8300000000000002E-3</v>
      </c>
      <c r="O12" s="15">
        <f t="shared" si="0"/>
        <v>2.3204177006854892E-3</v>
      </c>
      <c r="P12" s="15">
        <f t="shared" si="5"/>
        <v>0.23204177006854892</v>
      </c>
      <c r="Q12" s="18">
        <v>1.8819999999999999</v>
      </c>
      <c r="T12" s="9" t="s">
        <v>4</v>
      </c>
      <c r="U12" s="4">
        <v>10.016</v>
      </c>
      <c r="V12" s="4">
        <v>44.09</v>
      </c>
      <c r="W12" s="14">
        <f t="shared" si="6"/>
        <v>0.10016</v>
      </c>
      <c r="X12" s="14">
        <v>96.65</v>
      </c>
      <c r="Y12" s="4">
        <v>42.46</v>
      </c>
      <c r="Z12" s="65"/>
      <c r="AA12" s="67"/>
      <c r="AD12" s="26"/>
      <c r="AE12" s="9">
        <f>20+273.15</f>
        <v>293.14999999999998</v>
      </c>
      <c r="AF12" s="24">
        <v>1.0129999999999999</v>
      </c>
      <c r="AG12" s="34"/>
      <c r="AH12" s="34"/>
      <c r="AI12" s="27"/>
      <c r="AJ12" s="27"/>
      <c r="AK12" s="9">
        <f>20+273.15</f>
        <v>293.14999999999998</v>
      </c>
      <c r="AL12" s="24">
        <v>1.0129999999999999</v>
      </c>
      <c r="AM12" s="34"/>
      <c r="AN12" s="47"/>
    </row>
    <row r="13" spans="4:52" ht="17" thickBot="1" x14ac:dyDescent="0.4">
      <c r="D13" s="9" t="s">
        <v>6</v>
      </c>
      <c r="E13" s="4">
        <v>1.008</v>
      </c>
      <c r="F13" s="4">
        <v>58.12</v>
      </c>
      <c r="G13" s="5">
        <f t="shared" si="1"/>
        <v>1.008E-2</v>
      </c>
      <c r="H13" s="5">
        <f t="shared" si="2"/>
        <v>9.8132261306532655E-3</v>
      </c>
      <c r="I13" s="10">
        <f t="shared" si="3"/>
        <v>0.98132261306532653</v>
      </c>
      <c r="K13" s="9" t="s">
        <v>6</v>
      </c>
      <c r="L13" s="4">
        <v>0.41699999999999998</v>
      </c>
      <c r="M13" s="4">
        <v>58.12</v>
      </c>
      <c r="N13" s="14">
        <f t="shared" si="4"/>
        <v>4.1700000000000001E-3</v>
      </c>
      <c r="O13" s="15">
        <f t="shared" si="0"/>
        <v>1.29758021107112E-3</v>
      </c>
      <c r="P13" s="15">
        <f t="shared" si="5"/>
        <v>0.12975802110711199</v>
      </c>
      <c r="Q13" s="18">
        <v>2.4900000000000002</v>
      </c>
      <c r="T13" s="9" t="s">
        <v>6</v>
      </c>
      <c r="U13" s="4">
        <v>1.0760000000000001</v>
      </c>
      <c r="V13" s="4">
        <v>58.12</v>
      </c>
      <c r="W13" s="14">
        <f t="shared" si="6"/>
        <v>1.076E-2</v>
      </c>
      <c r="X13" s="14">
        <v>134.94999999999999</v>
      </c>
      <c r="Y13" s="4">
        <v>36.479999999999997</v>
      </c>
      <c r="Z13" s="65"/>
      <c r="AA13" s="67"/>
      <c r="AD13" s="46"/>
      <c r="AE13" s="11">
        <f>40+273.15</f>
        <v>313.14999999999998</v>
      </c>
      <c r="AF13" s="13">
        <v>30</v>
      </c>
      <c r="AG13" s="43"/>
      <c r="AH13" s="43"/>
      <c r="AI13" s="45"/>
      <c r="AJ13" s="45"/>
      <c r="AK13" s="11">
        <f>50+273.15</f>
        <v>323.14999999999998</v>
      </c>
      <c r="AL13" s="13">
        <v>5</v>
      </c>
      <c r="AM13" s="43"/>
      <c r="AN13" s="48"/>
    </row>
    <row r="14" spans="4:52" ht="16.5" x14ac:dyDescent="0.35">
      <c r="D14" s="9" t="s">
        <v>7</v>
      </c>
      <c r="E14" s="4">
        <v>2.4329999999999998</v>
      </c>
      <c r="F14" s="4">
        <v>58.12</v>
      </c>
      <c r="G14" s="5">
        <f t="shared" si="1"/>
        <v>2.4329999999999997E-2</v>
      </c>
      <c r="H14" s="5">
        <f t="shared" si="2"/>
        <v>2.3686090452261305E-2</v>
      </c>
      <c r="I14" s="10">
        <f t="shared" si="3"/>
        <v>2.3686090452261306</v>
      </c>
      <c r="K14" s="9" t="s">
        <v>7</v>
      </c>
      <c r="L14" s="4">
        <v>1.472</v>
      </c>
      <c r="M14" s="4">
        <v>58.12</v>
      </c>
      <c r="N14" s="14">
        <f t="shared" si="4"/>
        <v>1.472E-2</v>
      </c>
      <c r="O14" s="15">
        <f t="shared" si="0"/>
        <v>4.5804270280496127E-3</v>
      </c>
      <c r="P14" s="15">
        <f t="shared" si="5"/>
        <v>0.45804270280496129</v>
      </c>
      <c r="Q14" s="18">
        <v>2.4900000000000002</v>
      </c>
      <c r="T14" s="9" t="s">
        <v>7</v>
      </c>
      <c r="U14" s="4">
        <v>2.649</v>
      </c>
      <c r="V14" s="4">
        <v>58.12</v>
      </c>
      <c r="W14" s="14">
        <f t="shared" si="6"/>
        <v>2.649E-2</v>
      </c>
      <c r="X14" s="14">
        <v>152.05000000000001</v>
      </c>
      <c r="Y14" s="4">
        <v>38</v>
      </c>
      <c r="Z14" s="65"/>
      <c r="AA14" s="67"/>
      <c r="AG14" s="2"/>
      <c r="AH14" s="2"/>
      <c r="AJ14" s="2"/>
      <c r="AK14" s="2"/>
    </row>
    <row r="15" spans="4:52" ht="16.5" x14ac:dyDescent="0.35">
      <c r="D15" s="9" t="s">
        <v>8</v>
      </c>
      <c r="E15" s="4">
        <v>0.89600000000000002</v>
      </c>
      <c r="F15" s="4">
        <v>72.150000000000006</v>
      </c>
      <c r="G15" s="5">
        <f t="shared" si="1"/>
        <v>8.9600000000000009E-3</v>
      </c>
      <c r="H15" s="5">
        <f t="shared" si="2"/>
        <v>1.0828542713567842E-2</v>
      </c>
      <c r="I15" s="10">
        <f t="shared" si="3"/>
        <v>1.0828542713567841</v>
      </c>
      <c r="K15" s="9" t="s">
        <v>8</v>
      </c>
      <c r="L15" s="4">
        <v>1.2030000000000001</v>
      </c>
      <c r="M15" s="4">
        <v>72.150000000000006</v>
      </c>
      <c r="N15" s="14">
        <f t="shared" si="4"/>
        <v>1.2030000000000001E-2</v>
      </c>
      <c r="O15" s="15">
        <f t="shared" si="0"/>
        <v>4.6470197239822974E-3</v>
      </c>
      <c r="P15" s="15">
        <f t="shared" si="5"/>
        <v>0.46470197239822975</v>
      </c>
      <c r="Q15" s="18">
        <v>626</v>
      </c>
      <c r="T15" s="9" t="s">
        <v>8</v>
      </c>
      <c r="U15" s="4">
        <v>0.38200000000000001</v>
      </c>
      <c r="V15" s="4">
        <v>72.150000000000006</v>
      </c>
      <c r="W15" s="14">
        <f t="shared" si="6"/>
        <v>3.82E-3</v>
      </c>
      <c r="X15" s="14">
        <v>187.25</v>
      </c>
      <c r="Y15" s="4">
        <v>33.840000000000003</v>
      </c>
      <c r="Z15" s="65"/>
      <c r="AA15" s="67"/>
      <c r="AG15" s="2"/>
      <c r="AH15" s="2"/>
      <c r="AJ15" s="2"/>
      <c r="AK15" s="2"/>
    </row>
    <row r="16" spans="4:52" ht="16.5" x14ac:dyDescent="0.35">
      <c r="D16" s="9" t="s">
        <v>9</v>
      </c>
      <c r="E16" s="4">
        <v>1.242</v>
      </c>
      <c r="F16" s="4">
        <v>72.150000000000006</v>
      </c>
      <c r="G16" s="5">
        <f t="shared" si="1"/>
        <v>1.242E-2</v>
      </c>
      <c r="H16" s="5">
        <f t="shared" si="2"/>
        <v>1.5010100502512563E-2</v>
      </c>
      <c r="I16" s="10">
        <f t="shared" si="3"/>
        <v>1.5010100502512562</v>
      </c>
      <c r="K16" s="9" t="s">
        <v>9</v>
      </c>
      <c r="L16" s="4">
        <v>2.077</v>
      </c>
      <c r="M16" s="4">
        <v>72.150000000000006</v>
      </c>
      <c r="N16" s="14">
        <f t="shared" si="4"/>
        <v>2.077E-2</v>
      </c>
      <c r="O16" s="15">
        <f t="shared" si="0"/>
        <v>8.0231587420708499E-3</v>
      </c>
      <c r="P16" s="15">
        <f t="shared" si="5"/>
        <v>0.80231587420708494</v>
      </c>
      <c r="Q16" s="18">
        <v>626</v>
      </c>
      <c r="T16" s="9" t="s">
        <v>9</v>
      </c>
      <c r="U16" s="4">
        <v>0.42699999999999999</v>
      </c>
      <c r="V16" s="4">
        <v>72.150000000000006</v>
      </c>
      <c r="W16" s="14">
        <f t="shared" si="6"/>
        <v>4.2699999999999995E-3</v>
      </c>
      <c r="X16" s="14">
        <v>196.45</v>
      </c>
      <c r="Y16" s="4">
        <v>33.74</v>
      </c>
      <c r="Z16" s="65"/>
      <c r="AA16" s="67"/>
      <c r="AG16" s="2"/>
      <c r="AH16" s="2"/>
      <c r="AJ16" s="2"/>
      <c r="AK16" s="2"/>
    </row>
    <row r="17" spans="4:37" ht="17" thickBot="1" x14ac:dyDescent="0.4">
      <c r="D17" s="9" t="s">
        <v>5</v>
      </c>
      <c r="E17" s="4">
        <v>1.587</v>
      </c>
      <c r="F17" s="4">
        <v>86.18</v>
      </c>
      <c r="G17" s="5">
        <f t="shared" si="1"/>
        <v>1.5869999999999999E-2</v>
      </c>
      <c r="H17" s="5">
        <f t="shared" si="2"/>
        <v>2.290915577889447E-2</v>
      </c>
      <c r="I17" s="10">
        <f t="shared" si="3"/>
        <v>2.290915577889447</v>
      </c>
      <c r="K17" s="9" t="s">
        <v>5</v>
      </c>
      <c r="L17" s="4">
        <v>4.8659999999999997</v>
      </c>
      <c r="M17" s="4">
        <v>86.18</v>
      </c>
      <c r="N17" s="14">
        <f t="shared" si="4"/>
        <v>4.8659999999999995E-2</v>
      </c>
      <c r="O17" s="15">
        <f t="shared" si="0"/>
        <v>2.2451799096035115E-2</v>
      </c>
      <c r="P17" s="15">
        <f t="shared" si="5"/>
        <v>2.2451799096035114</v>
      </c>
      <c r="Q17" s="18">
        <v>660</v>
      </c>
      <c r="T17" s="11" t="s">
        <v>5</v>
      </c>
      <c r="U17" s="12">
        <v>0.19</v>
      </c>
      <c r="V17" s="12">
        <v>86.18</v>
      </c>
      <c r="W17" s="19">
        <f t="shared" si="6"/>
        <v>1.9E-3</v>
      </c>
      <c r="X17" s="19">
        <v>234.25</v>
      </c>
      <c r="Y17" s="12">
        <v>29.69</v>
      </c>
      <c r="Z17" s="66"/>
      <c r="AA17" s="68"/>
      <c r="AG17" s="2"/>
      <c r="AH17" s="2"/>
      <c r="AJ17" s="2"/>
      <c r="AK17" s="2"/>
    </row>
    <row r="18" spans="4:37" ht="16.5" x14ac:dyDescent="0.35">
      <c r="D18" s="9" t="s">
        <v>10</v>
      </c>
      <c r="E18" s="4">
        <v>2.5659999999999998</v>
      </c>
      <c r="F18" s="4">
        <v>98.42</v>
      </c>
      <c r="G18" s="5">
        <f t="shared" si="1"/>
        <v>2.5659999999999999E-2</v>
      </c>
      <c r="H18" s="5">
        <f t="shared" si="2"/>
        <v>4.2302465661641538E-2</v>
      </c>
      <c r="I18" s="10">
        <f t="shared" si="3"/>
        <v>4.230246566164154</v>
      </c>
      <c r="K18" s="9" t="s">
        <v>10</v>
      </c>
      <c r="L18" s="4">
        <v>10.416</v>
      </c>
      <c r="M18" s="4">
        <v>98.42</v>
      </c>
      <c r="N18" s="14">
        <f t="shared" si="4"/>
        <v>0.10416</v>
      </c>
      <c r="O18" s="15">
        <f t="shared" si="0"/>
        <v>5.4885406485367327E-2</v>
      </c>
      <c r="P18" s="15">
        <f t="shared" si="5"/>
        <v>5.4885406485367323</v>
      </c>
      <c r="Q18" s="18">
        <v>679.5</v>
      </c>
      <c r="T18" s="30"/>
      <c r="U18" s="31"/>
      <c r="V18" s="31"/>
      <c r="W18" s="32"/>
      <c r="X18" s="33"/>
      <c r="Y18" s="34"/>
      <c r="Z18" s="34"/>
      <c r="AA18" s="28"/>
      <c r="AG18" s="2"/>
      <c r="AH18" s="2"/>
      <c r="AI18" s="2"/>
      <c r="AJ18" s="2"/>
    </row>
    <row r="19" spans="4:37" ht="16.5" x14ac:dyDescent="0.35">
      <c r="D19" s="9" t="s">
        <v>11</v>
      </c>
      <c r="E19" s="4">
        <v>2.7639999999999998</v>
      </c>
      <c r="F19" s="4">
        <v>114.23</v>
      </c>
      <c r="G19" s="5">
        <f t="shared" si="1"/>
        <v>2.7639999999999998E-2</v>
      </c>
      <c r="H19" s="5">
        <f t="shared" si="2"/>
        <v>5.2886385259631491E-2</v>
      </c>
      <c r="I19" s="10">
        <f t="shared" si="3"/>
        <v>5.2886385259631492</v>
      </c>
      <c r="K19" s="9" t="s">
        <v>11</v>
      </c>
      <c r="L19" s="4">
        <v>12.013</v>
      </c>
      <c r="M19" s="4">
        <v>114.23</v>
      </c>
      <c r="N19" s="14">
        <f t="shared" si="4"/>
        <v>0.12013</v>
      </c>
      <c r="O19" s="15">
        <f t="shared" si="0"/>
        <v>7.3469013244964396E-2</v>
      </c>
      <c r="P19" s="15">
        <f t="shared" si="5"/>
        <v>7.3469013244964394</v>
      </c>
      <c r="Q19" s="18">
        <v>698.62</v>
      </c>
      <c r="T19" s="35"/>
      <c r="U19" s="36"/>
      <c r="V19" s="36"/>
      <c r="W19" s="37"/>
      <c r="X19" s="38"/>
      <c r="Y19" s="34"/>
      <c r="Z19" s="34"/>
      <c r="AA19" s="28"/>
      <c r="AG19" s="2"/>
      <c r="AH19" s="2"/>
      <c r="AI19" s="2"/>
      <c r="AJ19" s="2"/>
    </row>
    <row r="20" spans="4:37" ht="16.5" x14ac:dyDescent="0.35">
      <c r="D20" s="9" t="s">
        <v>12</v>
      </c>
      <c r="E20" s="4">
        <v>1.71</v>
      </c>
      <c r="F20" s="4">
        <v>128.19999999999999</v>
      </c>
      <c r="G20" s="5">
        <f t="shared" si="1"/>
        <v>1.7100000000000001E-2</v>
      </c>
      <c r="H20" s="5">
        <f t="shared" si="2"/>
        <v>3.6720603015075369E-2</v>
      </c>
      <c r="I20" s="10">
        <f t="shared" si="3"/>
        <v>3.6720603015075368</v>
      </c>
      <c r="K20" s="9" t="s">
        <v>12</v>
      </c>
      <c r="L20" s="4">
        <v>7.7450000000000001</v>
      </c>
      <c r="M20" s="4">
        <v>128.19999999999999</v>
      </c>
      <c r="N20" s="14">
        <f t="shared" si="4"/>
        <v>7.7450000000000005E-2</v>
      </c>
      <c r="O20" s="15">
        <f t="shared" si="0"/>
        <v>5.3159636219217939E-2</v>
      </c>
      <c r="P20" s="15">
        <f t="shared" si="5"/>
        <v>5.3159636219217941</v>
      </c>
      <c r="Q20" s="18">
        <v>720</v>
      </c>
      <c r="T20" s="35"/>
      <c r="U20" s="36"/>
      <c r="V20" s="36"/>
      <c r="W20" s="37"/>
      <c r="X20" s="38"/>
      <c r="Y20" s="34"/>
      <c r="Z20" s="34"/>
      <c r="AA20" s="28"/>
      <c r="AG20" s="2"/>
      <c r="AH20" s="2"/>
      <c r="AI20" s="2"/>
      <c r="AJ20" s="2"/>
    </row>
    <row r="21" spans="4:37" ht="17" thickBot="1" x14ac:dyDescent="0.4">
      <c r="D21" s="9" t="s">
        <v>13</v>
      </c>
      <c r="E21" s="4">
        <v>12.647</v>
      </c>
      <c r="F21" s="49">
        <f>(G4-SUMPRODUCT(F8:F20,G8:G20))/G21</f>
        <v>249.19283940855541</v>
      </c>
      <c r="G21" s="5">
        <f t="shared" si="1"/>
        <v>0.12647</v>
      </c>
      <c r="H21" s="50">
        <f t="shared" si="2"/>
        <v>0.52789645561139031</v>
      </c>
      <c r="I21" s="51">
        <f t="shared" si="3"/>
        <v>52.789645561139032</v>
      </c>
      <c r="K21" s="9" t="s">
        <v>13</v>
      </c>
      <c r="L21" s="4">
        <v>58.023000000000003</v>
      </c>
      <c r="M21" s="16">
        <f>F21</f>
        <v>249.19283940855541</v>
      </c>
      <c r="N21" s="14">
        <f t="shared" si="4"/>
        <v>0.58023000000000002</v>
      </c>
      <c r="O21" s="15">
        <f t="shared" si="0"/>
        <v>0.77412000607979625</v>
      </c>
      <c r="P21" s="15">
        <f t="shared" si="5"/>
        <v>77.412000607979621</v>
      </c>
      <c r="Q21" s="52">
        <f>(N4-SUMPRODUCT(O8:O20,Q8:Q20))/O21</f>
        <v>886.59840667168692</v>
      </c>
      <c r="T21" s="39"/>
      <c r="U21" s="40"/>
      <c r="V21" s="41"/>
      <c r="W21" s="42"/>
      <c r="X21" s="38"/>
      <c r="Y21" s="34"/>
      <c r="Z21" s="34"/>
      <c r="AA21" s="28"/>
      <c r="AF21" s="3"/>
      <c r="AG21" s="2"/>
      <c r="AH21" s="2"/>
      <c r="AI21" s="2"/>
      <c r="AJ21" s="2"/>
    </row>
    <row r="22" spans="4:37" ht="15" thickBot="1" x14ac:dyDescent="0.4">
      <c r="D22" s="11" t="s">
        <v>16</v>
      </c>
      <c r="E22" s="12">
        <f>SUM(E8:E21)</f>
        <v>100</v>
      </c>
      <c r="F22" s="12" t="s">
        <v>18</v>
      </c>
      <c r="G22" s="12">
        <f>SUM(G8:G21)</f>
        <v>1</v>
      </c>
      <c r="H22" s="12">
        <f>SUM(H8:H21)</f>
        <v>1</v>
      </c>
      <c r="I22" s="13">
        <f>SUM(I8:I21)</f>
        <v>100</v>
      </c>
      <c r="K22" s="11" t="s">
        <v>16</v>
      </c>
      <c r="L22" s="12">
        <f>SUM(L8:L21)</f>
        <v>100</v>
      </c>
      <c r="M22" s="12" t="s">
        <v>18</v>
      </c>
      <c r="N22" s="12">
        <f>SUM(N8:N21)</f>
        <v>1</v>
      </c>
      <c r="O22" s="12">
        <f>SUM(O8:O21)</f>
        <v>1</v>
      </c>
      <c r="P22" s="12">
        <f>SUM(P8:P21)</f>
        <v>100</v>
      </c>
      <c r="Q22" s="13">
        <f>SUMPRODUCT(O8:O21,Q8:Q21)</f>
        <v>836</v>
      </c>
      <c r="T22" s="20" t="s">
        <v>16</v>
      </c>
      <c r="U22" s="21">
        <f>SUM(U8:U21)</f>
        <v>100</v>
      </c>
      <c r="V22" s="21" t="s">
        <v>18</v>
      </c>
      <c r="W22" s="22">
        <f>SUM(W8:W21)</f>
        <v>1</v>
      </c>
      <c r="X22" s="43"/>
      <c r="Y22" s="43"/>
      <c r="Z22" s="43"/>
      <c r="AA22" s="44"/>
      <c r="AH22" s="2"/>
      <c r="AI22" s="2"/>
      <c r="AJ22" s="2"/>
    </row>
  </sheetData>
  <mergeCells count="15">
    <mergeCell ref="AL6:AM6"/>
    <mergeCell ref="AD2:AN2"/>
    <mergeCell ref="AQ2:AS2"/>
    <mergeCell ref="AV2:AZ2"/>
    <mergeCell ref="AF6:AG6"/>
    <mergeCell ref="T4:V4"/>
    <mergeCell ref="T5:V5"/>
    <mergeCell ref="Z8:Z17"/>
    <mergeCell ref="AA8:AA17"/>
    <mergeCell ref="T2:AA2"/>
    <mergeCell ref="D4:F4"/>
    <mergeCell ref="D2:I2"/>
    <mergeCell ref="K4:M4"/>
    <mergeCell ref="K5:M5"/>
    <mergeCell ref="K2:Q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2020-02-06T04:42:26Z</dcterms:modified>
</cp:coreProperties>
</file>