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2021" sheetId="2" r:id="rId5"/>
    <sheet state="visible" name="2020" sheetId="3" r:id="rId6"/>
    <sheet state="visible" name="2019" sheetId="4" r:id="rId7"/>
    <sheet state="visible" name="2018" sheetId="5" r:id="rId8"/>
    <sheet state="visible" name="2017" sheetId="6" r:id="rId9"/>
    <sheet state="visible" name="2016" sheetId="7" r:id="rId10"/>
    <sheet state="visible" name="2015" sheetId="8" r:id="rId11"/>
    <sheet state="visible" name="2014" sheetId="9" r:id="rId12"/>
    <sheet state="visible" name="2013" sheetId="10" r:id="rId13"/>
    <sheet state="visible" name="2012" sheetId="11" r:id="rId14"/>
    <sheet state="visible" name="2011" sheetId="12" r:id="rId15"/>
    <sheet state="visible" name="2010" sheetId="13" r:id="rId16"/>
    <sheet state="visible" name="2009" sheetId="14" r:id="rId17"/>
    <sheet state="visible" name="2008" sheetId="15" r:id="rId18"/>
    <sheet state="visible" name="2007" sheetId="16" r:id="rId19"/>
    <sheet state="visible" name="2006" sheetId="17" r:id="rId20"/>
    <sheet state="visible" name="2005" sheetId="18" r:id="rId21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IFERROR(__xludf.DUMMYFUNCTION("IMPORTHTML(""https://www.espn.com/soccer/table/_/league/eng.1"",""table"",1)"),"2022-2023")</f>
        <v>2022-2023</v>
      </c>
      <c r="B1" s="1" t="str">
        <f>IFERROR(__xludf.DUMMYFUNCTION("IMPORTHTML(""https://www.espn.com/soccer/table/_/league/eng.1"",""table"",2)"),"GP")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IFERROR(__xludf.DUMMYFUNCTION("""COMPUTED_VALUE"""),"1ARSArsenal")</f>
        <v>1ARSArsenal</v>
      </c>
      <c r="B2" s="1">
        <f>IFERROR(__xludf.DUMMYFUNCTION("""COMPUTED_VALUE"""),23.0)</f>
        <v>23</v>
      </c>
      <c r="C2" s="1">
        <f>IFERROR(__xludf.DUMMYFUNCTION("""COMPUTED_VALUE"""),17.0)</f>
        <v>17</v>
      </c>
      <c r="D2" s="1">
        <f>IFERROR(__xludf.DUMMYFUNCTION("""COMPUTED_VALUE"""),3.0)</f>
        <v>3</v>
      </c>
      <c r="E2" s="1">
        <f>IFERROR(__xludf.DUMMYFUNCTION("""COMPUTED_VALUE"""),3.0)</f>
        <v>3</v>
      </c>
      <c r="F2" s="1">
        <f>IFERROR(__xludf.DUMMYFUNCTION("""COMPUTED_VALUE"""),51.0)</f>
        <v>51</v>
      </c>
      <c r="G2" s="1">
        <f>IFERROR(__xludf.DUMMYFUNCTION("""COMPUTED_VALUE"""),23.0)</f>
        <v>23</v>
      </c>
      <c r="H2" s="1" t="str">
        <f>IFERROR(__xludf.DUMMYFUNCTION("""COMPUTED_VALUE"""),"+28")</f>
        <v>+28</v>
      </c>
      <c r="I2" s="1">
        <f>IFERROR(__xludf.DUMMYFUNCTION("""COMPUTED_VALUE"""),54.0)</f>
        <v>54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IFERROR(__xludf.DUMMYFUNCTION("""COMPUTED_VALUE"""),24.0)</f>
        <v>24</v>
      </c>
      <c r="C3" s="1">
        <f>IFERROR(__xludf.DUMMYFUNCTION("""COMPUTED_VALUE"""),16.0)</f>
        <v>16</v>
      </c>
      <c r="D3" s="1">
        <f>IFERROR(__xludf.DUMMYFUNCTION("""COMPUTED_VALUE"""),4.0)</f>
        <v>4</v>
      </c>
      <c r="E3" s="1">
        <f>IFERROR(__xludf.DUMMYFUNCTION("""COMPUTED_VALUE"""),4.0)</f>
        <v>4</v>
      </c>
      <c r="F3" s="1">
        <f>IFERROR(__xludf.DUMMYFUNCTION("""COMPUTED_VALUE"""),60.0)</f>
        <v>60</v>
      </c>
      <c r="G3" s="1">
        <f>IFERROR(__xludf.DUMMYFUNCTION("""COMPUTED_VALUE"""),24.0)</f>
        <v>24</v>
      </c>
      <c r="H3" s="1" t="str">
        <f>IFERROR(__xludf.DUMMYFUNCTION("""COMPUTED_VALUE"""),"+36")</f>
        <v>+36</v>
      </c>
      <c r="I3" s="1">
        <f>IFERROR(__xludf.DUMMYFUNCTION("""COMPUTED_VALUE"""),52.0)</f>
        <v>52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IFERROR(__xludf.DUMMYFUNCTION("""COMPUTED_VALUE"""),24.0)</f>
        <v>24</v>
      </c>
      <c r="C4" s="1">
        <f>IFERROR(__xludf.DUMMYFUNCTION("""COMPUTED_VALUE"""),15.0)</f>
        <v>15</v>
      </c>
      <c r="D4" s="1">
        <f>IFERROR(__xludf.DUMMYFUNCTION("""COMPUTED_VALUE"""),4.0)</f>
        <v>4</v>
      </c>
      <c r="E4" s="1">
        <f>IFERROR(__xludf.DUMMYFUNCTION("""COMPUTED_VALUE"""),5.0)</f>
        <v>5</v>
      </c>
      <c r="F4" s="1">
        <f>IFERROR(__xludf.DUMMYFUNCTION("""COMPUTED_VALUE"""),41.0)</f>
        <v>41</v>
      </c>
      <c r="G4" s="1">
        <f>IFERROR(__xludf.DUMMYFUNCTION("""COMPUTED_VALUE"""),28.0)</f>
        <v>28</v>
      </c>
      <c r="H4" s="1" t="str">
        <f>IFERROR(__xludf.DUMMYFUNCTION("""COMPUTED_VALUE"""),"+13")</f>
        <v>+13</v>
      </c>
      <c r="I4" s="1">
        <f>IFERROR(__xludf.DUMMYFUNCTION("""COMPUTED_VALUE"""),49.0)</f>
        <v>49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IFERROR(__xludf.DUMMYFUNCTION("""COMPUTED_VALUE"""),24.0)</f>
        <v>24</v>
      </c>
      <c r="C5" s="1">
        <f>IFERROR(__xludf.DUMMYFUNCTION("""COMPUTED_VALUE"""),13.0)</f>
        <v>13</v>
      </c>
      <c r="D5" s="1">
        <f>IFERROR(__xludf.DUMMYFUNCTION("""COMPUTED_VALUE"""),3.0)</f>
        <v>3</v>
      </c>
      <c r="E5" s="1">
        <f>IFERROR(__xludf.DUMMYFUNCTION("""COMPUTED_VALUE"""),8.0)</f>
        <v>8</v>
      </c>
      <c r="F5" s="1">
        <f>IFERROR(__xludf.DUMMYFUNCTION("""COMPUTED_VALUE"""),44.0)</f>
        <v>44</v>
      </c>
      <c r="G5" s="1">
        <f>IFERROR(__xludf.DUMMYFUNCTION("""COMPUTED_VALUE"""),35.0)</f>
        <v>35</v>
      </c>
      <c r="H5" s="1" t="str">
        <f>IFERROR(__xludf.DUMMYFUNCTION("""COMPUTED_VALUE"""),"+9")</f>
        <v>+9</v>
      </c>
      <c r="I5" s="1">
        <f>IFERROR(__xludf.DUMMYFUNCTION("""COMPUTED_VALUE"""),42.0)</f>
        <v>42</v>
      </c>
    </row>
    <row r="6">
      <c r="A6" s="1" t="str">
        <f>IFERROR(__xludf.DUMMYFUNCTION("""COMPUTED_VALUE"""),"5NEWNewcastle United")</f>
        <v>5NEWNewcastle United</v>
      </c>
      <c r="B6" s="1">
        <f>IFERROR(__xludf.DUMMYFUNCTION("""COMPUTED_VALUE"""),23.0)</f>
        <v>23</v>
      </c>
      <c r="C6" s="1">
        <f>IFERROR(__xludf.DUMMYFUNCTION("""COMPUTED_VALUE"""),10.0)</f>
        <v>10</v>
      </c>
      <c r="D6" s="1">
        <f>IFERROR(__xludf.DUMMYFUNCTION("""COMPUTED_VALUE"""),11.0)</f>
        <v>11</v>
      </c>
      <c r="E6" s="1">
        <f>IFERROR(__xludf.DUMMYFUNCTION("""COMPUTED_VALUE"""),2.0)</f>
        <v>2</v>
      </c>
      <c r="F6" s="1">
        <f>IFERROR(__xludf.DUMMYFUNCTION("""COMPUTED_VALUE"""),35.0)</f>
        <v>35</v>
      </c>
      <c r="G6" s="1">
        <f>IFERROR(__xludf.DUMMYFUNCTION("""COMPUTED_VALUE"""),15.0)</f>
        <v>15</v>
      </c>
      <c r="H6" s="1" t="str">
        <f>IFERROR(__xludf.DUMMYFUNCTION("""COMPUTED_VALUE"""),"+20")</f>
        <v>+20</v>
      </c>
      <c r="I6" s="1">
        <f>IFERROR(__xludf.DUMMYFUNCTION("""COMPUTED_VALUE"""),41.0)</f>
        <v>41</v>
      </c>
    </row>
    <row r="7">
      <c r="A7" s="1" t="str">
        <f>IFERROR(__xludf.DUMMYFUNCTION("""COMPUTED_VALUE"""),"6FULFulham")</f>
        <v>6FULFulham</v>
      </c>
      <c r="B7" s="1">
        <f>IFERROR(__xludf.DUMMYFUNCTION("""COMPUTED_VALUE"""),24.0)</f>
        <v>24</v>
      </c>
      <c r="C7" s="1">
        <f>IFERROR(__xludf.DUMMYFUNCTION("""COMPUTED_VALUE"""),11.0)</f>
        <v>11</v>
      </c>
      <c r="D7" s="1">
        <f>IFERROR(__xludf.DUMMYFUNCTION("""COMPUTED_VALUE"""),5.0)</f>
        <v>5</v>
      </c>
      <c r="E7" s="1">
        <f>IFERROR(__xludf.DUMMYFUNCTION("""COMPUTED_VALUE"""),8.0)</f>
        <v>8</v>
      </c>
      <c r="F7" s="1">
        <f>IFERROR(__xludf.DUMMYFUNCTION("""COMPUTED_VALUE"""),35.0)</f>
        <v>35</v>
      </c>
      <c r="G7" s="1">
        <f>IFERROR(__xludf.DUMMYFUNCTION("""COMPUTED_VALUE"""),30.0)</f>
        <v>30</v>
      </c>
      <c r="H7" s="1" t="str">
        <f>IFERROR(__xludf.DUMMYFUNCTION("""COMPUTED_VALUE"""),"+5")</f>
        <v>+5</v>
      </c>
      <c r="I7" s="1">
        <f>IFERROR(__xludf.DUMMYFUNCTION("""COMPUTED_VALUE"""),38.0)</f>
        <v>38</v>
      </c>
    </row>
    <row r="8">
      <c r="A8" s="1" t="str">
        <f>IFERROR(__xludf.DUMMYFUNCTION("""COMPUTED_VALUE"""),"7BHABrighton &amp; Hove Albion")</f>
        <v>7BHABrighton &amp; Hove Albion</v>
      </c>
      <c r="B8" s="1">
        <f>IFERROR(__xludf.DUMMYFUNCTION("""COMPUTED_VALUE"""),22.0)</f>
        <v>22</v>
      </c>
      <c r="C8" s="1">
        <f>IFERROR(__xludf.DUMMYFUNCTION("""COMPUTED_VALUE"""),10.0)</f>
        <v>10</v>
      </c>
      <c r="D8" s="1">
        <f>IFERROR(__xludf.DUMMYFUNCTION("""COMPUTED_VALUE"""),5.0)</f>
        <v>5</v>
      </c>
      <c r="E8" s="1">
        <f>IFERROR(__xludf.DUMMYFUNCTION("""COMPUTED_VALUE"""),7.0)</f>
        <v>7</v>
      </c>
      <c r="F8" s="1">
        <f>IFERROR(__xludf.DUMMYFUNCTION("""COMPUTED_VALUE"""),39.0)</f>
        <v>39</v>
      </c>
      <c r="G8" s="1">
        <f>IFERROR(__xludf.DUMMYFUNCTION("""COMPUTED_VALUE"""),29.0)</f>
        <v>29</v>
      </c>
      <c r="H8" s="1" t="str">
        <f>IFERROR(__xludf.DUMMYFUNCTION("""COMPUTED_VALUE"""),"+10")</f>
        <v>+10</v>
      </c>
      <c r="I8" s="1">
        <f>IFERROR(__xludf.DUMMYFUNCTION("""COMPUTED_VALUE"""),35.0)</f>
        <v>35</v>
      </c>
    </row>
    <row r="9">
      <c r="A9" s="1" t="str">
        <f>IFERROR(__xludf.DUMMYFUNCTION("""COMPUTED_VALUE"""),"8LIVLiverpool")</f>
        <v>8LIVLiverpool</v>
      </c>
      <c r="B9" s="1">
        <f>IFERROR(__xludf.DUMMYFUNCTION("""COMPUTED_VALUE"""),22.0)</f>
        <v>22</v>
      </c>
      <c r="C9" s="1">
        <f>IFERROR(__xludf.DUMMYFUNCTION("""COMPUTED_VALUE"""),10.0)</f>
        <v>10</v>
      </c>
      <c r="D9" s="1">
        <f>IFERROR(__xludf.DUMMYFUNCTION("""COMPUTED_VALUE"""),5.0)</f>
        <v>5</v>
      </c>
      <c r="E9" s="1">
        <f>IFERROR(__xludf.DUMMYFUNCTION("""COMPUTED_VALUE"""),7.0)</f>
        <v>7</v>
      </c>
      <c r="F9" s="1">
        <f>IFERROR(__xludf.DUMMYFUNCTION("""COMPUTED_VALUE"""),38.0)</f>
        <v>38</v>
      </c>
      <c r="G9" s="1">
        <f>IFERROR(__xludf.DUMMYFUNCTION("""COMPUTED_VALUE"""),28.0)</f>
        <v>28</v>
      </c>
      <c r="H9" s="1" t="str">
        <f>IFERROR(__xludf.DUMMYFUNCTION("""COMPUTED_VALUE"""),"+10")</f>
        <v>+10</v>
      </c>
      <c r="I9" s="1">
        <f>IFERROR(__xludf.DUMMYFUNCTION("""COMPUTED_VALUE"""),35.0)</f>
        <v>35</v>
      </c>
    </row>
    <row r="10">
      <c r="A10" s="1" t="str">
        <f>IFERROR(__xludf.DUMMYFUNCTION("""COMPUTED_VALUE"""),"9BREBrentford")</f>
        <v>9BREBrentford</v>
      </c>
      <c r="B10" s="1">
        <f>IFERROR(__xludf.DUMMYFUNCTION("""COMPUTED_VALUE"""),23.0)</f>
        <v>23</v>
      </c>
      <c r="C10" s="1">
        <f>IFERROR(__xludf.DUMMYFUNCTION("""COMPUTED_VALUE"""),8.0)</f>
        <v>8</v>
      </c>
      <c r="D10" s="1">
        <f>IFERROR(__xludf.DUMMYFUNCTION("""COMPUTED_VALUE"""),11.0)</f>
        <v>11</v>
      </c>
      <c r="E10" s="1">
        <f>IFERROR(__xludf.DUMMYFUNCTION("""COMPUTED_VALUE"""),4.0)</f>
        <v>4</v>
      </c>
      <c r="F10" s="1">
        <f>IFERROR(__xludf.DUMMYFUNCTION("""COMPUTED_VALUE"""),37.0)</f>
        <v>37</v>
      </c>
      <c r="G10" s="1">
        <f>IFERROR(__xludf.DUMMYFUNCTION("""COMPUTED_VALUE"""),30.0)</f>
        <v>30</v>
      </c>
      <c r="H10" s="1" t="str">
        <f>IFERROR(__xludf.DUMMYFUNCTION("""COMPUTED_VALUE"""),"+7")</f>
        <v>+7</v>
      </c>
      <c r="I10" s="1">
        <f>IFERROR(__xludf.DUMMYFUNCTION("""COMPUTED_VALUE"""),35.0)</f>
        <v>35</v>
      </c>
    </row>
    <row r="11">
      <c r="A11" s="1" t="str">
        <f>IFERROR(__xludf.DUMMYFUNCTION("""COMPUTED_VALUE"""),"10CHEChelsea")</f>
        <v>10CHEChelsea</v>
      </c>
      <c r="B11" s="1">
        <f>IFERROR(__xludf.DUMMYFUNCTION("""COMPUTED_VALUE"""),23.0)</f>
        <v>23</v>
      </c>
      <c r="C11" s="1">
        <f>IFERROR(__xludf.DUMMYFUNCTION("""COMPUTED_VALUE"""),8.0)</f>
        <v>8</v>
      </c>
      <c r="D11" s="1">
        <f>IFERROR(__xludf.DUMMYFUNCTION("""COMPUTED_VALUE"""),7.0)</f>
        <v>7</v>
      </c>
      <c r="E11" s="1">
        <f>IFERROR(__xludf.DUMMYFUNCTION("""COMPUTED_VALUE"""),8.0)</f>
        <v>8</v>
      </c>
      <c r="F11" s="1">
        <f>IFERROR(__xludf.DUMMYFUNCTION("""COMPUTED_VALUE"""),23.0)</f>
        <v>23</v>
      </c>
      <c r="G11" s="1">
        <f>IFERROR(__xludf.DUMMYFUNCTION("""COMPUTED_VALUE"""),23.0)</f>
        <v>23</v>
      </c>
      <c r="H11" s="1">
        <f>IFERROR(__xludf.DUMMYFUNCTION("""COMPUTED_VALUE"""),0.0)</f>
        <v>0</v>
      </c>
      <c r="I11" s="1">
        <f>IFERROR(__xludf.DUMMYFUNCTION("""COMPUTED_VALUE"""),31.0)</f>
        <v>31</v>
      </c>
    </row>
    <row r="12">
      <c r="A12" s="1" t="str">
        <f>IFERROR(__xludf.DUMMYFUNCTION("""COMPUTED_VALUE"""),"11AVLAston Villa")</f>
        <v>11AVLAston Villa</v>
      </c>
      <c r="B12" s="1">
        <f>IFERROR(__xludf.DUMMYFUNCTION("""COMPUTED_VALUE"""),23.0)</f>
        <v>23</v>
      </c>
      <c r="C12" s="1">
        <f>IFERROR(__xludf.DUMMYFUNCTION("""COMPUTED_VALUE"""),8.0)</f>
        <v>8</v>
      </c>
      <c r="D12" s="1">
        <f>IFERROR(__xludf.DUMMYFUNCTION("""COMPUTED_VALUE"""),4.0)</f>
        <v>4</v>
      </c>
      <c r="E12" s="1">
        <f>IFERROR(__xludf.DUMMYFUNCTION("""COMPUTED_VALUE"""),11.0)</f>
        <v>11</v>
      </c>
      <c r="F12" s="1">
        <f>IFERROR(__xludf.DUMMYFUNCTION("""COMPUTED_VALUE"""),28.0)</f>
        <v>28</v>
      </c>
      <c r="G12" s="1">
        <f>IFERROR(__xludf.DUMMYFUNCTION("""COMPUTED_VALUE"""),38.0)</f>
        <v>38</v>
      </c>
      <c r="H12" s="1">
        <f>IFERROR(__xludf.DUMMYFUNCTION("""COMPUTED_VALUE"""),-10.0)</f>
        <v>-10</v>
      </c>
      <c r="I12" s="1">
        <f>IFERROR(__xludf.DUMMYFUNCTION("""COMPUTED_VALUE"""),28.0)</f>
        <v>28</v>
      </c>
    </row>
    <row r="13">
      <c r="A13" s="1" t="str">
        <f>IFERROR(__xludf.DUMMYFUNCTION("""COMPUTED_VALUE"""),"12CRYCrystal Palace")</f>
        <v>12CRYCrystal Palace</v>
      </c>
      <c r="B13" s="1">
        <f>IFERROR(__xludf.DUMMYFUNCTION("""COMPUTED_VALUE"""),23.0)</f>
        <v>23</v>
      </c>
      <c r="C13" s="1">
        <f>IFERROR(__xludf.DUMMYFUNCTION("""COMPUTED_VALUE"""),6.0)</f>
        <v>6</v>
      </c>
      <c r="D13" s="1">
        <f>IFERROR(__xludf.DUMMYFUNCTION("""COMPUTED_VALUE"""),8.0)</f>
        <v>8</v>
      </c>
      <c r="E13" s="1">
        <f>IFERROR(__xludf.DUMMYFUNCTION("""COMPUTED_VALUE"""),9.0)</f>
        <v>9</v>
      </c>
      <c r="F13" s="1">
        <f>IFERROR(__xludf.DUMMYFUNCTION("""COMPUTED_VALUE"""),21.0)</f>
        <v>21</v>
      </c>
      <c r="G13" s="1">
        <f>IFERROR(__xludf.DUMMYFUNCTION("""COMPUTED_VALUE"""),31.0)</f>
        <v>31</v>
      </c>
      <c r="H13" s="1">
        <f>IFERROR(__xludf.DUMMYFUNCTION("""COMPUTED_VALUE"""),-10.0)</f>
        <v>-10</v>
      </c>
      <c r="I13" s="1">
        <f>IFERROR(__xludf.DUMMYFUNCTION("""COMPUTED_VALUE"""),26.0)</f>
        <v>26</v>
      </c>
    </row>
    <row r="14">
      <c r="A14" s="1" t="str">
        <f>IFERROR(__xludf.DUMMYFUNCTION("""COMPUTED_VALUE"""),"13NFONottingham Forest")</f>
        <v>13NFONottingham Forest</v>
      </c>
      <c r="B14" s="1">
        <f>IFERROR(__xludf.DUMMYFUNCTION("""COMPUTED_VALUE"""),23.0)</f>
        <v>23</v>
      </c>
      <c r="C14" s="1">
        <f>IFERROR(__xludf.DUMMYFUNCTION("""COMPUTED_VALUE"""),6.0)</f>
        <v>6</v>
      </c>
      <c r="D14" s="1">
        <f>IFERROR(__xludf.DUMMYFUNCTION("""COMPUTED_VALUE"""),7.0)</f>
        <v>7</v>
      </c>
      <c r="E14" s="1">
        <f>IFERROR(__xludf.DUMMYFUNCTION("""COMPUTED_VALUE"""),10.0)</f>
        <v>10</v>
      </c>
      <c r="F14" s="1">
        <f>IFERROR(__xludf.DUMMYFUNCTION("""COMPUTED_VALUE"""),18.0)</f>
        <v>18</v>
      </c>
      <c r="G14" s="1">
        <f>IFERROR(__xludf.DUMMYFUNCTION("""COMPUTED_VALUE"""),38.0)</f>
        <v>38</v>
      </c>
      <c r="H14" s="1">
        <f>IFERROR(__xludf.DUMMYFUNCTION("""COMPUTED_VALUE"""),-20.0)</f>
        <v>-20</v>
      </c>
      <c r="I14" s="1">
        <f>IFERROR(__xludf.DUMMYFUNCTION("""COMPUTED_VALUE"""),25.0)</f>
        <v>25</v>
      </c>
    </row>
    <row r="15">
      <c r="A15" s="1" t="str">
        <f>IFERROR(__xludf.DUMMYFUNCTION("""COMPUTED_VALUE"""),"14LEILeicester City")</f>
        <v>14LEILeicester City</v>
      </c>
      <c r="B15" s="1">
        <f>IFERROR(__xludf.DUMMYFUNCTION("""COMPUTED_VALUE"""),23.0)</f>
        <v>23</v>
      </c>
      <c r="C15" s="1">
        <f>IFERROR(__xludf.DUMMYFUNCTION("""COMPUTED_VALUE"""),7.0)</f>
        <v>7</v>
      </c>
      <c r="D15" s="1">
        <f>IFERROR(__xludf.DUMMYFUNCTION("""COMPUTED_VALUE"""),3.0)</f>
        <v>3</v>
      </c>
      <c r="E15" s="1">
        <f>IFERROR(__xludf.DUMMYFUNCTION("""COMPUTED_VALUE"""),13.0)</f>
        <v>13</v>
      </c>
      <c r="F15" s="1">
        <f>IFERROR(__xludf.DUMMYFUNCTION("""COMPUTED_VALUE"""),36.0)</f>
        <v>36</v>
      </c>
      <c r="G15" s="1">
        <f>IFERROR(__xludf.DUMMYFUNCTION("""COMPUTED_VALUE"""),41.0)</f>
        <v>41</v>
      </c>
      <c r="H15" s="1">
        <f>IFERROR(__xludf.DUMMYFUNCTION("""COMPUTED_VALUE"""),-5.0)</f>
        <v>-5</v>
      </c>
      <c r="I15" s="1">
        <f>IFERROR(__xludf.DUMMYFUNCTION("""COMPUTED_VALUE"""),24.0)</f>
        <v>24</v>
      </c>
    </row>
    <row r="16">
      <c r="A16" s="1" t="str">
        <f>IFERROR(__xludf.DUMMYFUNCTION("""COMPUTED_VALUE"""),"15WOLWolverhampton Wanderers")</f>
        <v>15WOLWolverhampton Wanderers</v>
      </c>
      <c r="B16" s="1">
        <f>IFERROR(__xludf.DUMMYFUNCTION("""COMPUTED_VALUE"""),23.0)</f>
        <v>23</v>
      </c>
      <c r="C16" s="1">
        <f>IFERROR(__xludf.DUMMYFUNCTION("""COMPUTED_VALUE"""),6.0)</f>
        <v>6</v>
      </c>
      <c r="D16" s="1">
        <f>IFERROR(__xludf.DUMMYFUNCTION("""COMPUTED_VALUE"""),5.0)</f>
        <v>5</v>
      </c>
      <c r="E16" s="1">
        <f>IFERROR(__xludf.DUMMYFUNCTION("""COMPUTED_VALUE"""),12.0)</f>
        <v>12</v>
      </c>
      <c r="F16" s="1">
        <f>IFERROR(__xludf.DUMMYFUNCTION("""COMPUTED_VALUE"""),17.0)</f>
        <v>17</v>
      </c>
      <c r="G16" s="1">
        <f>IFERROR(__xludf.DUMMYFUNCTION("""COMPUTED_VALUE"""),32.0)</f>
        <v>32</v>
      </c>
      <c r="H16" s="1">
        <f>IFERROR(__xludf.DUMMYFUNCTION("""COMPUTED_VALUE"""),-15.0)</f>
        <v>-15</v>
      </c>
      <c r="I16" s="1">
        <f>IFERROR(__xludf.DUMMYFUNCTION("""COMPUTED_VALUE"""),23.0)</f>
        <v>23</v>
      </c>
    </row>
    <row r="17">
      <c r="A17" s="1" t="str">
        <f>IFERROR(__xludf.DUMMYFUNCTION("""COMPUTED_VALUE"""),"16EVEEverton")</f>
        <v>16EVEEverton</v>
      </c>
      <c r="B17" s="1">
        <f>IFERROR(__xludf.DUMMYFUNCTION("""COMPUTED_VALUE"""),23.0)</f>
        <v>23</v>
      </c>
      <c r="C17" s="1">
        <f>IFERROR(__xludf.DUMMYFUNCTION("""COMPUTED_VALUE"""),5.0)</f>
        <v>5</v>
      </c>
      <c r="D17" s="1">
        <f>IFERROR(__xludf.DUMMYFUNCTION("""COMPUTED_VALUE"""),6.0)</f>
        <v>6</v>
      </c>
      <c r="E17" s="1">
        <f>IFERROR(__xludf.DUMMYFUNCTION("""COMPUTED_VALUE"""),12.0)</f>
        <v>12</v>
      </c>
      <c r="F17" s="1">
        <f>IFERROR(__xludf.DUMMYFUNCTION("""COMPUTED_VALUE"""),17.0)</f>
        <v>17</v>
      </c>
      <c r="G17" s="1">
        <f>IFERROR(__xludf.DUMMYFUNCTION("""COMPUTED_VALUE"""),30.0)</f>
        <v>30</v>
      </c>
      <c r="H17" s="1">
        <f>IFERROR(__xludf.DUMMYFUNCTION("""COMPUTED_VALUE"""),-13.0)</f>
        <v>-13</v>
      </c>
      <c r="I17" s="1">
        <f>IFERROR(__xludf.DUMMYFUNCTION("""COMPUTED_VALUE"""),21.0)</f>
        <v>21</v>
      </c>
    </row>
    <row r="18">
      <c r="A18" s="1" t="str">
        <f>IFERROR(__xludf.DUMMYFUNCTION("""COMPUTED_VALUE"""),"17BOUAFC Bournemouth")</f>
        <v>17BOUAFC Bournemouth</v>
      </c>
      <c r="B18" s="1">
        <f>IFERROR(__xludf.DUMMYFUNCTION("""COMPUTED_VALUE"""),23.0)</f>
        <v>23</v>
      </c>
      <c r="C18" s="1">
        <f>IFERROR(__xludf.DUMMYFUNCTION("""COMPUTED_VALUE"""),5.0)</f>
        <v>5</v>
      </c>
      <c r="D18" s="1">
        <f>IFERROR(__xludf.DUMMYFUNCTION("""COMPUTED_VALUE"""),6.0)</f>
        <v>6</v>
      </c>
      <c r="E18" s="1">
        <f>IFERROR(__xludf.DUMMYFUNCTION("""COMPUTED_VALUE"""),12.0)</f>
        <v>12</v>
      </c>
      <c r="F18" s="1">
        <f>IFERROR(__xludf.DUMMYFUNCTION("""COMPUTED_VALUE"""),21.0)</f>
        <v>21</v>
      </c>
      <c r="G18" s="1">
        <f>IFERROR(__xludf.DUMMYFUNCTION("""COMPUTED_VALUE"""),44.0)</f>
        <v>44</v>
      </c>
      <c r="H18" s="1">
        <f>IFERROR(__xludf.DUMMYFUNCTION("""COMPUTED_VALUE"""),-23.0)</f>
        <v>-23</v>
      </c>
      <c r="I18" s="1">
        <f>IFERROR(__xludf.DUMMYFUNCTION("""COMPUTED_VALUE"""),21.0)</f>
        <v>21</v>
      </c>
    </row>
    <row r="19">
      <c r="A19" s="1" t="str">
        <f>IFERROR(__xludf.DUMMYFUNCTION("""COMPUTED_VALUE"""),"18WHUWest Ham United")</f>
        <v>18WHUWest Ham United</v>
      </c>
      <c r="B19" s="1">
        <f>IFERROR(__xludf.DUMMYFUNCTION("""COMPUTED_VALUE"""),23.0)</f>
        <v>23</v>
      </c>
      <c r="C19" s="1">
        <f>IFERROR(__xludf.DUMMYFUNCTION("""COMPUTED_VALUE"""),5.0)</f>
        <v>5</v>
      </c>
      <c r="D19" s="1">
        <f>IFERROR(__xludf.DUMMYFUNCTION("""COMPUTED_VALUE"""),5.0)</f>
        <v>5</v>
      </c>
      <c r="E19" s="1">
        <f>IFERROR(__xludf.DUMMYFUNCTION("""COMPUTED_VALUE"""),13.0)</f>
        <v>13</v>
      </c>
      <c r="F19" s="1">
        <f>IFERROR(__xludf.DUMMYFUNCTION("""COMPUTED_VALUE"""),19.0)</f>
        <v>19</v>
      </c>
      <c r="G19" s="1">
        <f>IFERROR(__xludf.DUMMYFUNCTION("""COMPUTED_VALUE"""),29.0)</f>
        <v>29</v>
      </c>
      <c r="H19" s="1">
        <f>IFERROR(__xludf.DUMMYFUNCTION("""COMPUTED_VALUE"""),-10.0)</f>
        <v>-10</v>
      </c>
      <c r="I19" s="1">
        <f>IFERROR(__xludf.DUMMYFUNCTION("""COMPUTED_VALUE"""),20.0)</f>
        <v>20</v>
      </c>
    </row>
    <row r="20">
      <c r="A20" s="1" t="str">
        <f>IFERROR(__xludf.DUMMYFUNCTION("""COMPUTED_VALUE"""),"19LEELeeds United")</f>
        <v>19LEELeeds United</v>
      </c>
      <c r="B20" s="1">
        <f>IFERROR(__xludf.DUMMYFUNCTION("""COMPUTED_VALUE"""),23.0)</f>
        <v>23</v>
      </c>
      <c r="C20" s="1">
        <f>IFERROR(__xludf.DUMMYFUNCTION("""COMPUTED_VALUE"""),4.0)</f>
        <v>4</v>
      </c>
      <c r="D20" s="1">
        <f>IFERROR(__xludf.DUMMYFUNCTION("""COMPUTED_VALUE"""),7.0)</f>
        <v>7</v>
      </c>
      <c r="E20" s="1">
        <f>IFERROR(__xludf.DUMMYFUNCTION("""COMPUTED_VALUE"""),12.0)</f>
        <v>12</v>
      </c>
      <c r="F20" s="1">
        <f>IFERROR(__xludf.DUMMYFUNCTION("""COMPUTED_VALUE"""),28.0)</f>
        <v>28</v>
      </c>
      <c r="G20" s="1">
        <f>IFERROR(__xludf.DUMMYFUNCTION("""COMPUTED_VALUE"""),39.0)</f>
        <v>39</v>
      </c>
      <c r="H20" s="1">
        <f>IFERROR(__xludf.DUMMYFUNCTION("""COMPUTED_VALUE"""),-11.0)</f>
        <v>-11</v>
      </c>
      <c r="I20" s="1">
        <f>IFERROR(__xludf.DUMMYFUNCTION("""COMPUTED_VALUE"""),19.0)</f>
        <v>19</v>
      </c>
    </row>
    <row r="21">
      <c r="A21" s="1" t="str">
        <f>IFERROR(__xludf.DUMMYFUNCTION("""COMPUTED_VALUE"""),"20SOUSouthampton")</f>
        <v>20SOUSouthampton</v>
      </c>
      <c r="B21" s="1">
        <f>IFERROR(__xludf.DUMMYFUNCTION("""COMPUTED_VALUE"""),23.0)</f>
        <v>23</v>
      </c>
      <c r="C21" s="1">
        <f>IFERROR(__xludf.DUMMYFUNCTION("""COMPUTED_VALUE"""),5.0)</f>
        <v>5</v>
      </c>
      <c r="D21" s="1">
        <f>IFERROR(__xludf.DUMMYFUNCTION("""COMPUTED_VALUE"""),3.0)</f>
        <v>3</v>
      </c>
      <c r="E21" s="1">
        <f>IFERROR(__xludf.DUMMYFUNCTION("""COMPUTED_VALUE"""),15.0)</f>
        <v>15</v>
      </c>
      <c r="F21" s="1">
        <f>IFERROR(__xludf.DUMMYFUNCTION("""COMPUTED_VALUE"""),19.0)</f>
        <v>19</v>
      </c>
      <c r="G21" s="1">
        <f>IFERROR(__xludf.DUMMYFUNCTION("""COMPUTED_VALUE"""),40.0)</f>
        <v>40</v>
      </c>
      <c r="H21" s="1">
        <f>IFERROR(__xludf.DUMMYFUNCTION("""COMPUTED_VALUE"""),-21.0)</f>
        <v>-21</v>
      </c>
      <c r="I21" s="1">
        <f>IFERROR(__xludf.DUMMYFUNCTION("""COMPUTED_VALUE"""),18.0)</f>
        <v>18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IFERROR(__xludf.DUMMYFUNCTION("IMPORTHTML(""https://www.espn.com/soccer/standings/_/league/ENG.1/season/2013"",""table"",1)"),"2013-2014")</f>
        <v>2013-2014</v>
      </c>
      <c r="B1" s="1" t="str">
        <f>IFERROR(__xludf.DUMMYFUNCTION("IMPORTHTML(""https://www.espn.com/soccer/standings/_/league/ENG.1/season/2013"",""table"",2)"),"GP")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IFERROR(__xludf.DUMMYFUNCTION("""COMPUTED_VALUE"""),5.0)</f>
        <v>5</v>
      </c>
      <c r="E2" s="1">
        <f>IFERROR(__xludf.DUMMYFUNCTION("""COMPUTED_VALUE"""),6.0)</f>
        <v>6</v>
      </c>
      <c r="F2" s="1">
        <f>IFERROR(__xludf.DUMMYFUNCTION("""COMPUTED_VALUE"""),102.0)</f>
        <v>102</v>
      </c>
      <c r="G2" s="1">
        <f>IFERROR(__xludf.DUMMYFUNCTION("""COMPUTED_VALUE"""),37.0)</f>
        <v>37</v>
      </c>
      <c r="H2" s="1" t="str">
        <f>IFERROR(__xludf.DUMMYFUNCTION("""COMPUTED_VALUE"""),"+65")</f>
        <v>+65</v>
      </c>
      <c r="I2" s="1">
        <f>IFERROR(__xludf.DUMMYFUNCTION("""COMPUTED_VALUE"""),86.0)</f>
        <v>86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IFERROR(__xludf.DUMMYFUNCTION("""COMPUTED_VALUE"""),6.0)</f>
        <v>6</v>
      </c>
      <c r="E3" s="1">
        <f>IFERROR(__xludf.DUMMYFUNCTION("""COMPUTED_VALUE"""),6.0)</f>
        <v>6</v>
      </c>
      <c r="F3" s="1">
        <f>IFERROR(__xludf.DUMMYFUNCTION("""COMPUTED_VALUE"""),101.0)</f>
        <v>101</v>
      </c>
      <c r="G3" s="1">
        <f>IFERROR(__xludf.DUMMYFUNCTION("""COMPUTED_VALUE"""),50.0)</f>
        <v>50</v>
      </c>
      <c r="H3" s="1" t="str">
        <f>IFERROR(__xludf.DUMMYFUNCTION("""COMPUTED_VALUE"""),"+51")</f>
        <v>+51</v>
      </c>
      <c r="I3" s="1">
        <f>IFERROR(__xludf.DUMMYFUNCTION("""COMPUTED_VALUE"""),84.0)</f>
        <v>84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IFERROR(__xludf.DUMMYFUNCTION("""COMPUTED_VALUE"""),25.0)</f>
        <v>25</v>
      </c>
      <c r="D4" s="1">
        <f>IFERROR(__xludf.DUMMYFUNCTION("""COMPUTED_VALUE"""),7.0)</f>
        <v>7</v>
      </c>
      <c r="E4" s="1">
        <f>IFERROR(__xludf.DUMMYFUNCTION("""COMPUTED_VALUE"""),6.0)</f>
        <v>6</v>
      </c>
      <c r="F4" s="1">
        <f>IFERROR(__xludf.DUMMYFUNCTION("""COMPUTED_VALUE"""),71.0)</f>
        <v>71</v>
      </c>
      <c r="G4" s="1">
        <f>IFERROR(__xludf.DUMMYFUNCTION("""COMPUTED_VALUE"""),27.0)</f>
        <v>27</v>
      </c>
      <c r="H4" s="1" t="str">
        <f>IFERROR(__xludf.DUMMYFUNCTION("""COMPUTED_VALUE"""),"+44")</f>
        <v>+44</v>
      </c>
      <c r="I4" s="1">
        <f>IFERROR(__xludf.DUMMYFUNCTION("""COMPUTED_VALUE"""),82.0)</f>
        <v>82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IFERROR(__xludf.DUMMYFUNCTION("""COMPUTED_VALUE"""),24.0)</f>
        <v>24</v>
      </c>
      <c r="D5" s="1">
        <f>IFERROR(__xludf.DUMMYFUNCTION("""COMPUTED_VALUE"""),7.0)</f>
        <v>7</v>
      </c>
      <c r="E5" s="1">
        <f>IFERROR(__xludf.DUMMYFUNCTION("""COMPUTED_VALUE"""),7.0)</f>
        <v>7</v>
      </c>
      <c r="F5" s="1">
        <f>IFERROR(__xludf.DUMMYFUNCTION("""COMPUTED_VALUE"""),68.0)</f>
        <v>68</v>
      </c>
      <c r="G5" s="1">
        <f>IFERROR(__xludf.DUMMYFUNCTION("""COMPUTED_VALUE"""),41.0)</f>
        <v>41</v>
      </c>
      <c r="H5" s="1" t="str">
        <f>IFERROR(__xludf.DUMMYFUNCTION("""COMPUTED_VALUE"""),"+27")</f>
        <v>+27</v>
      </c>
      <c r="I5" s="1">
        <f>IFERROR(__xludf.DUMMYFUNCTION("""COMPUTED_VALUE"""),79.0)</f>
        <v>79</v>
      </c>
    </row>
    <row r="6">
      <c r="A6" s="1" t="str">
        <f>IFERROR(__xludf.DUMMYFUNCTION("""COMPUTED_VALUE"""),"5EVEEverton")</f>
        <v>5EVEEverton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IFERROR(__xludf.DUMMYFUNCTION("""COMPUTED_VALUE"""),9.0)</f>
        <v>9</v>
      </c>
      <c r="E6" s="1">
        <f>IFERROR(__xludf.DUMMYFUNCTION("""COMPUTED_VALUE"""),8.0)</f>
        <v>8</v>
      </c>
      <c r="F6" s="1">
        <f>IFERROR(__xludf.DUMMYFUNCTION("""COMPUTED_VALUE"""),61.0)</f>
        <v>61</v>
      </c>
      <c r="G6" s="1">
        <f>IFERROR(__xludf.DUMMYFUNCTION("""COMPUTED_VALUE"""),39.0)</f>
        <v>39</v>
      </c>
      <c r="H6" s="1" t="str">
        <f>IFERROR(__xludf.DUMMYFUNCTION("""COMPUTED_VALUE"""),"+22")</f>
        <v>+22</v>
      </c>
      <c r="I6" s="1">
        <f>IFERROR(__xludf.DUMMYFUNCTION("""COMPUTED_VALUE"""),72.0)</f>
        <v>72</v>
      </c>
    </row>
    <row r="7">
      <c r="A7" s="1" t="str">
        <f>IFERROR(__xludf.DUMMYFUNCTION("""COMPUTED_VALUE"""),"6TOTTottenham Hotspur")</f>
        <v>6TOTTottenham Hotspur</v>
      </c>
      <c r="B7" s="1">
        <f>IFERROR(__xludf.DUMMYFUNCTION("""COMPUTED_VALUE"""),38.0)</f>
        <v>38</v>
      </c>
      <c r="C7" s="1">
        <f>IFERROR(__xludf.DUMMYFUNCTION("""COMPUTED_VALUE"""),21.0)</f>
        <v>21</v>
      </c>
      <c r="D7" s="1">
        <f>IFERROR(__xludf.DUMMYFUNCTION("""COMPUTED_VALUE"""),6.0)</f>
        <v>6</v>
      </c>
      <c r="E7" s="1">
        <f>IFERROR(__xludf.DUMMYFUNCTION("""COMPUTED_VALUE"""),11.0)</f>
        <v>11</v>
      </c>
      <c r="F7" s="1">
        <f>IFERROR(__xludf.DUMMYFUNCTION("""COMPUTED_VALUE"""),55.0)</f>
        <v>55</v>
      </c>
      <c r="G7" s="1">
        <f>IFERROR(__xludf.DUMMYFUNCTION("""COMPUTED_VALUE"""),51.0)</f>
        <v>51</v>
      </c>
      <c r="H7" s="1" t="str">
        <f>IFERROR(__xludf.DUMMYFUNCTION("""COMPUTED_VALUE"""),"+4")</f>
        <v>+4</v>
      </c>
      <c r="I7" s="1">
        <f>IFERROR(__xludf.DUMMYFUNCTION("""COMPUTED_VALUE"""),69.0)</f>
        <v>69</v>
      </c>
    </row>
    <row r="8">
      <c r="A8" s="1" t="str">
        <f>IFERROR(__xludf.DUMMYFUNCTION("""COMPUTED_VALUE"""),"7MANManchester United")</f>
        <v>7MANManchester United</v>
      </c>
      <c r="B8" s="1">
        <f>IFERROR(__xludf.DUMMYFUNCTION("""COMPUTED_VALUE"""),38.0)</f>
        <v>38</v>
      </c>
      <c r="C8" s="1">
        <f>IFERROR(__xludf.DUMMYFUNCTION("""COMPUTED_VALUE"""),19.0)</f>
        <v>19</v>
      </c>
      <c r="D8" s="1">
        <f>IFERROR(__xludf.DUMMYFUNCTION("""COMPUTED_VALUE"""),7.0)</f>
        <v>7</v>
      </c>
      <c r="E8" s="1">
        <f>IFERROR(__xludf.DUMMYFUNCTION("""COMPUTED_VALUE"""),12.0)</f>
        <v>12</v>
      </c>
      <c r="F8" s="1">
        <f>IFERROR(__xludf.DUMMYFUNCTION("""COMPUTED_VALUE"""),64.0)</f>
        <v>64</v>
      </c>
      <c r="G8" s="1">
        <f>IFERROR(__xludf.DUMMYFUNCTION("""COMPUTED_VALUE"""),43.0)</f>
        <v>43</v>
      </c>
      <c r="H8" s="1" t="str">
        <f>IFERROR(__xludf.DUMMYFUNCTION("""COMPUTED_VALUE"""),"+21")</f>
        <v>+21</v>
      </c>
      <c r="I8" s="1">
        <f>IFERROR(__xludf.DUMMYFUNCTION("""COMPUTED_VALUE"""),64.0)</f>
        <v>64</v>
      </c>
    </row>
    <row r="9">
      <c r="A9" s="1" t="str">
        <f>IFERROR(__xludf.DUMMYFUNCTION("""COMPUTED_VALUE"""),"8SOUSouthampton")</f>
        <v>8SOUSouthampton</v>
      </c>
      <c r="B9" s="1">
        <f>IFERROR(__xludf.DUMMYFUNCTION("""COMPUTED_VALUE"""),38.0)</f>
        <v>38</v>
      </c>
      <c r="C9" s="1">
        <f>IFERROR(__xludf.DUMMYFUNCTION("""COMPUTED_VALUE"""),15.0)</f>
        <v>15</v>
      </c>
      <c r="D9" s="1">
        <f>IFERROR(__xludf.DUMMYFUNCTION("""COMPUTED_VALUE"""),11.0)</f>
        <v>11</v>
      </c>
      <c r="E9" s="1">
        <f>IFERROR(__xludf.DUMMYFUNCTION("""COMPUTED_VALUE"""),12.0)</f>
        <v>12</v>
      </c>
      <c r="F9" s="1">
        <f>IFERROR(__xludf.DUMMYFUNCTION("""COMPUTED_VALUE"""),54.0)</f>
        <v>54</v>
      </c>
      <c r="G9" s="1">
        <f>IFERROR(__xludf.DUMMYFUNCTION("""COMPUTED_VALUE"""),46.0)</f>
        <v>46</v>
      </c>
      <c r="H9" s="1" t="str">
        <f>IFERROR(__xludf.DUMMYFUNCTION("""COMPUTED_VALUE"""),"+8")</f>
        <v>+8</v>
      </c>
      <c r="I9" s="1">
        <f>IFERROR(__xludf.DUMMYFUNCTION("""COMPUTED_VALUE"""),56.0)</f>
        <v>56</v>
      </c>
    </row>
    <row r="10">
      <c r="A10" s="1" t="str">
        <f>IFERROR(__xludf.DUMMYFUNCTION("""COMPUTED_VALUE"""),"9STKStoke City")</f>
        <v>9STKStoke City</v>
      </c>
      <c r="B10" s="1">
        <f>IFERROR(__xludf.DUMMYFUNCTION("""COMPUTED_VALUE"""),38.0)</f>
        <v>38</v>
      </c>
      <c r="C10" s="1">
        <f>IFERROR(__xludf.DUMMYFUNCTION("""COMPUTED_VALUE"""),13.0)</f>
        <v>13</v>
      </c>
      <c r="D10" s="1">
        <f>IFERROR(__xludf.DUMMYFUNCTION("""COMPUTED_VALUE"""),11.0)</f>
        <v>11</v>
      </c>
      <c r="E10" s="1">
        <f>IFERROR(__xludf.DUMMYFUNCTION("""COMPUTED_VALUE"""),14.0)</f>
        <v>14</v>
      </c>
      <c r="F10" s="1">
        <f>IFERROR(__xludf.DUMMYFUNCTION("""COMPUTED_VALUE"""),45.0)</f>
        <v>45</v>
      </c>
      <c r="G10" s="1">
        <f>IFERROR(__xludf.DUMMYFUNCTION("""COMPUTED_VALUE"""),52.0)</f>
        <v>52</v>
      </c>
      <c r="H10" s="1">
        <f>IFERROR(__xludf.DUMMYFUNCTION("""COMPUTED_VALUE"""),-7.0)</f>
        <v>-7</v>
      </c>
      <c r="I10" s="1">
        <f>IFERROR(__xludf.DUMMYFUNCTION("""COMPUTED_VALUE"""),50.0)</f>
        <v>50</v>
      </c>
    </row>
    <row r="11">
      <c r="A11" s="1" t="str">
        <f>IFERROR(__xludf.DUMMYFUNCTION("""COMPUTED_VALUE"""),"10NEWNewcastle United")</f>
        <v>10NEWNewcastle United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IFERROR(__xludf.DUMMYFUNCTION("""COMPUTED_VALUE"""),4.0)</f>
        <v>4</v>
      </c>
      <c r="E11" s="1">
        <f>IFERROR(__xludf.DUMMYFUNCTION("""COMPUTED_VALUE"""),19.0)</f>
        <v>19</v>
      </c>
      <c r="F11" s="1">
        <f>IFERROR(__xludf.DUMMYFUNCTION("""COMPUTED_VALUE"""),43.0)</f>
        <v>43</v>
      </c>
      <c r="G11" s="1">
        <f>IFERROR(__xludf.DUMMYFUNCTION("""COMPUTED_VALUE"""),59.0)</f>
        <v>59</v>
      </c>
      <c r="H11" s="1">
        <f>IFERROR(__xludf.DUMMYFUNCTION("""COMPUTED_VALUE"""),-16.0)</f>
        <v>-16</v>
      </c>
      <c r="I11" s="1">
        <f>IFERROR(__xludf.DUMMYFUNCTION("""COMPUTED_VALUE"""),49.0)</f>
        <v>49</v>
      </c>
    </row>
    <row r="12">
      <c r="A12" s="1" t="str">
        <f>IFERROR(__xludf.DUMMYFUNCTION("""COMPUTED_VALUE"""),"11CRYCrystal Palace")</f>
        <v>11CRYCrystal Palace</v>
      </c>
      <c r="B12" s="1">
        <f>IFERROR(__xludf.DUMMYFUNCTION("""COMPUTED_VALUE"""),38.0)</f>
        <v>38</v>
      </c>
      <c r="C12" s="1">
        <f>IFERROR(__xludf.DUMMYFUNCTION("""COMPUTED_VALUE"""),13.0)</f>
        <v>13</v>
      </c>
      <c r="D12" s="1">
        <f>IFERROR(__xludf.DUMMYFUNCTION("""COMPUTED_VALUE"""),6.0)</f>
        <v>6</v>
      </c>
      <c r="E12" s="1">
        <f>IFERROR(__xludf.DUMMYFUNCTION("""COMPUTED_VALUE"""),19.0)</f>
        <v>19</v>
      </c>
      <c r="F12" s="1">
        <f>IFERROR(__xludf.DUMMYFUNCTION("""COMPUTED_VALUE"""),33.0)</f>
        <v>33</v>
      </c>
      <c r="G12" s="1">
        <f>IFERROR(__xludf.DUMMYFUNCTION("""COMPUTED_VALUE"""),48.0)</f>
        <v>48</v>
      </c>
      <c r="H12" s="1">
        <f>IFERROR(__xludf.DUMMYFUNCTION("""COMPUTED_VALUE"""),-15.0)</f>
        <v>-15</v>
      </c>
      <c r="I12" s="1">
        <f>IFERROR(__xludf.DUMMYFUNCTION("""COMPUTED_VALUE"""),45.0)</f>
        <v>45</v>
      </c>
    </row>
    <row r="13">
      <c r="A13" s="1" t="str">
        <f>IFERROR(__xludf.DUMMYFUNCTION("""COMPUTED_VALUE"""),"12SWASwansea City")</f>
        <v>12SWASwansea City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IFERROR(__xludf.DUMMYFUNCTION("""COMPUTED_VALUE"""),9.0)</f>
        <v>9</v>
      </c>
      <c r="E13" s="1">
        <f>IFERROR(__xludf.DUMMYFUNCTION("""COMPUTED_VALUE"""),18.0)</f>
        <v>18</v>
      </c>
      <c r="F13" s="1">
        <f>IFERROR(__xludf.DUMMYFUNCTION("""COMPUTED_VALUE"""),54.0)</f>
        <v>54</v>
      </c>
      <c r="G13" s="1">
        <f>IFERROR(__xludf.DUMMYFUNCTION("""COMPUTED_VALUE"""),54.0)</f>
        <v>54</v>
      </c>
      <c r="H13" s="1">
        <f>IFERROR(__xludf.DUMMYFUNCTION("""COMPUTED_VALUE"""),0.0)</f>
        <v>0</v>
      </c>
      <c r="I13" s="1">
        <f>IFERROR(__xludf.DUMMYFUNCTION("""COMPUTED_VALUE"""),42.0)</f>
        <v>42</v>
      </c>
    </row>
    <row r="14">
      <c r="A14" s="1" t="str">
        <f>IFERROR(__xludf.DUMMYFUNCTION("""COMPUTED_VALUE"""),"13WHUWest Ham United")</f>
        <v>13WHUWest Ham United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IFERROR(__xludf.DUMMYFUNCTION("""COMPUTED_VALUE"""),7.0)</f>
        <v>7</v>
      </c>
      <c r="E14" s="1">
        <f>IFERROR(__xludf.DUMMYFUNCTION("""COMPUTED_VALUE"""),20.0)</f>
        <v>20</v>
      </c>
      <c r="F14" s="1">
        <f>IFERROR(__xludf.DUMMYFUNCTION("""COMPUTED_VALUE"""),40.0)</f>
        <v>40</v>
      </c>
      <c r="G14" s="1">
        <f>IFERROR(__xludf.DUMMYFUNCTION("""COMPUTED_VALUE"""),51.0)</f>
        <v>51</v>
      </c>
      <c r="H14" s="1">
        <f>IFERROR(__xludf.DUMMYFUNCTION("""COMPUTED_VALUE"""),-11.0)</f>
        <v>-11</v>
      </c>
      <c r="I14" s="1">
        <f>IFERROR(__xludf.DUMMYFUNCTION("""COMPUTED_VALUE"""),40.0)</f>
        <v>40</v>
      </c>
    </row>
    <row r="15">
      <c r="A15" s="1" t="str">
        <f>IFERROR(__xludf.DUMMYFUNCTION("""COMPUTED_VALUE"""),"14SUNSunderland")</f>
        <v>14SUNSunderland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IFERROR(__xludf.DUMMYFUNCTION("""COMPUTED_VALUE"""),8.0)</f>
        <v>8</v>
      </c>
      <c r="E15" s="1">
        <f>IFERROR(__xludf.DUMMYFUNCTION("""COMPUTED_VALUE"""),20.0)</f>
        <v>20</v>
      </c>
      <c r="F15" s="1">
        <f>IFERROR(__xludf.DUMMYFUNCTION("""COMPUTED_VALUE"""),41.0)</f>
        <v>41</v>
      </c>
      <c r="G15" s="1">
        <f>IFERROR(__xludf.DUMMYFUNCTION("""COMPUTED_VALUE"""),60.0)</f>
        <v>60</v>
      </c>
      <c r="H15" s="1">
        <f>IFERROR(__xludf.DUMMYFUNCTION("""COMPUTED_VALUE"""),-19.0)</f>
        <v>-19</v>
      </c>
      <c r="I15" s="1">
        <f>IFERROR(__xludf.DUMMYFUNCTION("""COMPUTED_VALUE"""),38.0)</f>
        <v>38</v>
      </c>
    </row>
    <row r="16">
      <c r="A16" s="1" t="str">
        <f>IFERROR(__xludf.DUMMYFUNCTION("""COMPUTED_VALUE"""),"15AVLAston Villa")</f>
        <v>15AVLAston Villa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IFERROR(__xludf.DUMMYFUNCTION("""COMPUTED_VALUE"""),8.0)</f>
        <v>8</v>
      </c>
      <c r="E16" s="1">
        <f>IFERROR(__xludf.DUMMYFUNCTION("""COMPUTED_VALUE"""),20.0)</f>
        <v>20</v>
      </c>
      <c r="F16" s="1">
        <f>IFERROR(__xludf.DUMMYFUNCTION("""COMPUTED_VALUE"""),39.0)</f>
        <v>39</v>
      </c>
      <c r="G16" s="1">
        <f>IFERROR(__xludf.DUMMYFUNCTION("""COMPUTED_VALUE"""),61.0)</f>
        <v>61</v>
      </c>
      <c r="H16" s="1">
        <f>IFERROR(__xludf.DUMMYFUNCTION("""COMPUTED_VALUE"""),-22.0)</f>
        <v>-22</v>
      </c>
      <c r="I16" s="1">
        <f>IFERROR(__xludf.DUMMYFUNCTION("""COMPUTED_VALUE"""),38.0)</f>
        <v>38</v>
      </c>
    </row>
    <row r="17">
      <c r="A17" s="1" t="str">
        <f>IFERROR(__xludf.DUMMYFUNCTION("""COMPUTED_VALUE"""),"16HULHull City")</f>
        <v>16HULHull City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IFERROR(__xludf.DUMMYFUNCTION("""COMPUTED_VALUE"""),7.0)</f>
        <v>7</v>
      </c>
      <c r="E17" s="1">
        <f>IFERROR(__xludf.DUMMYFUNCTION("""COMPUTED_VALUE"""),21.0)</f>
        <v>21</v>
      </c>
      <c r="F17" s="1">
        <f>IFERROR(__xludf.DUMMYFUNCTION("""COMPUTED_VALUE"""),38.0)</f>
        <v>38</v>
      </c>
      <c r="G17" s="1">
        <f>IFERROR(__xludf.DUMMYFUNCTION("""COMPUTED_VALUE"""),53.0)</f>
        <v>53</v>
      </c>
      <c r="H17" s="1">
        <f>IFERROR(__xludf.DUMMYFUNCTION("""COMPUTED_VALUE"""),-15.0)</f>
        <v>-15</v>
      </c>
      <c r="I17" s="1">
        <f>IFERROR(__xludf.DUMMYFUNCTION("""COMPUTED_VALUE"""),37.0)</f>
        <v>37</v>
      </c>
    </row>
    <row r="18">
      <c r="A18" s="1" t="str">
        <f>IFERROR(__xludf.DUMMYFUNCTION("""COMPUTED_VALUE"""),"17WBAWest Bromwich Albion")</f>
        <v>17WBAWest Bromwich Albion</v>
      </c>
      <c r="B18" s="1">
        <f>IFERROR(__xludf.DUMMYFUNCTION("""COMPUTED_VALUE"""),38.0)</f>
        <v>38</v>
      </c>
      <c r="C18" s="1">
        <f>IFERROR(__xludf.DUMMYFUNCTION("""COMPUTED_VALUE"""),7.0)</f>
        <v>7</v>
      </c>
      <c r="D18" s="1">
        <f>IFERROR(__xludf.DUMMYFUNCTION("""COMPUTED_VALUE"""),15.0)</f>
        <v>15</v>
      </c>
      <c r="E18" s="1">
        <f>IFERROR(__xludf.DUMMYFUNCTION("""COMPUTED_VALUE"""),16.0)</f>
        <v>16</v>
      </c>
      <c r="F18" s="1">
        <f>IFERROR(__xludf.DUMMYFUNCTION("""COMPUTED_VALUE"""),43.0)</f>
        <v>43</v>
      </c>
      <c r="G18" s="1">
        <f>IFERROR(__xludf.DUMMYFUNCTION("""COMPUTED_VALUE"""),59.0)</f>
        <v>59</v>
      </c>
      <c r="H18" s="1">
        <f>IFERROR(__xludf.DUMMYFUNCTION("""COMPUTED_VALUE"""),-16.0)</f>
        <v>-16</v>
      </c>
      <c r="I18" s="1">
        <f>IFERROR(__xludf.DUMMYFUNCTION("""COMPUTED_VALUE"""),36.0)</f>
        <v>36</v>
      </c>
    </row>
    <row r="19">
      <c r="A19" s="1" t="str">
        <f>IFERROR(__xludf.DUMMYFUNCTION("""COMPUTED_VALUE"""),"18NORNorwich City")</f>
        <v>18NORNorwich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IFERROR(__xludf.DUMMYFUNCTION("""COMPUTED_VALUE"""),9.0)</f>
        <v>9</v>
      </c>
      <c r="E19" s="1">
        <f>IFERROR(__xludf.DUMMYFUNCTION("""COMPUTED_VALUE"""),21.0)</f>
        <v>21</v>
      </c>
      <c r="F19" s="1">
        <f>IFERROR(__xludf.DUMMYFUNCTION("""COMPUTED_VALUE"""),28.0)</f>
        <v>28</v>
      </c>
      <c r="G19" s="1">
        <f>IFERROR(__xludf.DUMMYFUNCTION("""COMPUTED_VALUE"""),62.0)</f>
        <v>62</v>
      </c>
      <c r="H19" s="1">
        <f>IFERROR(__xludf.DUMMYFUNCTION("""COMPUTED_VALUE"""),-34.0)</f>
        <v>-34</v>
      </c>
      <c r="I19" s="1">
        <f>IFERROR(__xludf.DUMMYFUNCTION("""COMPUTED_VALUE"""),33.0)</f>
        <v>33</v>
      </c>
    </row>
    <row r="20">
      <c r="A20" s="1" t="str">
        <f>IFERROR(__xludf.DUMMYFUNCTION("""COMPUTED_VALUE"""),"19FULFulham")</f>
        <v>19FULFulham</v>
      </c>
      <c r="B20" s="1">
        <f>IFERROR(__xludf.DUMMYFUNCTION("""COMPUTED_VALUE"""),38.0)</f>
        <v>38</v>
      </c>
      <c r="C20" s="1">
        <f>IFERROR(__xludf.DUMMYFUNCTION("""COMPUTED_VALUE"""),9.0)</f>
        <v>9</v>
      </c>
      <c r="D20" s="1">
        <f>IFERROR(__xludf.DUMMYFUNCTION("""COMPUTED_VALUE"""),5.0)</f>
        <v>5</v>
      </c>
      <c r="E20" s="1">
        <f>IFERROR(__xludf.DUMMYFUNCTION("""COMPUTED_VALUE"""),24.0)</f>
        <v>24</v>
      </c>
      <c r="F20" s="1">
        <f>IFERROR(__xludf.DUMMYFUNCTION("""COMPUTED_VALUE"""),40.0)</f>
        <v>40</v>
      </c>
      <c r="G20" s="1">
        <f>IFERROR(__xludf.DUMMYFUNCTION("""COMPUTED_VALUE"""),85.0)</f>
        <v>85</v>
      </c>
      <c r="H20" s="1">
        <f>IFERROR(__xludf.DUMMYFUNCTION("""COMPUTED_VALUE"""),-45.0)</f>
        <v>-45</v>
      </c>
      <c r="I20" s="1">
        <f>IFERROR(__xludf.DUMMYFUNCTION("""COMPUTED_VALUE"""),32.0)</f>
        <v>32</v>
      </c>
    </row>
    <row r="21">
      <c r="A21" s="1" t="str">
        <f>IFERROR(__xludf.DUMMYFUNCTION("""COMPUTED_VALUE"""),"20CARCardiff City")</f>
        <v>20CARCardiff City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IFERROR(__xludf.DUMMYFUNCTION("""COMPUTED_VALUE"""),9.0)</f>
        <v>9</v>
      </c>
      <c r="E21" s="1">
        <f>IFERROR(__xludf.DUMMYFUNCTION("""COMPUTED_VALUE"""),22.0)</f>
        <v>22</v>
      </c>
      <c r="F21" s="1">
        <f>IFERROR(__xludf.DUMMYFUNCTION("""COMPUTED_VALUE"""),32.0)</f>
        <v>32</v>
      </c>
      <c r="G21" s="1">
        <f>IFERROR(__xludf.DUMMYFUNCTION("""COMPUTED_VALUE"""),74.0)</f>
        <v>74</v>
      </c>
      <c r="H21" s="1">
        <f>IFERROR(__xludf.DUMMYFUNCTION("""COMPUTED_VALUE"""),-42.0)</f>
        <v>-42</v>
      </c>
      <c r="I21" s="1">
        <f>IFERROR(__xludf.DUMMYFUNCTION("""COMPUTED_VALUE"""),30.0)</f>
        <v>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IFERROR(__xludf.DUMMYFUNCTION("IMPORTHTML(""https://www.espn.com/soccer/standings/_/league/ENG.1/season/2012"",""table"",1)"),"2012-2013")</f>
        <v>2012-2013</v>
      </c>
      <c r="B1" s="1" t="str">
        <f>IFERROR(__xludf.DUMMYFUNCTION("IMPORTHTML(""https://www.espn.com/soccer/standings/_/league/ENG.1/season/2012"",""table"",2)"),"GP")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IFERROR(__xludf.DUMMYFUNCTION("""COMPUTED_VALUE"""),86.0)</f>
        <v>86</v>
      </c>
      <c r="G2" s="1">
        <f>IFERROR(__xludf.DUMMYFUNCTION("""COMPUTED_VALUE"""),43.0)</f>
        <v>43</v>
      </c>
      <c r="H2" s="1" t="str">
        <f>IFERROR(__xludf.DUMMYFUNCTION("""COMPUTED_VALUE"""),"+43")</f>
        <v>+43</v>
      </c>
      <c r="I2" s="1">
        <f>IFERROR(__xludf.DUMMYFUNCTION("""COMPUTED_VALUE"""),89.0)</f>
        <v>89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IFERROR(__xludf.DUMMYFUNCTION("""COMPUTED_VALUE"""),38.0)</f>
        <v>38</v>
      </c>
      <c r="C3" s="1">
        <f>IFERROR(__xludf.DUMMYFUNCTION("""COMPUTED_VALUE"""),23.0)</f>
        <v>23</v>
      </c>
      <c r="D3" s="1">
        <f>IFERROR(__xludf.DUMMYFUNCTION("""COMPUTED_VALUE"""),9.0)</f>
        <v>9</v>
      </c>
      <c r="E3" s="1">
        <f>IFERROR(__xludf.DUMMYFUNCTION("""COMPUTED_VALUE"""),6.0)</f>
        <v>6</v>
      </c>
      <c r="F3" s="1">
        <f>IFERROR(__xludf.DUMMYFUNCTION("""COMPUTED_VALUE"""),66.0)</f>
        <v>66</v>
      </c>
      <c r="G3" s="1">
        <f>IFERROR(__xludf.DUMMYFUNCTION("""COMPUTED_VALUE"""),34.0)</f>
        <v>34</v>
      </c>
      <c r="H3" s="1" t="str">
        <f>IFERROR(__xludf.DUMMYFUNCTION("""COMPUTED_VALUE"""),"+32")</f>
        <v>+32</v>
      </c>
      <c r="I3" s="1">
        <f>IFERROR(__xludf.DUMMYFUNCTION("""COMPUTED_VALUE"""),78.0)</f>
        <v>78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IFERROR(__xludf.DUMMYFUNCTION("""COMPUTED_VALUE"""),22.0)</f>
        <v>22</v>
      </c>
      <c r="D4" s="1">
        <f>IFERROR(__xludf.DUMMYFUNCTION("""COMPUTED_VALUE"""),9.0)</f>
        <v>9</v>
      </c>
      <c r="E4" s="1">
        <f>IFERROR(__xludf.DUMMYFUNCTION("""COMPUTED_VALUE"""),7.0)</f>
        <v>7</v>
      </c>
      <c r="F4" s="1">
        <f>IFERROR(__xludf.DUMMYFUNCTION("""COMPUTED_VALUE"""),75.0)</f>
        <v>75</v>
      </c>
      <c r="G4" s="1">
        <f>IFERROR(__xludf.DUMMYFUNCTION("""COMPUTED_VALUE"""),39.0)</f>
        <v>39</v>
      </c>
      <c r="H4" s="1" t="str">
        <f>IFERROR(__xludf.DUMMYFUNCTION("""COMPUTED_VALUE"""),"+36")</f>
        <v>+36</v>
      </c>
      <c r="I4" s="1">
        <f>IFERROR(__xludf.DUMMYFUNCTION("""COMPUTED_VALUE"""),75.0)</f>
        <v>75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IFERROR(__xludf.DUMMYFUNCTION("""COMPUTED_VALUE"""),10.0)</f>
        <v>10</v>
      </c>
      <c r="E5" s="1">
        <f>IFERROR(__xludf.DUMMYFUNCTION("""COMPUTED_VALUE"""),7.0)</f>
        <v>7</v>
      </c>
      <c r="F5" s="1">
        <f>IFERROR(__xludf.DUMMYFUNCTION("""COMPUTED_VALUE"""),72.0)</f>
        <v>72</v>
      </c>
      <c r="G5" s="1">
        <f>IFERROR(__xludf.DUMMYFUNCTION("""COMPUTED_VALUE"""),37.0)</f>
        <v>37</v>
      </c>
      <c r="H5" s="1" t="str">
        <f>IFERROR(__xludf.DUMMYFUNCTION("""COMPUTED_VALUE"""),"+35")</f>
        <v>+35</v>
      </c>
      <c r="I5" s="1">
        <f>IFERROR(__xludf.DUMMYFUNCTION("""COMPUTED_VALUE"""),73.0)</f>
        <v>73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IFERROR(__xludf.DUMMYFUNCTION("""COMPUTED_VALUE"""),9.0)</f>
        <v>9</v>
      </c>
      <c r="E6" s="1">
        <f>IFERROR(__xludf.DUMMYFUNCTION("""COMPUTED_VALUE"""),8.0)</f>
        <v>8</v>
      </c>
      <c r="F6" s="1">
        <f>IFERROR(__xludf.DUMMYFUNCTION("""COMPUTED_VALUE"""),66.0)</f>
        <v>66</v>
      </c>
      <c r="G6" s="1">
        <f>IFERROR(__xludf.DUMMYFUNCTION("""COMPUTED_VALUE"""),46.0)</f>
        <v>46</v>
      </c>
      <c r="H6" s="1" t="str">
        <f>IFERROR(__xludf.DUMMYFUNCTION("""COMPUTED_VALUE"""),"+20")</f>
        <v>+20</v>
      </c>
      <c r="I6" s="1">
        <f>IFERROR(__xludf.DUMMYFUNCTION("""COMPUTED_VALUE"""),72.0)</f>
        <v>72</v>
      </c>
    </row>
    <row r="7">
      <c r="A7" s="1" t="str">
        <f>IFERROR(__xludf.DUMMYFUNCTION("""COMPUTED_VALUE"""),"6EVEEverton")</f>
        <v>6EVEEverton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IFERROR(__xludf.DUMMYFUNCTION("""COMPUTED_VALUE"""),15.0)</f>
        <v>15</v>
      </c>
      <c r="E7" s="1">
        <f>IFERROR(__xludf.DUMMYFUNCTION("""COMPUTED_VALUE"""),7.0)</f>
        <v>7</v>
      </c>
      <c r="F7" s="1">
        <f>IFERROR(__xludf.DUMMYFUNCTION("""COMPUTED_VALUE"""),55.0)</f>
        <v>55</v>
      </c>
      <c r="G7" s="1">
        <f>IFERROR(__xludf.DUMMYFUNCTION("""COMPUTED_VALUE"""),40.0)</f>
        <v>40</v>
      </c>
      <c r="H7" s="1" t="str">
        <f>IFERROR(__xludf.DUMMYFUNCTION("""COMPUTED_VALUE"""),"+15")</f>
        <v>+15</v>
      </c>
      <c r="I7" s="1">
        <f>IFERROR(__xludf.DUMMYFUNCTION("""COMPUTED_VALUE"""),63.0)</f>
        <v>63</v>
      </c>
    </row>
    <row r="8">
      <c r="A8" s="1" t="str">
        <f>IFERROR(__xludf.DUMMYFUNCTION("""COMPUTED_VALUE"""),"7LIVLiverpool")</f>
        <v>7LIVLiverpool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IFERROR(__xludf.DUMMYFUNCTION("""COMPUTED_VALUE"""),13.0)</f>
        <v>13</v>
      </c>
      <c r="E8" s="1">
        <f>IFERROR(__xludf.DUMMYFUNCTION("""COMPUTED_VALUE"""),9.0)</f>
        <v>9</v>
      </c>
      <c r="F8" s="1">
        <f>IFERROR(__xludf.DUMMYFUNCTION("""COMPUTED_VALUE"""),71.0)</f>
        <v>71</v>
      </c>
      <c r="G8" s="1">
        <f>IFERROR(__xludf.DUMMYFUNCTION("""COMPUTED_VALUE"""),43.0)</f>
        <v>43</v>
      </c>
      <c r="H8" s="1" t="str">
        <f>IFERROR(__xludf.DUMMYFUNCTION("""COMPUTED_VALUE"""),"+28")</f>
        <v>+28</v>
      </c>
      <c r="I8" s="1">
        <f>IFERROR(__xludf.DUMMYFUNCTION("""COMPUTED_VALUE"""),61.0)</f>
        <v>61</v>
      </c>
    </row>
    <row r="9">
      <c r="A9" s="1" t="str">
        <f>IFERROR(__xludf.DUMMYFUNCTION("""COMPUTED_VALUE"""),"8WBAWest Bromwich Albion")</f>
        <v>8WBAWest Bromwich Albion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IFERROR(__xludf.DUMMYFUNCTION("""COMPUTED_VALUE"""),7.0)</f>
        <v>7</v>
      </c>
      <c r="E9" s="1">
        <f>IFERROR(__xludf.DUMMYFUNCTION("""COMPUTED_VALUE"""),17.0)</f>
        <v>17</v>
      </c>
      <c r="F9" s="1">
        <f>IFERROR(__xludf.DUMMYFUNCTION("""COMPUTED_VALUE"""),53.0)</f>
        <v>53</v>
      </c>
      <c r="G9" s="1">
        <f>IFERROR(__xludf.DUMMYFUNCTION("""COMPUTED_VALUE"""),57.0)</f>
        <v>57</v>
      </c>
      <c r="H9" s="1">
        <f>IFERROR(__xludf.DUMMYFUNCTION("""COMPUTED_VALUE"""),-4.0)</f>
        <v>-4</v>
      </c>
      <c r="I9" s="1">
        <f>IFERROR(__xludf.DUMMYFUNCTION("""COMPUTED_VALUE"""),49.0)</f>
        <v>49</v>
      </c>
    </row>
    <row r="10">
      <c r="A10" s="1" t="str">
        <f>IFERROR(__xludf.DUMMYFUNCTION("""COMPUTED_VALUE"""),"9SWASwansea City")</f>
        <v>9SWASwansea City</v>
      </c>
      <c r="B10" s="1">
        <f>IFERROR(__xludf.DUMMYFUNCTION("""COMPUTED_VALUE"""),38.0)</f>
        <v>38</v>
      </c>
      <c r="C10" s="1">
        <f>IFERROR(__xludf.DUMMYFUNCTION("""COMPUTED_VALUE"""),11.0)</f>
        <v>11</v>
      </c>
      <c r="D10" s="1">
        <f>IFERROR(__xludf.DUMMYFUNCTION("""COMPUTED_VALUE"""),13.0)</f>
        <v>13</v>
      </c>
      <c r="E10" s="1">
        <f>IFERROR(__xludf.DUMMYFUNCTION("""COMPUTED_VALUE"""),14.0)</f>
        <v>14</v>
      </c>
      <c r="F10" s="1">
        <f>IFERROR(__xludf.DUMMYFUNCTION("""COMPUTED_VALUE"""),47.0)</f>
        <v>47</v>
      </c>
      <c r="G10" s="1">
        <f>IFERROR(__xludf.DUMMYFUNCTION("""COMPUTED_VALUE"""),51.0)</f>
        <v>51</v>
      </c>
      <c r="H10" s="1">
        <f>IFERROR(__xludf.DUMMYFUNCTION("""COMPUTED_VALUE"""),-4.0)</f>
        <v>-4</v>
      </c>
      <c r="I10" s="1">
        <f>IFERROR(__xludf.DUMMYFUNCTION("""COMPUTED_VALUE"""),46.0)</f>
        <v>46</v>
      </c>
    </row>
    <row r="11">
      <c r="A11" s="1" t="str">
        <f>IFERROR(__xludf.DUMMYFUNCTION("""COMPUTED_VALUE"""),"10WHUWest Ham United")</f>
        <v>10WHUWest Ham United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IFERROR(__xludf.DUMMYFUNCTION("""COMPUTED_VALUE"""),10.0)</f>
        <v>10</v>
      </c>
      <c r="E11" s="1">
        <f>IFERROR(__xludf.DUMMYFUNCTION("""COMPUTED_VALUE"""),16.0)</f>
        <v>16</v>
      </c>
      <c r="F11" s="1">
        <f>IFERROR(__xludf.DUMMYFUNCTION("""COMPUTED_VALUE"""),45.0)</f>
        <v>45</v>
      </c>
      <c r="G11" s="1">
        <f>IFERROR(__xludf.DUMMYFUNCTION("""COMPUTED_VALUE"""),53.0)</f>
        <v>53</v>
      </c>
      <c r="H11" s="1">
        <f>IFERROR(__xludf.DUMMYFUNCTION("""COMPUTED_VALUE"""),-8.0)</f>
        <v>-8</v>
      </c>
      <c r="I11" s="1">
        <f>IFERROR(__xludf.DUMMYFUNCTION("""COMPUTED_VALUE"""),46.0)</f>
        <v>46</v>
      </c>
    </row>
    <row r="12">
      <c r="A12" s="1" t="str">
        <f>IFERROR(__xludf.DUMMYFUNCTION("""COMPUTED_VALUE"""),"11NORNorwich City")</f>
        <v>11NORNorwich City</v>
      </c>
      <c r="B12" s="1">
        <f>IFERROR(__xludf.DUMMYFUNCTION("""COMPUTED_VALUE"""),38.0)</f>
        <v>38</v>
      </c>
      <c r="C12" s="1">
        <f>IFERROR(__xludf.DUMMYFUNCTION("""COMPUTED_VALUE"""),10.0)</f>
        <v>10</v>
      </c>
      <c r="D12" s="1">
        <f>IFERROR(__xludf.DUMMYFUNCTION("""COMPUTED_VALUE"""),14.0)</f>
        <v>14</v>
      </c>
      <c r="E12" s="1">
        <f>IFERROR(__xludf.DUMMYFUNCTION("""COMPUTED_VALUE"""),14.0)</f>
        <v>14</v>
      </c>
      <c r="F12" s="1">
        <f>IFERROR(__xludf.DUMMYFUNCTION("""COMPUTED_VALUE"""),41.0)</f>
        <v>41</v>
      </c>
      <c r="G12" s="1">
        <f>IFERROR(__xludf.DUMMYFUNCTION("""COMPUTED_VALUE"""),58.0)</f>
        <v>58</v>
      </c>
      <c r="H12" s="1">
        <f>IFERROR(__xludf.DUMMYFUNCTION("""COMPUTED_VALUE"""),-17.0)</f>
        <v>-17</v>
      </c>
      <c r="I12" s="1">
        <f>IFERROR(__xludf.DUMMYFUNCTION("""COMPUTED_VALUE"""),44.0)</f>
        <v>44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IFERROR(__xludf.DUMMYFUNCTION("""COMPUTED_VALUE"""),10.0)</f>
        <v>10</v>
      </c>
      <c r="E13" s="1">
        <f>IFERROR(__xludf.DUMMYFUNCTION("""COMPUTED_VALUE"""),17.0)</f>
        <v>17</v>
      </c>
      <c r="F13" s="1">
        <f>IFERROR(__xludf.DUMMYFUNCTION("""COMPUTED_VALUE"""),50.0)</f>
        <v>50</v>
      </c>
      <c r="G13" s="1">
        <f>IFERROR(__xludf.DUMMYFUNCTION("""COMPUTED_VALUE"""),60.0)</f>
        <v>60</v>
      </c>
      <c r="H13" s="1">
        <f>IFERROR(__xludf.DUMMYFUNCTION("""COMPUTED_VALUE"""),-10.0)</f>
        <v>-10</v>
      </c>
      <c r="I13" s="1">
        <f>IFERROR(__xludf.DUMMYFUNCTION("""COMPUTED_VALUE"""),43.0)</f>
        <v>43</v>
      </c>
    </row>
    <row r="14">
      <c r="A14" s="1" t="str">
        <f>IFERROR(__xludf.DUMMYFUNCTION("""COMPUTED_VALUE"""),"13STKStoke City")</f>
        <v>13STKStoke City</v>
      </c>
      <c r="B14" s="1">
        <f>IFERROR(__xludf.DUMMYFUNCTION("""COMPUTED_VALUE"""),38.0)</f>
        <v>38</v>
      </c>
      <c r="C14" s="1">
        <f>IFERROR(__xludf.DUMMYFUNCTION("""COMPUTED_VALUE"""),9.0)</f>
        <v>9</v>
      </c>
      <c r="D14" s="1">
        <f>IFERROR(__xludf.DUMMYFUNCTION("""COMPUTED_VALUE"""),15.0)</f>
        <v>15</v>
      </c>
      <c r="E14" s="1">
        <f>IFERROR(__xludf.DUMMYFUNCTION("""COMPUTED_VALUE"""),14.0)</f>
        <v>14</v>
      </c>
      <c r="F14" s="1">
        <f>IFERROR(__xludf.DUMMYFUNCTION("""COMPUTED_VALUE"""),34.0)</f>
        <v>34</v>
      </c>
      <c r="G14" s="1">
        <f>IFERROR(__xludf.DUMMYFUNCTION("""COMPUTED_VALUE"""),45.0)</f>
        <v>45</v>
      </c>
      <c r="H14" s="1">
        <f>IFERROR(__xludf.DUMMYFUNCTION("""COMPUTED_VALUE"""),-11.0)</f>
        <v>-11</v>
      </c>
      <c r="I14" s="1">
        <f>IFERROR(__xludf.DUMMYFUNCTION("""COMPUTED_VALUE"""),42.0)</f>
        <v>42</v>
      </c>
    </row>
    <row r="15">
      <c r="A15" s="1" t="str">
        <f>IFERROR(__xludf.DUMMYFUNCTION("""COMPUTED_VALUE"""),"14SOUSouthampton")</f>
        <v>14SOUSouthampton</v>
      </c>
      <c r="B15" s="1">
        <f>IFERROR(__xludf.DUMMYFUNCTION("""COMPUTED_VALUE"""),38.0)</f>
        <v>38</v>
      </c>
      <c r="C15" s="1">
        <f>IFERROR(__xludf.DUMMYFUNCTION("""COMPUTED_VALUE"""),9.0)</f>
        <v>9</v>
      </c>
      <c r="D15" s="1">
        <f>IFERROR(__xludf.DUMMYFUNCTION("""COMPUTED_VALUE"""),14.0)</f>
        <v>14</v>
      </c>
      <c r="E15" s="1">
        <f>IFERROR(__xludf.DUMMYFUNCTION("""COMPUTED_VALUE"""),15.0)</f>
        <v>15</v>
      </c>
      <c r="F15" s="1">
        <f>IFERROR(__xludf.DUMMYFUNCTION("""COMPUTED_VALUE"""),49.0)</f>
        <v>49</v>
      </c>
      <c r="G15" s="1">
        <f>IFERROR(__xludf.DUMMYFUNCTION("""COMPUTED_VALUE"""),60.0)</f>
        <v>60</v>
      </c>
      <c r="H15" s="1">
        <f>IFERROR(__xludf.DUMMYFUNCTION("""COMPUTED_VALUE"""),-11.0)</f>
        <v>-11</v>
      </c>
      <c r="I15" s="1">
        <f>IFERROR(__xludf.DUMMYFUNCTION("""COMPUTED_VALUE"""),41.0)</f>
        <v>41</v>
      </c>
    </row>
    <row r="16">
      <c r="A16" s="1" t="str">
        <f>IFERROR(__xludf.DUMMYFUNCTION("""COMPUTED_VALUE"""),"15AVLAston Villa")</f>
        <v>15AVLAston Villa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IFERROR(__xludf.DUMMYFUNCTION("""COMPUTED_VALUE"""),11.0)</f>
        <v>11</v>
      </c>
      <c r="E16" s="1">
        <f>IFERROR(__xludf.DUMMYFUNCTION("""COMPUTED_VALUE"""),17.0)</f>
        <v>17</v>
      </c>
      <c r="F16" s="1">
        <f>IFERROR(__xludf.DUMMYFUNCTION("""COMPUTED_VALUE"""),47.0)</f>
        <v>47</v>
      </c>
      <c r="G16" s="1">
        <f>IFERROR(__xludf.DUMMYFUNCTION("""COMPUTED_VALUE"""),69.0)</f>
        <v>69</v>
      </c>
      <c r="H16" s="1">
        <f>IFERROR(__xludf.DUMMYFUNCTION("""COMPUTED_VALUE"""),-22.0)</f>
        <v>-22</v>
      </c>
      <c r="I16" s="1">
        <f>IFERROR(__xludf.DUMMYFUNCTION("""COMPUTED_VALUE"""),41.0)</f>
        <v>41</v>
      </c>
    </row>
    <row r="17">
      <c r="A17" s="1" t="str">
        <f>IFERROR(__xludf.DUMMYFUNCTION("""COMPUTED_VALUE"""),"16NEWNewcastle United")</f>
        <v>16NEWNewcastle United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IFERROR(__xludf.DUMMYFUNCTION("""COMPUTED_VALUE"""),8.0)</f>
        <v>8</v>
      </c>
      <c r="E17" s="1">
        <f>IFERROR(__xludf.DUMMYFUNCTION("""COMPUTED_VALUE"""),19.0)</f>
        <v>19</v>
      </c>
      <c r="F17" s="1">
        <f>IFERROR(__xludf.DUMMYFUNCTION("""COMPUTED_VALUE"""),45.0)</f>
        <v>45</v>
      </c>
      <c r="G17" s="1">
        <f>IFERROR(__xludf.DUMMYFUNCTION("""COMPUTED_VALUE"""),68.0)</f>
        <v>68</v>
      </c>
      <c r="H17" s="1">
        <f>IFERROR(__xludf.DUMMYFUNCTION("""COMPUTED_VALUE"""),-23.0)</f>
        <v>-23</v>
      </c>
      <c r="I17" s="1">
        <f>IFERROR(__xludf.DUMMYFUNCTION("""COMPUTED_VALUE"""),41.0)</f>
        <v>41</v>
      </c>
    </row>
    <row r="18">
      <c r="A18" s="1" t="str">
        <f>IFERROR(__xludf.DUMMYFUNCTION("""COMPUTED_VALUE"""),"17SUNSunderland")</f>
        <v>17SUNSunderland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IFERROR(__xludf.DUMMYFUNCTION("""COMPUTED_VALUE"""),12.0)</f>
        <v>12</v>
      </c>
      <c r="E18" s="1">
        <f>IFERROR(__xludf.DUMMYFUNCTION("""COMPUTED_VALUE"""),17.0)</f>
        <v>17</v>
      </c>
      <c r="F18" s="1">
        <f>IFERROR(__xludf.DUMMYFUNCTION("""COMPUTED_VALUE"""),41.0)</f>
        <v>41</v>
      </c>
      <c r="G18" s="1">
        <f>IFERROR(__xludf.DUMMYFUNCTION("""COMPUTED_VALUE"""),54.0)</f>
        <v>54</v>
      </c>
      <c r="H18" s="1">
        <f>IFERROR(__xludf.DUMMYFUNCTION("""COMPUTED_VALUE"""),-13.0)</f>
        <v>-13</v>
      </c>
      <c r="I18" s="1">
        <f>IFERROR(__xludf.DUMMYFUNCTION("""COMPUTED_VALUE"""),39.0)</f>
        <v>39</v>
      </c>
    </row>
    <row r="19">
      <c r="A19" s="1" t="str">
        <f>IFERROR(__xludf.DUMMYFUNCTION("""COMPUTED_VALUE"""),"18WGAWigan Athletic")</f>
        <v>18WGAWigan Athletic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IFERROR(__xludf.DUMMYFUNCTION("""COMPUTED_VALUE"""),9.0)</f>
        <v>9</v>
      </c>
      <c r="E19" s="1">
        <f>IFERROR(__xludf.DUMMYFUNCTION("""COMPUTED_VALUE"""),20.0)</f>
        <v>20</v>
      </c>
      <c r="F19" s="1">
        <f>IFERROR(__xludf.DUMMYFUNCTION("""COMPUTED_VALUE"""),47.0)</f>
        <v>47</v>
      </c>
      <c r="G19" s="1">
        <f>IFERROR(__xludf.DUMMYFUNCTION("""COMPUTED_VALUE"""),73.0)</f>
        <v>73</v>
      </c>
      <c r="H19" s="1">
        <f>IFERROR(__xludf.DUMMYFUNCTION("""COMPUTED_VALUE"""),-26.0)</f>
        <v>-26</v>
      </c>
      <c r="I19" s="1">
        <f>IFERROR(__xludf.DUMMYFUNCTION("""COMPUTED_VALUE"""),36.0)</f>
        <v>36</v>
      </c>
    </row>
    <row r="20">
      <c r="A20" s="1" t="str">
        <f>IFERROR(__xludf.DUMMYFUNCTION("""COMPUTED_VALUE"""),"19REAReading")</f>
        <v>19REAReading</v>
      </c>
      <c r="B20" s="1">
        <f>IFERROR(__xludf.DUMMYFUNCTION("""COMPUTED_VALUE"""),38.0)</f>
        <v>38</v>
      </c>
      <c r="C20" s="1">
        <f>IFERROR(__xludf.DUMMYFUNCTION("""COMPUTED_VALUE"""),6.0)</f>
        <v>6</v>
      </c>
      <c r="D20" s="1">
        <f>IFERROR(__xludf.DUMMYFUNCTION("""COMPUTED_VALUE"""),10.0)</f>
        <v>10</v>
      </c>
      <c r="E20" s="1">
        <f>IFERROR(__xludf.DUMMYFUNCTION("""COMPUTED_VALUE"""),22.0)</f>
        <v>22</v>
      </c>
      <c r="F20" s="1">
        <f>IFERROR(__xludf.DUMMYFUNCTION("""COMPUTED_VALUE"""),43.0)</f>
        <v>43</v>
      </c>
      <c r="G20" s="1">
        <f>IFERROR(__xludf.DUMMYFUNCTION("""COMPUTED_VALUE"""),73.0)</f>
        <v>73</v>
      </c>
      <c r="H20" s="1">
        <f>IFERROR(__xludf.DUMMYFUNCTION("""COMPUTED_VALUE"""),-30.0)</f>
        <v>-30</v>
      </c>
      <c r="I20" s="1">
        <f>IFERROR(__xludf.DUMMYFUNCTION("""COMPUTED_VALUE"""),28.0)</f>
        <v>28</v>
      </c>
    </row>
    <row r="21">
      <c r="A21" s="1" t="str">
        <f>IFERROR(__xludf.DUMMYFUNCTION("""COMPUTED_VALUE"""),"20QPRQueens Park Rangers")</f>
        <v>20QPRQueens Park Rangers</v>
      </c>
      <c r="B21" s="1">
        <f>IFERROR(__xludf.DUMMYFUNCTION("""COMPUTED_VALUE"""),38.0)</f>
        <v>38</v>
      </c>
      <c r="C21" s="1">
        <f>IFERROR(__xludf.DUMMYFUNCTION("""COMPUTED_VALUE"""),4.0)</f>
        <v>4</v>
      </c>
      <c r="D21" s="1">
        <f>IFERROR(__xludf.DUMMYFUNCTION("""COMPUTED_VALUE"""),13.0)</f>
        <v>13</v>
      </c>
      <c r="E21" s="1">
        <f>IFERROR(__xludf.DUMMYFUNCTION("""COMPUTED_VALUE"""),21.0)</f>
        <v>21</v>
      </c>
      <c r="F21" s="1">
        <f>IFERROR(__xludf.DUMMYFUNCTION("""COMPUTED_VALUE"""),30.0)</f>
        <v>30</v>
      </c>
      <c r="G21" s="1">
        <f>IFERROR(__xludf.DUMMYFUNCTION("""COMPUTED_VALUE"""),60.0)</f>
        <v>60</v>
      </c>
      <c r="H21" s="1">
        <f>IFERROR(__xludf.DUMMYFUNCTION("""COMPUTED_VALUE"""),-30.0)</f>
        <v>-30</v>
      </c>
      <c r="I21" s="1">
        <f>IFERROR(__xludf.DUMMYFUNCTION("""COMPUTED_VALUE"""),25.0)</f>
        <v>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IFERROR(__xludf.DUMMYFUNCTION("IMPORTHTML(""https://www.espn.com/soccer/standings/_/league/ENG.1/season/2011"",""table"",1)"),"2011-2012")</f>
        <v>2011-2012</v>
      </c>
      <c r="B1" s="1" t="str">
        <f>IFERROR(__xludf.DUMMYFUNCTION("IMPORTHTML(""https://www.espn.com/soccer/standings/_/league/ENG.1/season/2011"",""table"",2)"),"GP")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IFERROR(__xludf.DUMMYFUNCTION("""COMPUTED_VALUE"""),93.0)</f>
        <v>93</v>
      </c>
      <c r="G2" s="1">
        <f>IFERROR(__xludf.DUMMYFUNCTION("""COMPUTED_VALUE"""),29.0)</f>
        <v>29</v>
      </c>
      <c r="H2" s="1" t="str">
        <f>IFERROR(__xludf.DUMMYFUNCTION("""COMPUTED_VALUE"""),"+64")</f>
        <v>+64</v>
      </c>
      <c r="I2" s="1">
        <f>IFERROR(__xludf.DUMMYFUNCTION("""COMPUTED_VALUE"""),89.0)</f>
        <v>89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IFERROR(__xludf.DUMMYFUNCTION("""COMPUTED_VALUE"""),28.0)</f>
        <v>28</v>
      </c>
      <c r="D3" s="1">
        <f>IFERROR(__xludf.DUMMYFUNCTION("""COMPUTED_VALUE"""),5.0)</f>
        <v>5</v>
      </c>
      <c r="E3" s="1">
        <f>IFERROR(__xludf.DUMMYFUNCTION("""COMPUTED_VALUE"""),5.0)</f>
        <v>5</v>
      </c>
      <c r="F3" s="1">
        <f>IFERROR(__xludf.DUMMYFUNCTION("""COMPUTED_VALUE"""),89.0)</f>
        <v>89</v>
      </c>
      <c r="G3" s="1">
        <f>IFERROR(__xludf.DUMMYFUNCTION("""COMPUTED_VALUE"""),33.0)</f>
        <v>33</v>
      </c>
      <c r="H3" s="1" t="str">
        <f>IFERROR(__xludf.DUMMYFUNCTION("""COMPUTED_VALUE"""),"+56")</f>
        <v>+56</v>
      </c>
      <c r="I3" s="1">
        <f>IFERROR(__xludf.DUMMYFUNCTION("""COMPUTED_VALUE"""),89.0)</f>
        <v>89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IFERROR(__xludf.DUMMYFUNCTION("""COMPUTED_VALUE"""),7.0)</f>
        <v>7</v>
      </c>
      <c r="E4" s="1">
        <f>IFERROR(__xludf.DUMMYFUNCTION("""COMPUTED_VALUE"""),10.0)</f>
        <v>10</v>
      </c>
      <c r="F4" s="1">
        <f>IFERROR(__xludf.DUMMYFUNCTION("""COMPUTED_VALUE"""),74.0)</f>
        <v>74</v>
      </c>
      <c r="G4" s="1">
        <f>IFERROR(__xludf.DUMMYFUNCTION("""COMPUTED_VALUE"""),49.0)</f>
        <v>49</v>
      </c>
      <c r="H4" s="1" t="str">
        <f>IFERROR(__xludf.DUMMYFUNCTION("""COMPUTED_VALUE"""),"+25")</f>
        <v>+25</v>
      </c>
      <c r="I4" s="1">
        <f>IFERROR(__xludf.DUMMYFUNCTION("""COMPUTED_VALUE"""),70.0)</f>
        <v>70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IFERROR(__xludf.DUMMYFUNCTION("""COMPUTED_VALUE"""),9.0)</f>
        <v>9</v>
      </c>
      <c r="E5" s="1">
        <f>IFERROR(__xludf.DUMMYFUNCTION("""COMPUTED_VALUE"""),9.0)</f>
        <v>9</v>
      </c>
      <c r="F5" s="1">
        <f>IFERROR(__xludf.DUMMYFUNCTION("""COMPUTED_VALUE"""),66.0)</f>
        <v>66</v>
      </c>
      <c r="G5" s="1">
        <f>IFERROR(__xludf.DUMMYFUNCTION("""COMPUTED_VALUE"""),41.0)</f>
        <v>41</v>
      </c>
      <c r="H5" s="1" t="str">
        <f>IFERROR(__xludf.DUMMYFUNCTION("""COMPUTED_VALUE"""),"+25")</f>
        <v>+25</v>
      </c>
      <c r="I5" s="1">
        <f>IFERROR(__xludf.DUMMYFUNCTION("""COMPUTED_VALUE"""),69.0)</f>
        <v>69</v>
      </c>
    </row>
    <row r="6">
      <c r="A6" s="1" t="str">
        <f>IFERROR(__xludf.DUMMYFUNCTION("""COMPUTED_VALUE"""),"5NEWNewcastle United")</f>
        <v>5NEWNewcastle United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IFERROR(__xludf.DUMMYFUNCTION("""COMPUTED_VALUE"""),8.0)</f>
        <v>8</v>
      </c>
      <c r="E6" s="1">
        <f>IFERROR(__xludf.DUMMYFUNCTION("""COMPUTED_VALUE"""),11.0)</f>
        <v>11</v>
      </c>
      <c r="F6" s="1">
        <f>IFERROR(__xludf.DUMMYFUNCTION("""COMPUTED_VALUE"""),56.0)</f>
        <v>56</v>
      </c>
      <c r="G6" s="1">
        <f>IFERROR(__xludf.DUMMYFUNCTION("""COMPUTED_VALUE"""),51.0)</f>
        <v>51</v>
      </c>
      <c r="H6" s="1" t="str">
        <f>IFERROR(__xludf.DUMMYFUNCTION("""COMPUTED_VALUE"""),"+5")</f>
        <v>+5</v>
      </c>
      <c r="I6" s="1">
        <f>IFERROR(__xludf.DUMMYFUNCTION("""COMPUTED_VALUE"""),65.0)</f>
        <v>65</v>
      </c>
    </row>
    <row r="7">
      <c r="A7" s="1" t="str">
        <f>IFERROR(__xludf.DUMMYFUNCTION("""COMPUTED_VALUE"""),"6CHEChelsea")</f>
        <v>6CHEChelsea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IFERROR(__xludf.DUMMYFUNCTION("""COMPUTED_VALUE"""),10.0)</f>
        <v>10</v>
      </c>
      <c r="E7" s="1">
        <f>IFERROR(__xludf.DUMMYFUNCTION("""COMPUTED_VALUE"""),10.0)</f>
        <v>10</v>
      </c>
      <c r="F7" s="1">
        <f>IFERROR(__xludf.DUMMYFUNCTION("""COMPUTED_VALUE"""),65.0)</f>
        <v>65</v>
      </c>
      <c r="G7" s="1">
        <f>IFERROR(__xludf.DUMMYFUNCTION("""COMPUTED_VALUE"""),46.0)</f>
        <v>46</v>
      </c>
      <c r="H7" s="1" t="str">
        <f>IFERROR(__xludf.DUMMYFUNCTION("""COMPUTED_VALUE"""),"+19")</f>
        <v>+19</v>
      </c>
      <c r="I7" s="1">
        <f>IFERROR(__xludf.DUMMYFUNCTION("""COMPUTED_VALUE"""),64.0)</f>
        <v>64</v>
      </c>
    </row>
    <row r="8">
      <c r="A8" s="1" t="str">
        <f>IFERROR(__xludf.DUMMYFUNCTION("""COMPUTED_VALUE"""),"7EVEEverton")</f>
        <v>7EVEEverton</v>
      </c>
      <c r="B8" s="1">
        <f>IFERROR(__xludf.DUMMYFUNCTION("""COMPUTED_VALUE"""),38.0)</f>
        <v>38</v>
      </c>
      <c r="C8" s="1">
        <f>IFERROR(__xludf.DUMMYFUNCTION("""COMPUTED_VALUE"""),15.0)</f>
        <v>15</v>
      </c>
      <c r="D8" s="1">
        <f>IFERROR(__xludf.DUMMYFUNCTION("""COMPUTED_VALUE"""),11.0)</f>
        <v>11</v>
      </c>
      <c r="E8" s="1">
        <f>IFERROR(__xludf.DUMMYFUNCTION("""COMPUTED_VALUE"""),12.0)</f>
        <v>12</v>
      </c>
      <c r="F8" s="1">
        <f>IFERROR(__xludf.DUMMYFUNCTION("""COMPUTED_VALUE"""),50.0)</f>
        <v>50</v>
      </c>
      <c r="G8" s="1">
        <f>IFERROR(__xludf.DUMMYFUNCTION("""COMPUTED_VALUE"""),40.0)</f>
        <v>40</v>
      </c>
      <c r="H8" s="1" t="str">
        <f>IFERROR(__xludf.DUMMYFUNCTION("""COMPUTED_VALUE"""),"+10")</f>
        <v>+10</v>
      </c>
      <c r="I8" s="1">
        <f>IFERROR(__xludf.DUMMYFUNCTION("""COMPUTED_VALUE"""),56.0)</f>
        <v>56</v>
      </c>
    </row>
    <row r="9">
      <c r="A9" s="1" t="str">
        <f>IFERROR(__xludf.DUMMYFUNCTION("""COMPUTED_VALUE"""),"8LIVLiverpool")</f>
        <v>8LIVLiverpool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IFERROR(__xludf.DUMMYFUNCTION("""COMPUTED_VALUE"""),10.0)</f>
        <v>10</v>
      </c>
      <c r="E9" s="1">
        <f>IFERROR(__xludf.DUMMYFUNCTION("""COMPUTED_VALUE"""),14.0)</f>
        <v>14</v>
      </c>
      <c r="F9" s="1">
        <f>IFERROR(__xludf.DUMMYFUNCTION("""COMPUTED_VALUE"""),47.0)</f>
        <v>47</v>
      </c>
      <c r="G9" s="1">
        <f>IFERROR(__xludf.DUMMYFUNCTION("""COMPUTED_VALUE"""),40.0)</f>
        <v>40</v>
      </c>
      <c r="H9" s="1" t="str">
        <f>IFERROR(__xludf.DUMMYFUNCTION("""COMPUTED_VALUE"""),"+7")</f>
        <v>+7</v>
      </c>
      <c r="I9" s="1">
        <f>IFERROR(__xludf.DUMMYFUNCTION("""COMPUTED_VALUE"""),52.0)</f>
        <v>52</v>
      </c>
    </row>
    <row r="10">
      <c r="A10" s="1" t="str">
        <f>IFERROR(__xludf.DUMMYFUNCTION("""COMPUTED_VALUE"""),"9FULFulham")</f>
        <v>9FULFulham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IFERROR(__xludf.DUMMYFUNCTION("""COMPUTED_VALUE"""),10.0)</f>
        <v>10</v>
      </c>
      <c r="E10" s="1">
        <f>IFERROR(__xludf.DUMMYFUNCTION("""COMPUTED_VALUE"""),14.0)</f>
        <v>14</v>
      </c>
      <c r="F10" s="1">
        <f>IFERROR(__xludf.DUMMYFUNCTION("""COMPUTED_VALUE"""),48.0)</f>
        <v>48</v>
      </c>
      <c r="G10" s="1">
        <f>IFERROR(__xludf.DUMMYFUNCTION("""COMPUTED_VALUE"""),51.0)</f>
        <v>51</v>
      </c>
      <c r="H10" s="1">
        <f>IFERROR(__xludf.DUMMYFUNCTION("""COMPUTED_VALUE"""),-3.0)</f>
        <v>-3</v>
      </c>
      <c r="I10" s="1">
        <f>IFERROR(__xludf.DUMMYFUNCTION("""COMPUTED_VALUE"""),52.0)</f>
        <v>52</v>
      </c>
    </row>
    <row r="11">
      <c r="A11" s="1" t="str">
        <f>IFERROR(__xludf.DUMMYFUNCTION("""COMPUTED_VALUE"""),"10WBAWest Bromwich Albion")</f>
        <v>10WBAWest Bromwich Albion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IFERROR(__xludf.DUMMYFUNCTION("""COMPUTED_VALUE"""),8.0)</f>
        <v>8</v>
      </c>
      <c r="E11" s="1">
        <f>IFERROR(__xludf.DUMMYFUNCTION("""COMPUTED_VALUE"""),17.0)</f>
        <v>17</v>
      </c>
      <c r="F11" s="1">
        <f>IFERROR(__xludf.DUMMYFUNCTION("""COMPUTED_VALUE"""),45.0)</f>
        <v>45</v>
      </c>
      <c r="G11" s="1">
        <f>IFERROR(__xludf.DUMMYFUNCTION("""COMPUTED_VALUE"""),52.0)</f>
        <v>52</v>
      </c>
      <c r="H11" s="1">
        <f>IFERROR(__xludf.DUMMYFUNCTION("""COMPUTED_VALUE"""),-7.0)</f>
        <v>-7</v>
      </c>
      <c r="I11" s="1">
        <f>IFERROR(__xludf.DUMMYFUNCTION("""COMPUTED_VALUE"""),47.0)</f>
        <v>47</v>
      </c>
    </row>
    <row r="12">
      <c r="A12" s="1" t="str">
        <f>IFERROR(__xludf.DUMMYFUNCTION("""COMPUTED_VALUE"""),"11SWASwansea City")</f>
        <v>11SWASwansea City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IFERROR(__xludf.DUMMYFUNCTION("""COMPUTED_VALUE"""),11.0)</f>
        <v>11</v>
      </c>
      <c r="E12" s="1">
        <f>IFERROR(__xludf.DUMMYFUNCTION("""COMPUTED_VALUE"""),15.0)</f>
        <v>15</v>
      </c>
      <c r="F12" s="1">
        <f>IFERROR(__xludf.DUMMYFUNCTION("""COMPUTED_VALUE"""),44.0)</f>
        <v>44</v>
      </c>
      <c r="G12" s="1">
        <f>IFERROR(__xludf.DUMMYFUNCTION("""COMPUTED_VALUE"""),51.0)</f>
        <v>51</v>
      </c>
      <c r="H12" s="1">
        <f>IFERROR(__xludf.DUMMYFUNCTION("""COMPUTED_VALUE"""),-7.0)</f>
        <v>-7</v>
      </c>
      <c r="I12" s="1">
        <f>IFERROR(__xludf.DUMMYFUNCTION("""COMPUTED_VALUE"""),47.0)</f>
        <v>47</v>
      </c>
    </row>
    <row r="13">
      <c r="A13" s="1" t="str">
        <f>IFERROR(__xludf.DUMMYFUNCTION("""COMPUTED_VALUE"""),"12NORNorwich City")</f>
        <v>12NORNorwich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IFERROR(__xludf.DUMMYFUNCTION("""COMPUTED_VALUE"""),52.0)</f>
        <v>52</v>
      </c>
      <c r="G13" s="1">
        <f>IFERROR(__xludf.DUMMYFUNCTION("""COMPUTED_VALUE"""),66.0)</f>
        <v>66</v>
      </c>
      <c r="H13" s="1">
        <f>IFERROR(__xludf.DUMMYFUNCTION("""COMPUTED_VALUE"""),-14.0)</f>
        <v>-14</v>
      </c>
      <c r="I13" s="1">
        <f>IFERROR(__xludf.DUMMYFUNCTION("""COMPUTED_VALUE"""),47.0)</f>
        <v>47</v>
      </c>
    </row>
    <row r="14">
      <c r="A14" s="1" t="str">
        <f>IFERROR(__xludf.DUMMYFUNCTION("""COMPUTED_VALUE"""),"13SUNSunderland")</f>
        <v>13SUNSunderland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IFERROR(__xludf.DUMMYFUNCTION("""COMPUTED_VALUE"""),12.0)</f>
        <v>12</v>
      </c>
      <c r="E14" s="1">
        <f>IFERROR(__xludf.DUMMYFUNCTION("""COMPUTED_VALUE"""),15.0)</f>
        <v>15</v>
      </c>
      <c r="F14" s="1">
        <f>IFERROR(__xludf.DUMMYFUNCTION("""COMPUTED_VALUE"""),45.0)</f>
        <v>45</v>
      </c>
      <c r="G14" s="1">
        <f>IFERROR(__xludf.DUMMYFUNCTION("""COMPUTED_VALUE"""),46.0)</f>
        <v>46</v>
      </c>
      <c r="H14" s="1">
        <f>IFERROR(__xludf.DUMMYFUNCTION("""COMPUTED_VALUE"""),-1.0)</f>
        <v>-1</v>
      </c>
      <c r="I14" s="1">
        <f>IFERROR(__xludf.DUMMYFUNCTION("""COMPUTED_VALUE"""),45.0)</f>
        <v>45</v>
      </c>
    </row>
    <row r="15">
      <c r="A15" s="1" t="str">
        <f>IFERROR(__xludf.DUMMYFUNCTION("""COMPUTED_VALUE"""),"14STKStoke City")</f>
        <v>14STKStoke City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IFERROR(__xludf.DUMMYFUNCTION("""COMPUTED_VALUE"""),12.0)</f>
        <v>12</v>
      </c>
      <c r="E15" s="1">
        <f>IFERROR(__xludf.DUMMYFUNCTION("""COMPUTED_VALUE"""),15.0)</f>
        <v>15</v>
      </c>
      <c r="F15" s="1">
        <f>IFERROR(__xludf.DUMMYFUNCTION("""COMPUTED_VALUE"""),36.0)</f>
        <v>36</v>
      </c>
      <c r="G15" s="1">
        <f>IFERROR(__xludf.DUMMYFUNCTION("""COMPUTED_VALUE"""),53.0)</f>
        <v>53</v>
      </c>
      <c r="H15" s="1">
        <f>IFERROR(__xludf.DUMMYFUNCTION("""COMPUTED_VALUE"""),-17.0)</f>
        <v>-17</v>
      </c>
      <c r="I15" s="1">
        <f>IFERROR(__xludf.DUMMYFUNCTION("""COMPUTED_VALUE"""),45.0)</f>
        <v>45</v>
      </c>
    </row>
    <row r="16">
      <c r="A16" s="1" t="str">
        <f>IFERROR(__xludf.DUMMYFUNCTION("""COMPUTED_VALUE"""),"15WGAWigan Athletic")</f>
        <v>15WGAWigan Athletic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IFERROR(__xludf.DUMMYFUNCTION("""COMPUTED_VALUE"""),10.0)</f>
        <v>10</v>
      </c>
      <c r="E16" s="1">
        <f>IFERROR(__xludf.DUMMYFUNCTION("""COMPUTED_VALUE"""),17.0)</f>
        <v>17</v>
      </c>
      <c r="F16" s="1">
        <f>IFERROR(__xludf.DUMMYFUNCTION("""COMPUTED_VALUE"""),42.0)</f>
        <v>42</v>
      </c>
      <c r="G16" s="1">
        <f>IFERROR(__xludf.DUMMYFUNCTION("""COMPUTED_VALUE"""),62.0)</f>
        <v>62</v>
      </c>
      <c r="H16" s="1">
        <f>IFERROR(__xludf.DUMMYFUNCTION("""COMPUTED_VALUE"""),-20.0)</f>
        <v>-20</v>
      </c>
      <c r="I16" s="1">
        <f>IFERROR(__xludf.DUMMYFUNCTION("""COMPUTED_VALUE"""),43.0)</f>
        <v>43</v>
      </c>
    </row>
    <row r="17">
      <c r="A17" s="1" t="str">
        <f>IFERROR(__xludf.DUMMYFUNCTION("""COMPUTED_VALUE"""),"16AVLAston Villa")</f>
        <v>16AVLAston Villa</v>
      </c>
      <c r="B17" s="1">
        <f>IFERROR(__xludf.DUMMYFUNCTION("""COMPUTED_VALUE"""),38.0)</f>
        <v>38</v>
      </c>
      <c r="C17" s="1">
        <f>IFERROR(__xludf.DUMMYFUNCTION("""COMPUTED_VALUE"""),7.0)</f>
        <v>7</v>
      </c>
      <c r="D17" s="1">
        <f>IFERROR(__xludf.DUMMYFUNCTION("""COMPUTED_VALUE"""),17.0)</f>
        <v>17</v>
      </c>
      <c r="E17" s="1">
        <f>IFERROR(__xludf.DUMMYFUNCTION("""COMPUTED_VALUE"""),14.0)</f>
        <v>14</v>
      </c>
      <c r="F17" s="1">
        <f>IFERROR(__xludf.DUMMYFUNCTION("""COMPUTED_VALUE"""),37.0)</f>
        <v>37</v>
      </c>
      <c r="G17" s="1">
        <f>IFERROR(__xludf.DUMMYFUNCTION("""COMPUTED_VALUE"""),53.0)</f>
        <v>53</v>
      </c>
      <c r="H17" s="1">
        <f>IFERROR(__xludf.DUMMYFUNCTION("""COMPUTED_VALUE"""),-16.0)</f>
        <v>-16</v>
      </c>
      <c r="I17" s="1">
        <f>IFERROR(__xludf.DUMMYFUNCTION("""COMPUTED_VALUE"""),38.0)</f>
        <v>38</v>
      </c>
    </row>
    <row r="18">
      <c r="A18" s="1" t="str">
        <f>IFERROR(__xludf.DUMMYFUNCTION("""COMPUTED_VALUE"""),"17QPRQueens Park Rangers")</f>
        <v>17QPRQueens Park Rangers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IFERROR(__xludf.DUMMYFUNCTION("""COMPUTED_VALUE"""),7.0)</f>
        <v>7</v>
      </c>
      <c r="E18" s="1">
        <f>IFERROR(__xludf.DUMMYFUNCTION("""COMPUTED_VALUE"""),21.0)</f>
        <v>21</v>
      </c>
      <c r="F18" s="1">
        <f>IFERROR(__xludf.DUMMYFUNCTION("""COMPUTED_VALUE"""),43.0)</f>
        <v>43</v>
      </c>
      <c r="G18" s="1">
        <f>IFERROR(__xludf.DUMMYFUNCTION("""COMPUTED_VALUE"""),66.0)</f>
        <v>66</v>
      </c>
      <c r="H18" s="1">
        <f>IFERROR(__xludf.DUMMYFUNCTION("""COMPUTED_VALUE"""),-23.0)</f>
        <v>-23</v>
      </c>
      <c r="I18" s="1">
        <f>IFERROR(__xludf.DUMMYFUNCTION("""COMPUTED_VALUE"""),37.0)</f>
        <v>37</v>
      </c>
    </row>
    <row r="19">
      <c r="A19" s="1" t="str">
        <f>IFERROR(__xludf.DUMMYFUNCTION("""COMPUTED_VALUE"""),"18BOLBolton Wanderers")</f>
        <v>18BOLBolton Wanderers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IFERROR(__xludf.DUMMYFUNCTION("""COMPUTED_VALUE"""),6.0)</f>
        <v>6</v>
      </c>
      <c r="E19" s="1">
        <f>IFERROR(__xludf.DUMMYFUNCTION("""COMPUTED_VALUE"""),22.0)</f>
        <v>22</v>
      </c>
      <c r="F19" s="1">
        <f>IFERROR(__xludf.DUMMYFUNCTION("""COMPUTED_VALUE"""),46.0)</f>
        <v>46</v>
      </c>
      <c r="G19" s="1">
        <f>IFERROR(__xludf.DUMMYFUNCTION("""COMPUTED_VALUE"""),77.0)</f>
        <v>77</v>
      </c>
      <c r="H19" s="1">
        <f>IFERROR(__xludf.DUMMYFUNCTION("""COMPUTED_VALUE"""),-31.0)</f>
        <v>-31</v>
      </c>
      <c r="I19" s="1">
        <f>IFERROR(__xludf.DUMMYFUNCTION("""COMPUTED_VALUE"""),36.0)</f>
        <v>36</v>
      </c>
    </row>
    <row r="20">
      <c r="A20" s="1" t="str">
        <f>IFERROR(__xludf.DUMMYFUNCTION("""COMPUTED_VALUE"""),"19BLKBlackburn Rovers")</f>
        <v>19BLKBlackburn Rovers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IFERROR(__xludf.DUMMYFUNCTION("""COMPUTED_VALUE"""),7.0)</f>
        <v>7</v>
      </c>
      <c r="E20" s="1">
        <f>IFERROR(__xludf.DUMMYFUNCTION("""COMPUTED_VALUE"""),23.0)</f>
        <v>23</v>
      </c>
      <c r="F20" s="1">
        <f>IFERROR(__xludf.DUMMYFUNCTION("""COMPUTED_VALUE"""),48.0)</f>
        <v>48</v>
      </c>
      <c r="G20" s="1">
        <f>IFERROR(__xludf.DUMMYFUNCTION("""COMPUTED_VALUE"""),78.0)</f>
        <v>78</v>
      </c>
      <c r="H20" s="1">
        <f>IFERROR(__xludf.DUMMYFUNCTION("""COMPUTED_VALUE"""),-30.0)</f>
        <v>-30</v>
      </c>
      <c r="I20" s="1">
        <f>IFERROR(__xludf.DUMMYFUNCTION("""COMPUTED_VALUE"""),31.0)</f>
        <v>31</v>
      </c>
    </row>
    <row r="21">
      <c r="A21" s="1" t="str">
        <f>IFERROR(__xludf.DUMMYFUNCTION("""COMPUTED_VALUE"""),"20WOLWolverhampton Wanderers")</f>
        <v>20WOLWolverhampton Wanderers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IFERROR(__xludf.DUMMYFUNCTION("""COMPUTED_VALUE"""),10.0)</f>
        <v>10</v>
      </c>
      <c r="E21" s="1">
        <f>IFERROR(__xludf.DUMMYFUNCTION("""COMPUTED_VALUE"""),23.0)</f>
        <v>23</v>
      </c>
      <c r="F21" s="1">
        <f>IFERROR(__xludf.DUMMYFUNCTION("""COMPUTED_VALUE"""),40.0)</f>
        <v>40</v>
      </c>
      <c r="G21" s="1">
        <f>IFERROR(__xludf.DUMMYFUNCTION("""COMPUTED_VALUE"""),82.0)</f>
        <v>82</v>
      </c>
      <c r="H21" s="1">
        <f>IFERROR(__xludf.DUMMYFUNCTION("""COMPUTED_VALUE"""),-42.0)</f>
        <v>-42</v>
      </c>
      <c r="I21" s="1">
        <f>IFERROR(__xludf.DUMMYFUNCTION("""COMPUTED_VALUE"""),25.0)</f>
        <v>25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IFERROR(__xludf.DUMMYFUNCTION("IMPORTHTML(""https://www.espn.com/soccer/standings/_/league/ENG.1/season/2010"",""table"",1)"),"2010-2011")</f>
        <v>2010-2011</v>
      </c>
      <c r="B1" s="1" t="str">
        <f>IFERROR(__xludf.DUMMYFUNCTION("IMPORTHTML(""https://www.espn.com/soccer/standings/_/league/ENG.1/season/2010"",""table"",2)"),"GP")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IFERROR(__xludf.DUMMYFUNCTION("""COMPUTED_VALUE"""),23.0)</f>
        <v>23</v>
      </c>
      <c r="D2" s="1">
        <f>IFERROR(__xludf.DUMMYFUNCTION("""COMPUTED_VALUE"""),11.0)</f>
        <v>11</v>
      </c>
      <c r="E2" s="1">
        <f>IFERROR(__xludf.DUMMYFUNCTION("""COMPUTED_VALUE"""),4.0)</f>
        <v>4</v>
      </c>
      <c r="F2" s="1">
        <f>IFERROR(__xludf.DUMMYFUNCTION("""COMPUTED_VALUE"""),78.0)</f>
        <v>78</v>
      </c>
      <c r="G2" s="1">
        <f>IFERROR(__xludf.DUMMYFUNCTION("""COMPUTED_VALUE"""),37.0)</f>
        <v>37</v>
      </c>
      <c r="H2" s="1" t="str">
        <f>IFERROR(__xludf.DUMMYFUNCTION("""COMPUTED_VALUE"""),"+41")</f>
        <v>+41</v>
      </c>
      <c r="I2" s="1">
        <f>IFERROR(__xludf.DUMMYFUNCTION("""COMPUTED_VALUE"""),80.0)</f>
        <v>80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IFERROR(__xludf.DUMMYFUNCTION("""COMPUTED_VALUE"""),21.0)</f>
        <v>21</v>
      </c>
      <c r="D3" s="1">
        <f>IFERROR(__xludf.DUMMYFUNCTION("""COMPUTED_VALUE"""),8.0)</f>
        <v>8</v>
      </c>
      <c r="E3" s="1">
        <f>IFERROR(__xludf.DUMMYFUNCTION("""COMPUTED_VALUE"""),9.0)</f>
        <v>9</v>
      </c>
      <c r="F3" s="1">
        <f>IFERROR(__xludf.DUMMYFUNCTION("""COMPUTED_VALUE"""),69.0)</f>
        <v>69</v>
      </c>
      <c r="G3" s="1">
        <f>IFERROR(__xludf.DUMMYFUNCTION("""COMPUTED_VALUE"""),33.0)</f>
        <v>33</v>
      </c>
      <c r="H3" s="1" t="str">
        <f>IFERROR(__xludf.DUMMYFUNCTION("""COMPUTED_VALUE"""),"+36")</f>
        <v>+36</v>
      </c>
      <c r="I3" s="1">
        <f>IFERROR(__xludf.DUMMYFUNCTION("""COMPUTED_VALUE"""),71.0)</f>
        <v>71</v>
      </c>
    </row>
    <row r="4">
      <c r="A4" s="1" t="str">
        <f>IFERROR(__xludf.DUMMYFUNCTION("""COMPUTED_VALUE"""),"3MNCManchester City")</f>
        <v>3MNCManchester City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IFERROR(__xludf.DUMMYFUNCTION("""COMPUTED_VALUE"""),8.0)</f>
        <v>8</v>
      </c>
      <c r="E4" s="1">
        <f>IFERROR(__xludf.DUMMYFUNCTION("""COMPUTED_VALUE"""),9.0)</f>
        <v>9</v>
      </c>
      <c r="F4" s="1">
        <f>IFERROR(__xludf.DUMMYFUNCTION("""COMPUTED_VALUE"""),60.0)</f>
        <v>60</v>
      </c>
      <c r="G4" s="1">
        <f>IFERROR(__xludf.DUMMYFUNCTION("""COMPUTED_VALUE"""),33.0)</f>
        <v>33</v>
      </c>
      <c r="H4" s="1" t="str">
        <f>IFERROR(__xludf.DUMMYFUNCTION("""COMPUTED_VALUE"""),"+27")</f>
        <v>+27</v>
      </c>
      <c r="I4" s="1">
        <f>IFERROR(__xludf.DUMMYFUNCTION("""COMPUTED_VALUE"""),71.0)</f>
        <v>71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IFERROR(__xludf.DUMMYFUNCTION("""COMPUTED_VALUE"""),11.0)</f>
        <v>11</v>
      </c>
      <c r="E5" s="1">
        <f>IFERROR(__xludf.DUMMYFUNCTION("""COMPUTED_VALUE"""),8.0)</f>
        <v>8</v>
      </c>
      <c r="F5" s="1">
        <f>IFERROR(__xludf.DUMMYFUNCTION("""COMPUTED_VALUE"""),72.0)</f>
        <v>72</v>
      </c>
      <c r="G5" s="1">
        <f>IFERROR(__xludf.DUMMYFUNCTION("""COMPUTED_VALUE"""),43.0)</f>
        <v>43</v>
      </c>
      <c r="H5" s="1" t="str">
        <f>IFERROR(__xludf.DUMMYFUNCTION("""COMPUTED_VALUE"""),"+29")</f>
        <v>+29</v>
      </c>
      <c r="I5" s="1">
        <f>IFERROR(__xludf.DUMMYFUNCTION("""COMPUTED_VALUE"""),68.0)</f>
        <v>68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IFERROR(__xludf.DUMMYFUNCTION("""COMPUTED_VALUE"""),16.0)</f>
        <v>16</v>
      </c>
      <c r="D6" s="1">
        <f>IFERROR(__xludf.DUMMYFUNCTION("""COMPUTED_VALUE"""),14.0)</f>
        <v>14</v>
      </c>
      <c r="E6" s="1">
        <f>IFERROR(__xludf.DUMMYFUNCTION("""COMPUTED_VALUE"""),8.0)</f>
        <v>8</v>
      </c>
      <c r="F6" s="1">
        <f>IFERROR(__xludf.DUMMYFUNCTION("""COMPUTED_VALUE"""),55.0)</f>
        <v>55</v>
      </c>
      <c r="G6" s="1">
        <f>IFERROR(__xludf.DUMMYFUNCTION("""COMPUTED_VALUE"""),46.0)</f>
        <v>46</v>
      </c>
      <c r="H6" s="1" t="str">
        <f>IFERROR(__xludf.DUMMYFUNCTION("""COMPUTED_VALUE"""),"+9")</f>
        <v>+9</v>
      </c>
      <c r="I6" s="1">
        <f>IFERROR(__xludf.DUMMYFUNCTION("""COMPUTED_VALUE"""),62.0)</f>
        <v>62</v>
      </c>
    </row>
    <row r="7">
      <c r="A7" s="1" t="str">
        <f>IFERROR(__xludf.DUMMYFUNCTION("""COMPUTED_VALUE"""),"6LIVLiverpool")</f>
        <v>6LIVLiverpool</v>
      </c>
      <c r="B7" s="1">
        <f>IFERROR(__xludf.DUMMYFUNCTION("""COMPUTED_VALUE"""),38.0)</f>
        <v>38</v>
      </c>
      <c r="C7" s="1">
        <f>IFERROR(__xludf.DUMMYFUNCTION("""COMPUTED_VALUE"""),17.0)</f>
        <v>17</v>
      </c>
      <c r="D7" s="1">
        <f>IFERROR(__xludf.DUMMYFUNCTION("""COMPUTED_VALUE"""),7.0)</f>
        <v>7</v>
      </c>
      <c r="E7" s="1">
        <f>IFERROR(__xludf.DUMMYFUNCTION("""COMPUTED_VALUE"""),14.0)</f>
        <v>14</v>
      </c>
      <c r="F7" s="1">
        <f>IFERROR(__xludf.DUMMYFUNCTION("""COMPUTED_VALUE"""),59.0)</f>
        <v>59</v>
      </c>
      <c r="G7" s="1">
        <f>IFERROR(__xludf.DUMMYFUNCTION("""COMPUTED_VALUE"""),44.0)</f>
        <v>44</v>
      </c>
      <c r="H7" s="1" t="str">
        <f>IFERROR(__xludf.DUMMYFUNCTION("""COMPUTED_VALUE"""),"+15")</f>
        <v>+15</v>
      </c>
      <c r="I7" s="1">
        <f>IFERROR(__xludf.DUMMYFUNCTION("""COMPUTED_VALUE"""),58.0)</f>
        <v>58</v>
      </c>
    </row>
    <row r="8">
      <c r="A8" s="1" t="str">
        <f>IFERROR(__xludf.DUMMYFUNCTION("""COMPUTED_VALUE"""),"7EVEEverton")</f>
        <v>7EVEEverton</v>
      </c>
      <c r="B8" s="1">
        <f>IFERROR(__xludf.DUMMYFUNCTION("""COMPUTED_VALUE"""),38.0)</f>
        <v>38</v>
      </c>
      <c r="C8" s="1">
        <f>IFERROR(__xludf.DUMMYFUNCTION("""COMPUTED_VALUE"""),13.0)</f>
        <v>13</v>
      </c>
      <c r="D8" s="1">
        <f>IFERROR(__xludf.DUMMYFUNCTION("""COMPUTED_VALUE"""),15.0)</f>
        <v>15</v>
      </c>
      <c r="E8" s="1">
        <f>IFERROR(__xludf.DUMMYFUNCTION("""COMPUTED_VALUE"""),10.0)</f>
        <v>10</v>
      </c>
      <c r="F8" s="1">
        <f>IFERROR(__xludf.DUMMYFUNCTION("""COMPUTED_VALUE"""),51.0)</f>
        <v>51</v>
      </c>
      <c r="G8" s="1">
        <f>IFERROR(__xludf.DUMMYFUNCTION("""COMPUTED_VALUE"""),45.0)</f>
        <v>45</v>
      </c>
      <c r="H8" s="1" t="str">
        <f>IFERROR(__xludf.DUMMYFUNCTION("""COMPUTED_VALUE"""),"+6")</f>
        <v>+6</v>
      </c>
      <c r="I8" s="1">
        <f>IFERROR(__xludf.DUMMYFUNCTION("""COMPUTED_VALUE"""),54.0)</f>
        <v>54</v>
      </c>
    </row>
    <row r="9">
      <c r="A9" s="1" t="str">
        <f>IFERROR(__xludf.DUMMYFUNCTION("""COMPUTED_VALUE"""),"8FULFulham")</f>
        <v>8FULFulham</v>
      </c>
      <c r="B9" s="1">
        <f>IFERROR(__xludf.DUMMYFUNCTION("""COMPUTED_VALUE"""),38.0)</f>
        <v>38</v>
      </c>
      <c r="C9" s="1">
        <f>IFERROR(__xludf.DUMMYFUNCTION("""COMPUTED_VALUE"""),11.0)</f>
        <v>11</v>
      </c>
      <c r="D9" s="1">
        <f>IFERROR(__xludf.DUMMYFUNCTION("""COMPUTED_VALUE"""),16.0)</f>
        <v>16</v>
      </c>
      <c r="E9" s="1">
        <f>IFERROR(__xludf.DUMMYFUNCTION("""COMPUTED_VALUE"""),11.0)</f>
        <v>11</v>
      </c>
      <c r="F9" s="1">
        <f>IFERROR(__xludf.DUMMYFUNCTION("""COMPUTED_VALUE"""),49.0)</f>
        <v>49</v>
      </c>
      <c r="G9" s="1">
        <f>IFERROR(__xludf.DUMMYFUNCTION("""COMPUTED_VALUE"""),43.0)</f>
        <v>43</v>
      </c>
      <c r="H9" s="1" t="str">
        <f>IFERROR(__xludf.DUMMYFUNCTION("""COMPUTED_VALUE"""),"+6")</f>
        <v>+6</v>
      </c>
      <c r="I9" s="1">
        <f>IFERROR(__xludf.DUMMYFUNCTION("""COMPUTED_VALUE"""),49.0)</f>
        <v>49</v>
      </c>
    </row>
    <row r="10">
      <c r="A10" s="1" t="str">
        <f>IFERROR(__xludf.DUMMYFUNCTION("""COMPUTED_VALUE"""),"9AVLAston Villa")</f>
        <v>9AVLAston Villa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IFERROR(__xludf.DUMMYFUNCTION("""COMPUTED_VALUE"""),12.0)</f>
        <v>12</v>
      </c>
      <c r="E10" s="1">
        <f>IFERROR(__xludf.DUMMYFUNCTION("""COMPUTED_VALUE"""),14.0)</f>
        <v>14</v>
      </c>
      <c r="F10" s="1">
        <f>IFERROR(__xludf.DUMMYFUNCTION("""COMPUTED_VALUE"""),48.0)</f>
        <v>48</v>
      </c>
      <c r="G10" s="1">
        <f>IFERROR(__xludf.DUMMYFUNCTION("""COMPUTED_VALUE"""),59.0)</f>
        <v>59</v>
      </c>
      <c r="H10" s="1">
        <f>IFERROR(__xludf.DUMMYFUNCTION("""COMPUTED_VALUE"""),-11.0)</f>
        <v>-11</v>
      </c>
      <c r="I10" s="1">
        <f>IFERROR(__xludf.DUMMYFUNCTION("""COMPUTED_VALUE"""),48.0)</f>
        <v>48</v>
      </c>
    </row>
    <row r="11">
      <c r="A11" s="1" t="str">
        <f>IFERROR(__xludf.DUMMYFUNCTION("""COMPUTED_VALUE"""),"10SUNSunderland")</f>
        <v>10SUNSunderland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IFERROR(__xludf.DUMMYFUNCTION("""COMPUTED_VALUE"""),11.0)</f>
        <v>11</v>
      </c>
      <c r="E11" s="1">
        <f>IFERROR(__xludf.DUMMYFUNCTION("""COMPUTED_VALUE"""),15.0)</f>
        <v>15</v>
      </c>
      <c r="F11" s="1">
        <f>IFERROR(__xludf.DUMMYFUNCTION("""COMPUTED_VALUE"""),45.0)</f>
        <v>45</v>
      </c>
      <c r="G11" s="1">
        <f>IFERROR(__xludf.DUMMYFUNCTION("""COMPUTED_VALUE"""),56.0)</f>
        <v>56</v>
      </c>
      <c r="H11" s="1">
        <f>IFERROR(__xludf.DUMMYFUNCTION("""COMPUTED_VALUE"""),-11.0)</f>
        <v>-11</v>
      </c>
      <c r="I11" s="1">
        <f>IFERROR(__xludf.DUMMYFUNCTION("""COMPUTED_VALUE"""),47.0)</f>
        <v>47</v>
      </c>
    </row>
    <row r="12">
      <c r="A12" s="1" t="str">
        <f>IFERROR(__xludf.DUMMYFUNCTION("""COMPUTED_VALUE"""),"11WBAWest Bromwich Albion")</f>
        <v>11WBAWest Bromwich Albion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IFERROR(__xludf.DUMMYFUNCTION("""COMPUTED_VALUE"""),11.0)</f>
        <v>11</v>
      </c>
      <c r="E12" s="1">
        <f>IFERROR(__xludf.DUMMYFUNCTION("""COMPUTED_VALUE"""),15.0)</f>
        <v>15</v>
      </c>
      <c r="F12" s="1">
        <f>IFERROR(__xludf.DUMMYFUNCTION("""COMPUTED_VALUE"""),56.0)</f>
        <v>56</v>
      </c>
      <c r="G12" s="1">
        <f>IFERROR(__xludf.DUMMYFUNCTION("""COMPUTED_VALUE"""),71.0)</f>
        <v>71</v>
      </c>
      <c r="H12" s="1">
        <f>IFERROR(__xludf.DUMMYFUNCTION("""COMPUTED_VALUE"""),-15.0)</f>
        <v>-15</v>
      </c>
      <c r="I12" s="1">
        <f>IFERROR(__xludf.DUMMYFUNCTION("""COMPUTED_VALUE"""),47.0)</f>
        <v>47</v>
      </c>
    </row>
    <row r="13">
      <c r="A13" s="1" t="str">
        <f>IFERROR(__xludf.DUMMYFUNCTION("""COMPUTED_VALUE"""),"12NEWNewcastle United")</f>
        <v>12NEWNewcastle United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IFERROR(__xludf.DUMMYFUNCTION("""COMPUTED_VALUE"""),13.0)</f>
        <v>13</v>
      </c>
      <c r="E13" s="1">
        <f>IFERROR(__xludf.DUMMYFUNCTION("""COMPUTED_VALUE"""),14.0)</f>
        <v>14</v>
      </c>
      <c r="F13" s="1">
        <f>IFERROR(__xludf.DUMMYFUNCTION("""COMPUTED_VALUE"""),56.0)</f>
        <v>56</v>
      </c>
      <c r="G13" s="1">
        <f>IFERROR(__xludf.DUMMYFUNCTION("""COMPUTED_VALUE"""),57.0)</f>
        <v>57</v>
      </c>
      <c r="H13" s="1">
        <f>IFERROR(__xludf.DUMMYFUNCTION("""COMPUTED_VALUE"""),-1.0)</f>
        <v>-1</v>
      </c>
      <c r="I13" s="1">
        <f>IFERROR(__xludf.DUMMYFUNCTION("""COMPUTED_VALUE"""),46.0)</f>
        <v>46</v>
      </c>
    </row>
    <row r="14">
      <c r="A14" s="1" t="str">
        <f>IFERROR(__xludf.DUMMYFUNCTION("""COMPUTED_VALUE"""),"13STKStoke City")</f>
        <v>13STKStoke City</v>
      </c>
      <c r="B14" s="1">
        <f>IFERROR(__xludf.DUMMYFUNCTION("""COMPUTED_VALUE"""),38.0)</f>
        <v>38</v>
      </c>
      <c r="C14" s="1">
        <f>IFERROR(__xludf.DUMMYFUNCTION("""COMPUTED_VALUE"""),13.0)</f>
        <v>13</v>
      </c>
      <c r="D14" s="1">
        <f>IFERROR(__xludf.DUMMYFUNCTION("""COMPUTED_VALUE"""),7.0)</f>
        <v>7</v>
      </c>
      <c r="E14" s="1">
        <f>IFERROR(__xludf.DUMMYFUNCTION("""COMPUTED_VALUE"""),18.0)</f>
        <v>18</v>
      </c>
      <c r="F14" s="1">
        <f>IFERROR(__xludf.DUMMYFUNCTION("""COMPUTED_VALUE"""),46.0)</f>
        <v>46</v>
      </c>
      <c r="G14" s="1">
        <f>IFERROR(__xludf.DUMMYFUNCTION("""COMPUTED_VALUE"""),48.0)</f>
        <v>48</v>
      </c>
      <c r="H14" s="1">
        <f>IFERROR(__xludf.DUMMYFUNCTION("""COMPUTED_VALUE"""),-2.0)</f>
        <v>-2</v>
      </c>
      <c r="I14" s="1">
        <f>IFERROR(__xludf.DUMMYFUNCTION("""COMPUTED_VALUE"""),46.0)</f>
        <v>46</v>
      </c>
    </row>
    <row r="15">
      <c r="A15" s="1" t="str">
        <f>IFERROR(__xludf.DUMMYFUNCTION("""COMPUTED_VALUE"""),"14BOLBolton Wanderers")</f>
        <v>14BOLBolton Wanderers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IFERROR(__xludf.DUMMYFUNCTION("""COMPUTED_VALUE"""),10.0)</f>
        <v>10</v>
      </c>
      <c r="E15" s="1">
        <f>IFERROR(__xludf.DUMMYFUNCTION("""COMPUTED_VALUE"""),16.0)</f>
        <v>16</v>
      </c>
      <c r="F15" s="1">
        <f>IFERROR(__xludf.DUMMYFUNCTION("""COMPUTED_VALUE"""),52.0)</f>
        <v>52</v>
      </c>
      <c r="G15" s="1">
        <f>IFERROR(__xludf.DUMMYFUNCTION("""COMPUTED_VALUE"""),56.0)</f>
        <v>56</v>
      </c>
      <c r="H15" s="1">
        <f>IFERROR(__xludf.DUMMYFUNCTION("""COMPUTED_VALUE"""),-4.0)</f>
        <v>-4</v>
      </c>
      <c r="I15" s="1">
        <f>IFERROR(__xludf.DUMMYFUNCTION("""COMPUTED_VALUE"""),46.0)</f>
        <v>46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IFERROR(__xludf.DUMMYFUNCTION("""COMPUTED_VALUE"""),10.0)</f>
        <v>10</v>
      </c>
      <c r="E16" s="1">
        <f>IFERROR(__xludf.DUMMYFUNCTION("""COMPUTED_VALUE"""),17.0)</f>
        <v>17</v>
      </c>
      <c r="F16" s="1">
        <f>IFERROR(__xludf.DUMMYFUNCTION("""COMPUTED_VALUE"""),46.0)</f>
        <v>46</v>
      </c>
      <c r="G16" s="1">
        <f>IFERROR(__xludf.DUMMYFUNCTION("""COMPUTED_VALUE"""),59.0)</f>
        <v>59</v>
      </c>
      <c r="H16" s="1">
        <f>IFERROR(__xludf.DUMMYFUNCTION("""COMPUTED_VALUE"""),-13.0)</f>
        <v>-13</v>
      </c>
      <c r="I16" s="1">
        <f>IFERROR(__xludf.DUMMYFUNCTION("""COMPUTED_VALUE"""),43.0)</f>
        <v>43</v>
      </c>
    </row>
    <row r="17">
      <c r="A17" s="1" t="str">
        <f>IFERROR(__xludf.DUMMYFUNCTION("""COMPUTED_VALUE"""),"16WGAWigan Athletic")</f>
        <v>16WGAWigan Athletic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IFERROR(__xludf.DUMMYFUNCTION("""COMPUTED_VALUE"""),15.0)</f>
        <v>15</v>
      </c>
      <c r="E17" s="1">
        <f>IFERROR(__xludf.DUMMYFUNCTION("""COMPUTED_VALUE"""),14.0)</f>
        <v>14</v>
      </c>
      <c r="F17" s="1">
        <f>IFERROR(__xludf.DUMMYFUNCTION("""COMPUTED_VALUE"""),40.0)</f>
        <v>40</v>
      </c>
      <c r="G17" s="1">
        <f>IFERROR(__xludf.DUMMYFUNCTION("""COMPUTED_VALUE"""),61.0)</f>
        <v>61</v>
      </c>
      <c r="H17" s="1">
        <f>IFERROR(__xludf.DUMMYFUNCTION("""COMPUTED_VALUE"""),-21.0)</f>
        <v>-21</v>
      </c>
      <c r="I17" s="1">
        <f>IFERROR(__xludf.DUMMYFUNCTION("""COMPUTED_VALUE"""),42.0)</f>
        <v>42</v>
      </c>
    </row>
    <row r="18">
      <c r="A18" s="1" t="str">
        <f>IFERROR(__xludf.DUMMYFUNCTION("""COMPUTED_VALUE"""),"17WOLWolverhampton Wanderers")</f>
        <v>17WOLWolverhampton Wanderers</v>
      </c>
      <c r="B18" s="1">
        <f>IFERROR(__xludf.DUMMYFUNCTION("""COMPUTED_VALUE"""),38.0)</f>
        <v>38</v>
      </c>
      <c r="C18" s="1">
        <f>IFERROR(__xludf.DUMMYFUNCTION("""COMPUTED_VALUE"""),11.0)</f>
        <v>11</v>
      </c>
      <c r="D18" s="1">
        <f>IFERROR(__xludf.DUMMYFUNCTION("""COMPUTED_VALUE"""),7.0)</f>
        <v>7</v>
      </c>
      <c r="E18" s="1">
        <f>IFERROR(__xludf.DUMMYFUNCTION("""COMPUTED_VALUE"""),20.0)</f>
        <v>20</v>
      </c>
      <c r="F18" s="1">
        <f>IFERROR(__xludf.DUMMYFUNCTION("""COMPUTED_VALUE"""),46.0)</f>
        <v>46</v>
      </c>
      <c r="G18" s="1">
        <f>IFERROR(__xludf.DUMMYFUNCTION("""COMPUTED_VALUE"""),66.0)</f>
        <v>66</v>
      </c>
      <c r="H18" s="1">
        <f>IFERROR(__xludf.DUMMYFUNCTION("""COMPUTED_VALUE"""),-20.0)</f>
        <v>-20</v>
      </c>
      <c r="I18" s="1">
        <f>IFERROR(__xludf.DUMMYFUNCTION("""COMPUTED_VALUE"""),40.0)</f>
        <v>40</v>
      </c>
    </row>
    <row r="19">
      <c r="A19" s="1" t="str">
        <f>IFERROR(__xludf.DUMMYFUNCTION("""COMPUTED_VALUE"""),"18BIRBirmingham City")</f>
        <v>18BIRBirmingham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IFERROR(__xludf.DUMMYFUNCTION("""COMPUTED_VALUE"""),15.0)</f>
        <v>15</v>
      </c>
      <c r="E19" s="1">
        <f>IFERROR(__xludf.DUMMYFUNCTION("""COMPUTED_VALUE"""),15.0)</f>
        <v>15</v>
      </c>
      <c r="F19" s="1">
        <f>IFERROR(__xludf.DUMMYFUNCTION("""COMPUTED_VALUE"""),37.0)</f>
        <v>37</v>
      </c>
      <c r="G19" s="1">
        <f>IFERROR(__xludf.DUMMYFUNCTION("""COMPUTED_VALUE"""),58.0)</f>
        <v>58</v>
      </c>
      <c r="H19" s="1">
        <f>IFERROR(__xludf.DUMMYFUNCTION("""COMPUTED_VALUE"""),-21.0)</f>
        <v>-21</v>
      </c>
      <c r="I19" s="1">
        <f>IFERROR(__xludf.DUMMYFUNCTION("""COMPUTED_VALUE"""),39.0)</f>
        <v>39</v>
      </c>
    </row>
    <row r="20">
      <c r="A20" s="1" t="str">
        <f>IFERROR(__xludf.DUMMYFUNCTION("""COMPUTED_VALUE"""),"19BLPBlackpool")</f>
        <v>19BLPBlackpool</v>
      </c>
      <c r="B20" s="1">
        <f>IFERROR(__xludf.DUMMYFUNCTION("""COMPUTED_VALUE"""),38.0)</f>
        <v>38</v>
      </c>
      <c r="C20" s="1">
        <f>IFERROR(__xludf.DUMMYFUNCTION("""COMPUTED_VALUE"""),10.0)</f>
        <v>10</v>
      </c>
      <c r="D20" s="1">
        <f>IFERROR(__xludf.DUMMYFUNCTION("""COMPUTED_VALUE"""),9.0)</f>
        <v>9</v>
      </c>
      <c r="E20" s="1">
        <f>IFERROR(__xludf.DUMMYFUNCTION("""COMPUTED_VALUE"""),19.0)</f>
        <v>19</v>
      </c>
      <c r="F20" s="1">
        <f>IFERROR(__xludf.DUMMYFUNCTION("""COMPUTED_VALUE"""),55.0)</f>
        <v>55</v>
      </c>
      <c r="G20" s="1">
        <f>IFERROR(__xludf.DUMMYFUNCTION("""COMPUTED_VALUE"""),78.0)</f>
        <v>78</v>
      </c>
      <c r="H20" s="1">
        <f>IFERROR(__xludf.DUMMYFUNCTION("""COMPUTED_VALUE"""),-23.0)</f>
        <v>-23</v>
      </c>
      <c r="I20" s="1">
        <f>IFERROR(__xludf.DUMMYFUNCTION("""COMPUTED_VALUE"""),39.0)</f>
        <v>39</v>
      </c>
    </row>
    <row r="21">
      <c r="A21" s="1" t="str">
        <f>IFERROR(__xludf.DUMMYFUNCTION("""COMPUTED_VALUE"""),"20WHUWest Ham United")</f>
        <v>20WHUWest Ham United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IFERROR(__xludf.DUMMYFUNCTION("""COMPUTED_VALUE"""),12.0)</f>
        <v>12</v>
      </c>
      <c r="E21" s="1">
        <f>IFERROR(__xludf.DUMMYFUNCTION("""COMPUTED_VALUE"""),19.0)</f>
        <v>19</v>
      </c>
      <c r="F21" s="1">
        <f>IFERROR(__xludf.DUMMYFUNCTION("""COMPUTED_VALUE"""),43.0)</f>
        <v>43</v>
      </c>
      <c r="G21" s="1">
        <f>IFERROR(__xludf.DUMMYFUNCTION("""COMPUTED_VALUE"""),70.0)</f>
        <v>70</v>
      </c>
      <c r="H21" s="1">
        <f>IFERROR(__xludf.DUMMYFUNCTION("""COMPUTED_VALUE"""),-27.0)</f>
        <v>-27</v>
      </c>
      <c r="I21" s="1">
        <f>IFERROR(__xludf.DUMMYFUNCTION("""COMPUTED_VALUE"""),33.0)</f>
        <v>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IFERROR(__xludf.DUMMYFUNCTION("IMPORTHTML(""https://www.espn.com/soccer/standings/_/league/ENG.1/season/2009"",""table"",1)"),"2009-2010")</f>
        <v>2009-2010</v>
      </c>
      <c r="B1" s="1" t="str">
        <f>IFERROR(__xludf.DUMMYFUNCTION("IMPORTHTML(""https://www.espn.com/soccer/standings/_/league/ENG.1/season/2009"",""table"",2)"),"GP")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IFERROR(__xludf.DUMMYFUNCTION("""COMPUTED_VALUE"""),5.0)</f>
        <v>5</v>
      </c>
      <c r="E2" s="1">
        <f>IFERROR(__xludf.DUMMYFUNCTION("""COMPUTED_VALUE"""),6.0)</f>
        <v>6</v>
      </c>
      <c r="F2" s="1">
        <f>IFERROR(__xludf.DUMMYFUNCTION("""COMPUTED_VALUE"""),103.0)</f>
        <v>103</v>
      </c>
      <c r="G2" s="1">
        <f>IFERROR(__xludf.DUMMYFUNCTION("""COMPUTED_VALUE"""),32.0)</f>
        <v>32</v>
      </c>
      <c r="H2" s="1" t="str">
        <f>IFERROR(__xludf.DUMMYFUNCTION("""COMPUTED_VALUE"""),"+71")</f>
        <v>+71</v>
      </c>
      <c r="I2" s="1">
        <f>IFERROR(__xludf.DUMMYFUNCTION("""COMPUTED_VALUE"""),86.0)</f>
        <v>86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IFERROR(__xludf.DUMMYFUNCTION("""COMPUTED_VALUE"""),27.0)</f>
        <v>27</v>
      </c>
      <c r="D3" s="1">
        <f>IFERROR(__xludf.DUMMYFUNCTION("""COMPUTED_VALUE"""),4.0)</f>
        <v>4</v>
      </c>
      <c r="E3" s="1">
        <f>IFERROR(__xludf.DUMMYFUNCTION("""COMPUTED_VALUE"""),7.0)</f>
        <v>7</v>
      </c>
      <c r="F3" s="1">
        <f>IFERROR(__xludf.DUMMYFUNCTION("""COMPUTED_VALUE"""),86.0)</f>
        <v>86</v>
      </c>
      <c r="G3" s="1">
        <f>IFERROR(__xludf.DUMMYFUNCTION("""COMPUTED_VALUE"""),28.0)</f>
        <v>28</v>
      </c>
      <c r="H3" s="1" t="str">
        <f>IFERROR(__xludf.DUMMYFUNCTION("""COMPUTED_VALUE"""),"+58")</f>
        <v>+58</v>
      </c>
      <c r="I3" s="1">
        <f>IFERROR(__xludf.DUMMYFUNCTION("""COMPUTED_VALUE"""),85.0)</f>
        <v>85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IFERROR(__xludf.DUMMYFUNCTION("""COMPUTED_VALUE"""),6.0)</f>
        <v>6</v>
      </c>
      <c r="E4" s="1">
        <f>IFERROR(__xludf.DUMMYFUNCTION("""COMPUTED_VALUE"""),9.0)</f>
        <v>9</v>
      </c>
      <c r="F4" s="1">
        <f>IFERROR(__xludf.DUMMYFUNCTION("""COMPUTED_VALUE"""),83.0)</f>
        <v>83</v>
      </c>
      <c r="G4" s="1">
        <f>IFERROR(__xludf.DUMMYFUNCTION("""COMPUTED_VALUE"""),41.0)</f>
        <v>41</v>
      </c>
      <c r="H4" s="1" t="str">
        <f>IFERROR(__xludf.DUMMYFUNCTION("""COMPUTED_VALUE"""),"+42")</f>
        <v>+42</v>
      </c>
      <c r="I4" s="1">
        <f>IFERROR(__xludf.DUMMYFUNCTION("""COMPUTED_VALUE"""),75.0)</f>
        <v>75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IFERROR(__xludf.DUMMYFUNCTION("""COMPUTED_VALUE"""),7.0)</f>
        <v>7</v>
      </c>
      <c r="E5" s="1">
        <f>IFERROR(__xludf.DUMMYFUNCTION("""COMPUTED_VALUE"""),10.0)</f>
        <v>10</v>
      </c>
      <c r="F5" s="1">
        <f>IFERROR(__xludf.DUMMYFUNCTION("""COMPUTED_VALUE"""),67.0)</f>
        <v>67</v>
      </c>
      <c r="G5" s="1">
        <f>IFERROR(__xludf.DUMMYFUNCTION("""COMPUTED_VALUE"""),41.0)</f>
        <v>41</v>
      </c>
      <c r="H5" s="1" t="str">
        <f>IFERROR(__xludf.DUMMYFUNCTION("""COMPUTED_VALUE"""),"+26")</f>
        <v>+26</v>
      </c>
      <c r="I5" s="1">
        <f>IFERROR(__xludf.DUMMYFUNCTION("""COMPUTED_VALUE"""),70.0)</f>
        <v>70</v>
      </c>
    </row>
    <row r="6">
      <c r="A6" s="1" t="str">
        <f>IFERROR(__xludf.DUMMYFUNCTION("""COMPUTED_VALUE"""),"5MNCManchester City")</f>
        <v>5MNCManchester City</v>
      </c>
      <c r="B6" s="1">
        <f>IFERROR(__xludf.DUMMYFUNCTION("""COMPUTED_VALUE"""),38.0)</f>
        <v>38</v>
      </c>
      <c r="C6" s="1">
        <f>IFERROR(__xludf.DUMMYFUNCTION("""COMPUTED_VALUE"""),18.0)</f>
        <v>18</v>
      </c>
      <c r="D6" s="1">
        <f>IFERROR(__xludf.DUMMYFUNCTION("""COMPUTED_VALUE"""),13.0)</f>
        <v>13</v>
      </c>
      <c r="E6" s="1">
        <f>IFERROR(__xludf.DUMMYFUNCTION("""COMPUTED_VALUE"""),7.0)</f>
        <v>7</v>
      </c>
      <c r="F6" s="1">
        <f>IFERROR(__xludf.DUMMYFUNCTION("""COMPUTED_VALUE"""),73.0)</f>
        <v>73</v>
      </c>
      <c r="G6" s="1">
        <f>IFERROR(__xludf.DUMMYFUNCTION("""COMPUTED_VALUE"""),45.0)</f>
        <v>45</v>
      </c>
      <c r="H6" s="1" t="str">
        <f>IFERROR(__xludf.DUMMYFUNCTION("""COMPUTED_VALUE"""),"+28")</f>
        <v>+28</v>
      </c>
      <c r="I6" s="1">
        <f>IFERROR(__xludf.DUMMYFUNCTION("""COMPUTED_VALUE"""),67.0)</f>
        <v>67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IFERROR(__xludf.DUMMYFUNCTION("""COMPUTED_VALUE"""),17.0)</f>
        <v>17</v>
      </c>
      <c r="D7" s="1">
        <f>IFERROR(__xludf.DUMMYFUNCTION("""COMPUTED_VALUE"""),13.0)</f>
        <v>13</v>
      </c>
      <c r="E7" s="1">
        <f>IFERROR(__xludf.DUMMYFUNCTION("""COMPUTED_VALUE"""),8.0)</f>
        <v>8</v>
      </c>
      <c r="F7" s="1">
        <f>IFERROR(__xludf.DUMMYFUNCTION("""COMPUTED_VALUE"""),52.0)</f>
        <v>52</v>
      </c>
      <c r="G7" s="1">
        <f>IFERROR(__xludf.DUMMYFUNCTION("""COMPUTED_VALUE"""),39.0)</f>
        <v>39</v>
      </c>
      <c r="H7" s="1" t="str">
        <f>IFERROR(__xludf.DUMMYFUNCTION("""COMPUTED_VALUE"""),"+13")</f>
        <v>+13</v>
      </c>
      <c r="I7" s="1">
        <f>IFERROR(__xludf.DUMMYFUNCTION("""COMPUTED_VALUE"""),64.0)</f>
        <v>64</v>
      </c>
    </row>
    <row r="8">
      <c r="A8" s="1" t="str">
        <f>IFERROR(__xludf.DUMMYFUNCTION("""COMPUTED_VALUE"""),"7LIVLiverpool")</f>
        <v>7LIVLiverpool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IFERROR(__xludf.DUMMYFUNCTION("""COMPUTED_VALUE"""),9.0)</f>
        <v>9</v>
      </c>
      <c r="E8" s="1">
        <f>IFERROR(__xludf.DUMMYFUNCTION("""COMPUTED_VALUE"""),11.0)</f>
        <v>11</v>
      </c>
      <c r="F8" s="1">
        <f>IFERROR(__xludf.DUMMYFUNCTION("""COMPUTED_VALUE"""),61.0)</f>
        <v>61</v>
      </c>
      <c r="G8" s="1">
        <f>IFERROR(__xludf.DUMMYFUNCTION("""COMPUTED_VALUE"""),35.0)</f>
        <v>35</v>
      </c>
      <c r="H8" s="1" t="str">
        <f>IFERROR(__xludf.DUMMYFUNCTION("""COMPUTED_VALUE"""),"+26")</f>
        <v>+26</v>
      </c>
      <c r="I8" s="1">
        <f>IFERROR(__xludf.DUMMYFUNCTION("""COMPUTED_VALUE"""),63.0)</f>
        <v>63</v>
      </c>
    </row>
    <row r="9">
      <c r="A9" s="1" t="str">
        <f>IFERROR(__xludf.DUMMYFUNCTION("""COMPUTED_VALUE"""),"8EVEEverton")</f>
        <v>8EVEEverton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IFERROR(__xludf.DUMMYFUNCTION("""COMPUTED_VALUE"""),13.0)</f>
        <v>13</v>
      </c>
      <c r="E9" s="1">
        <f>IFERROR(__xludf.DUMMYFUNCTION("""COMPUTED_VALUE"""),9.0)</f>
        <v>9</v>
      </c>
      <c r="F9" s="1">
        <f>IFERROR(__xludf.DUMMYFUNCTION("""COMPUTED_VALUE"""),60.0)</f>
        <v>60</v>
      </c>
      <c r="G9" s="1">
        <f>IFERROR(__xludf.DUMMYFUNCTION("""COMPUTED_VALUE"""),49.0)</f>
        <v>49</v>
      </c>
      <c r="H9" s="1" t="str">
        <f>IFERROR(__xludf.DUMMYFUNCTION("""COMPUTED_VALUE"""),"+11")</f>
        <v>+11</v>
      </c>
      <c r="I9" s="1">
        <f>IFERROR(__xludf.DUMMYFUNCTION("""COMPUTED_VALUE"""),61.0)</f>
        <v>61</v>
      </c>
    </row>
    <row r="10">
      <c r="A10" s="1" t="str">
        <f>IFERROR(__xludf.DUMMYFUNCTION("""COMPUTED_VALUE"""),"9BIRBirmingham City")</f>
        <v>9BIRBirmingham City</v>
      </c>
      <c r="B10" s="1">
        <f>IFERROR(__xludf.DUMMYFUNCTION("""COMPUTED_VALUE"""),38.0)</f>
        <v>38</v>
      </c>
      <c r="C10" s="1">
        <f>IFERROR(__xludf.DUMMYFUNCTION("""COMPUTED_VALUE"""),13.0)</f>
        <v>13</v>
      </c>
      <c r="D10" s="1">
        <f>IFERROR(__xludf.DUMMYFUNCTION("""COMPUTED_VALUE"""),11.0)</f>
        <v>11</v>
      </c>
      <c r="E10" s="1">
        <f>IFERROR(__xludf.DUMMYFUNCTION("""COMPUTED_VALUE"""),14.0)</f>
        <v>14</v>
      </c>
      <c r="F10" s="1">
        <f>IFERROR(__xludf.DUMMYFUNCTION("""COMPUTED_VALUE"""),38.0)</f>
        <v>38</v>
      </c>
      <c r="G10" s="1">
        <f>IFERROR(__xludf.DUMMYFUNCTION("""COMPUTED_VALUE"""),47.0)</f>
        <v>47</v>
      </c>
      <c r="H10" s="1">
        <f>IFERROR(__xludf.DUMMYFUNCTION("""COMPUTED_VALUE"""),-9.0)</f>
        <v>-9</v>
      </c>
      <c r="I10" s="1">
        <f>IFERROR(__xludf.DUMMYFUNCTION("""COMPUTED_VALUE"""),50.0)</f>
        <v>50</v>
      </c>
    </row>
    <row r="11">
      <c r="A11" s="1" t="str">
        <f>IFERROR(__xludf.DUMMYFUNCTION("""COMPUTED_VALUE"""),"10BLKBlackburn Rovers")</f>
        <v>10BLKBlackburn Rovers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IFERROR(__xludf.DUMMYFUNCTION("""COMPUTED_VALUE"""),11.0)</f>
        <v>11</v>
      </c>
      <c r="E11" s="1">
        <f>IFERROR(__xludf.DUMMYFUNCTION("""COMPUTED_VALUE"""),14.0)</f>
        <v>14</v>
      </c>
      <c r="F11" s="1">
        <f>IFERROR(__xludf.DUMMYFUNCTION("""COMPUTED_VALUE"""),41.0)</f>
        <v>41</v>
      </c>
      <c r="G11" s="1">
        <f>IFERROR(__xludf.DUMMYFUNCTION("""COMPUTED_VALUE"""),55.0)</f>
        <v>55</v>
      </c>
      <c r="H11" s="1">
        <f>IFERROR(__xludf.DUMMYFUNCTION("""COMPUTED_VALUE"""),-14.0)</f>
        <v>-14</v>
      </c>
      <c r="I11" s="1">
        <f>IFERROR(__xludf.DUMMYFUNCTION("""COMPUTED_VALUE"""),50.0)</f>
        <v>50</v>
      </c>
    </row>
    <row r="12">
      <c r="A12" s="1" t="str">
        <f>IFERROR(__xludf.DUMMYFUNCTION("""COMPUTED_VALUE"""),"11STKStoke City")</f>
        <v>11STKStoke City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IFERROR(__xludf.DUMMYFUNCTION("""COMPUTED_VALUE"""),14.0)</f>
        <v>14</v>
      </c>
      <c r="E12" s="1">
        <f>IFERROR(__xludf.DUMMYFUNCTION("""COMPUTED_VALUE"""),13.0)</f>
        <v>13</v>
      </c>
      <c r="F12" s="1">
        <f>IFERROR(__xludf.DUMMYFUNCTION("""COMPUTED_VALUE"""),34.0)</f>
        <v>34</v>
      </c>
      <c r="G12" s="1">
        <f>IFERROR(__xludf.DUMMYFUNCTION("""COMPUTED_VALUE"""),48.0)</f>
        <v>48</v>
      </c>
      <c r="H12" s="1">
        <f>IFERROR(__xludf.DUMMYFUNCTION("""COMPUTED_VALUE"""),-14.0)</f>
        <v>-14</v>
      </c>
      <c r="I12" s="1">
        <f>IFERROR(__xludf.DUMMYFUNCTION("""COMPUTED_VALUE"""),47.0)</f>
        <v>47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IFERROR(__xludf.DUMMYFUNCTION("""COMPUTED_VALUE"""),10.0)</f>
        <v>10</v>
      </c>
      <c r="E13" s="1">
        <f>IFERROR(__xludf.DUMMYFUNCTION("""COMPUTED_VALUE"""),16.0)</f>
        <v>16</v>
      </c>
      <c r="F13" s="1">
        <f>IFERROR(__xludf.DUMMYFUNCTION("""COMPUTED_VALUE"""),39.0)</f>
        <v>39</v>
      </c>
      <c r="G13" s="1">
        <f>IFERROR(__xludf.DUMMYFUNCTION("""COMPUTED_VALUE"""),46.0)</f>
        <v>46</v>
      </c>
      <c r="H13" s="1">
        <f>IFERROR(__xludf.DUMMYFUNCTION("""COMPUTED_VALUE"""),-7.0)</f>
        <v>-7</v>
      </c>
      <c r="I13" s="1">
        <f>IFERROR(__xludf.DUMMYFUNCTION("""COMPUTED_VALUE"""),46.0)</f>
        <v>46</v>
      </c>
    </row>
    <row r="14">
      <c r="A14" s="1" t="str">
        <f>IFERROR(__xludf.DUMMYFUNCTION("""COMPUTED_VALUE"""),"13SUNSunderland")</f>
        <v>13SUNSunderland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IFERROR(__xludf.DUMMYFUNCTION("""COMPUTED_VALUE"""),48.0)</f>
        <v>48</v>
      </c>
      <c r="G14" s="1">
        <f>IFERROR(__xludf.DUMMYFUNCTION("""COMPUTED_VALUE"""),56.0)</f>
        <v>56</v>
      </c>
      <c r="H14" s="1">
        <f>IFERROR(__xludf.DUMMYFUNCTION("""COMPUTED_VALUE"""),-8.0)</f>
        <v>-8</v>
      </c>
      <c r="I14" s="1">
        <f>IFERROR(__xludf.DUMMYFUNCTION("""COMPUTED_VALUE"""),44.0)</f>
        <v>44</v>
      </c>
    </row>
    <row r="15">
      <c r="A15" s="1" t="str">
        <f>IFERROR(__xludf.DUMMYFUNCTION("""COMPUTED_VALUE"""),"14BOLBolton Wanderers")</f>
        <v>14BOLBolton Wanderers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IFERROR(__xludf.DUMMYFUNCTION("""COMPUTED_VALUE"""),9.0)</f>
        <v>9</v>
      </c>
      <c r="E15" s="1">
        <f>IFERROR(__xludf.DUMMYFUNCTION("""COMPUTED_VALUE"""),19.0)</f>
        <v>19</v>
      </c>
      <c r="F15" s="1">
        <f>IFERROR(__xludf.DUMMYFUNCTION("""COMPUTED_VALUE"""),42.0)</f>
        <v>42</v>
      </c>
      <c r="G15" s="1">
        <f>IFERROR(__xludf.DUMMYFUNCTION("""COMPUTED_VALUE"""),67.0)</f>
        <v>67</v>
      </c>
      <c r="H15" s="1">
        <f>IFERROR(__xludf.DUMMYFUNCTION("""COMPUTED_VALUE"""),-25.0)</f>
        <v>-25</v>
      </c>
      <c r="I15" s="1">
        <f>IFERROR(__xludf.DUMMYFUNCTION("""COMPUTED_VALUE"""),39.0)</f>
        <v>39</v>
      </c>
    </row>
    <row r="16">
      <c r="A16" s="1" t="str">
        <f>IFERROR(__xludf.DUMMYFUNCTION("""COMPUTED_VALUE"""),"15WOLWolverhampton Wanderers")</f>
        <v>15WOLWolverhampton Wanderers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IFERROR(__xludf.DUMMYFUNCTION("""COMPUTED_VALUE"""),11.0)</f>
        <v>11</v>
      </c>
      <c r="E16" s="1">
        <f>IFERROR(__xludf.DUMMYFUNCTION("""COMPUTED_VALUE"""),18.0)</f>
        <v>18</v>
      </c>
      <c r="F16" s="1">
        <f>IFERROR(__xludf.DUMMYFUNCTION("""COMPUTED_VALUE"""),32.0)</f>
        <v>32</v>
      </c>
      <c r="G16" s="1">
        <f>IFERROR(__xludf.DUMMYFUNCTION("""COMPUTED_VALUE"""),56.0)</f>
        <v>56</v>
      </c>
      <c r="H16" s="1">
        <f>IFERROR(__xludf.DUMMYFUNCTION("""COMPUTED_VALUE"""),-24.0)</f>
        <v>-24</v>
      </c>
      <c r="I16" s="1">
        <f>IFERROR(__xludf.DUMMYFUNCTION("""COMPUTED_VALUE"""),38.0)</f>
        <v>38</v>
      </c>
    </row>
    <row r="17">
      <c r="A17" s="1" t="str">
        <f>IFERROR(__xludf.DUMMYFUNCTION("""COMPUTED_VALUE"""),"16WGAWigan Athletic")</f>
        <v>16WGAWigan Athletic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IFERROR(__xludf.DUMMYFUNCTION("""COMPUTED_VALUE"""),9.0)</f>
        <v>9</v>
      </c>
      <c r="E17" s="1">
        <f>IFERROR(__xludf.DUMMYFUNCTION("""COMPUTED_VALUE"""),20.0)</f>
        <v>20</v>
      </c>
      <c r="F17" s="1">
        <f>IFERROR(__xludf.DUMMYFUNCTION("""COMPUTED_VALUE"""),37.0)</f>
        <v>37</v>
      </c>
      <c r="G17" s="1">
        <f>IFERROR(__xludf.DUMMYFUNCTION("""COMPUTED_VALUE"""),79.0)</f>
        <v>79</v>
      </c>
      <c r="H17" s="1">
        <f>IFERROR(__xludf.DUMMYFUNCTION("""COMPUTED_VALUE"""),-42.0)</f>
        <v>-42</v>
      </c>
      <c r="I17" s="1">
        <f>IFERROR(__xludf.DUMMYFUNCTION("""COMPUTED_VALUE"""),36.0)</f>
        <v>36</v>
      </c>
    </row>
    <row r="18">
      <c r="A18" s="1" t="str">
        <f>IFERROR(__xludf.DUMMYFUNCTION("""COMPUTED_VALUE"""),"17WHUWest Ham United")</f>
        <v>17WHUWest Ham United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IFERROR(__xludf.DUMMYFUNCTION("""COMPUTED_VALUE"""),11.0)</f>
        <v>11</v>
      </c>
      <c r="E18" s="1">
        <f>IFERROR(__xludf.DUMMYFUNCTION("""COMPUTED_VALUE"""),19.0)</f>
        <v>19</v>
      </c>
      <c r="F18" s="1">
        <f>IFERROR(__xludf.DUMMYFUNCTION("""COMPUTED_VALUE"""),47.0)</f>
        <v>47</v>
      </c>
      <c r="G18" s="1">
        <f>IFERROR(__xludf.DUMMYFUNCTION("""COMPUTED_VALUE"""),66.0)</f>
        <v>66</v>
      </c>
      <c r="H18" s="1">
        <f>IFERROR(__xludf.DUMMYFUNCTION("""COMPUTED_VALUE"""),-19.0)</f>
        <v>-19</v>
      </c>
      <c r="I18" s="1">
        <f>IFERROR(__xludf.DUMMYFUNCTION("""COMPUTED_VALUE"""),35.0)</f>
        <v>35</v>
      </c>
    </row>
    <row r="19">
      <c r="A19" s="1" t="str">
        <f>IFERROR(__xludf.DUMMYFUNCTION("""COMPUTED_VALUE"""),"18BURBurnley")</f>
        <v>18BURBurnley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IFERROR(__xludf.DUMMYFUNCTION("""COMPUTED_VALUE"""),6.0)</f>
        <v>6</v>
      </c>
      <c r="E19" s="1">
        <f>IFERROR(__xludf.DUMMYFUNCTION("""COMPUTED_VALUE"""),24.0)</f>
        <v>24</v>
      </c>
      <c r="F19" s="1">
        <f>IFERROR(__xludf.DUMMYFUNCTION("""COMPUTED_VALUE"""),42.0)</f>
        <v>42</v>
      </c>
      <c r="G19" s="1">
        <f>IFERROR(__xludf.DUMMYFUNCTION("""COMPUTED_VALUE"""),82.0)</f>
        <v>82</v>
      </c>
      <c r="H19" s="1">
        <f>IFERROR(__xludf.DUMMYFUNCTION("""COMPUTED_VALUE"""),-40.0)</f>
        <v>-40</v>
      </c>
      <c r="I19" s="1">
        <f>IFERROR(__xludf.DUMMYFUNCTION("""COMPUTED_VALUE"""),30.0)</f>
        <v>30</v>
      </c>
    </row>
    <row r="20">
      <c r="A20" s="1" t="str">
        <f>IFERROR(__xludf.DUMMYFUNCTION("""COMPUTED_VALUE"""),"19HULHull City")</f>
        <v>19HULHull City</v>
      </c>
      <c r="B20" s="1">
        <f>IFERROR(__xludf.DUMMYFUNCTION("""COMPUTED_VALUE"""),38.0)</f>
        <v>38</v>
      </c>
      <c r="C20" s="1">
        <f>IFERROR(__xludf.DUMMYFUNCTION("""COMPUTED_VALUE"""),6.0)</f>
        <v>6</v>
      </c>
      <c r="D20" s="1">
        <f>IFERROR(__xludf.DUMMYFUNCTION("""COMPUTED_VALUE"""),12.0)</f>
        <v>12</v>
      </c>
      <c r="E20" s="1">
        <f>IFERROR(__xludf.DUMMYFUNCTION("""COMPUTED_VALUE"""),20.0)</f>
        <v>20</v>
      </c>
      <c r="F20" s="1">
        <f>IFERROR(__xludf.DUMMYFUNCTION("""COMPUTED_VALUE"""),34.0)</f>
        <v>34</v>
      </c>
      <c r="G20" s="1">
        <f>IFERROR(__xludf.DUMMYFUNCTION("""COMPUTED_VALUE"""),75.0)</f>
        <v>75</v>
      </c>
      <c r="H20" s="1">
        <f>IFERROR(__xludf.DUMMYFUNCTION("""COMPUTED_VALUE"""),-41.0)</f>
        <v>-41</v>
      </c>
      <c r="I20" s="1">
        <f>IFERROR(__xludf.DUMMYFUNCTION("""COMPUTED_VALUE"""),30.0)</f>
        <v>30</v>
      </c>
    </row>
    <row r="21">
      <c r="A21" s="1" t="str">
        <f>IFERROR(__xludf.DUMMYFUNCTION("""COMPUTED_VALUE"""),"20PORPortsmouth")</f>
        <v>20PORPortsmouth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IFERROR(__xludf.DUMMYFUNCTION("""COMPUTED_VALUE"""),7.0)</f>
        <v>7</v>
      </c>
      <c r="E21" s="1">
        <f>IFERROR(__xludf.DUMMYFUNCTION("""COMPUTED_VALUE"""),24.0)</f>
        <v>24</v>
      </c>
      <c r="F21" s="1">
        <f>IFERROR(__xludf.DUMMYFUNCTION("""COMPUTED_VALUE"""),34.0)</f>
        <v>34</v>
      </c>
      <c r="G21" s="1">
        <f>IFERROR(__xludf.DUMMYFUNCTION("""COMPUTED_VALUE"""),66.0)</f>
        <v>66</v>
      </c>
      <c r="H21" s="1">
        <f>IFERROR(__xludf.DUMMYFUNCTION("""COMPUTED_VALUE"""),-32.0)</f>
        <v>-32</v>
      </c>
      <c r="I21" s="1">
        <f>IFERROR(__xludf.DUMMYFUNCTION("""COMPUTED_VALUE"""),19.0)</f>
        <v>19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IFERROR(__xludf.DUMMYFUNCTION("IMPORTHTML(""https://www.espn.com/soccer/standings/_/league/ENG.1/season/2008"",""table"",1)"),"2008-2009")</f>
        <v>2008-2009</v>
      </c>
      <c r="B1" s="1" t="str">
        <f>IFERROR(__xludf.DUMMYFUNCTION("IMPORTHTML(""https://www.espn.com/soccer/standings/_/league/ENG.1/season/2008"",""table"",2)"),"GP")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IFERROR(__xludf.DUMMYFUNCTION("""COMPUTED_VALUE"""),6.0)</f>
        <v>6</v>
      </c>
      <c r="E2" s="1">
        <f>IFERROR(__xludf.DUMMYFUNCTION("""COMPUTED_VALUE"""),4.0)</f>
        <v>4</v>
      </c>
      <c r="F2" s="1">
        <f>IFERROR(__xludf.DUMMYFUNCTION("""COMPUTED_VALUE"""),68.0)</f>
        <v>68</v>
      </c>
      <c r="G2" s="1">
        <f>IFERROR(__xludf.DUMMYFUNCTION("""COMPUTED_VALUE"""),24.0)</f>
        <v>24</v>
      </c>
      <c r="H2" s="1" t="str">
        <f>IFERROR(__xludf.DUMMYFUNCTION("""COMPUTED_VALUE"""),"+44")</f>
        <v>+44</v>
      </c>
      <c r="I2" s="1">
        <f>IFERROR(__xludf.DUMMYFUNCTION("""COMPUTED_VALUE"""),90.0)</f>
        <v>90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IFERROR(__xludf.DUMMYFUNCTION("""COMPUTED_VALUE"""),11.0)</f>
        <v>11</v>
      </c>
      <c r="E3" s="1">
        <f>IFERROR(__xludf.DUMMYFUNCTION("""COMPUTED_VALUE"""),2.0)</f>
        <v>2</v>
      </c>
      <c r="F3" s="1">
        <f>IFERROR(__xludf.DUMMYFUNCTION("""COMPUTED_VALUE"""),77.0)</f>
        <v>77</v>
      </c>
      <c r="G3" s="1">
        <f>IFERROR(__xludf.DUMMYFUNCTION("""COMPUTED_VALUE"""),27.0)</f>
        <v>27</v>
      </c>
      <c r="H3" s="1" t="str">
        <f>IFERROR(__xludf.DUMMYFUNCTION("""COMPUTED_VALUE"""),"+50")</f>
        <v>+50</v>
      </c>
      <c r="I3" s="1">
        <f>IFERROR(__xludf.DUMMYFUNCTION("""COMPUTED_VALUE"""),86.0)</f>
        <v>86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IFERROR(__xludf.DUMMYFUNCTION("""COMPUTED_VALUE"""),25.0)</f>
        <v>25</v>
      </c>
      <c r="D4" s="1">
        <f>IFERROR(__xludf.DUMMYFUNCTION("""COMPUTED_VALUE"""),8.0)</f>
        <v>8</v>
      </c>
      <c r="E4" s="1">
        <f>IFERROR(__xludf.DUMMYFUNCTION("""COMPUTED_VALUE"""),5.0)</f>
        <v>5</v>
      </c>
      <c r="F4" s="1">
        <f>IFERROR(__xludf.DUMMYFUNCTION("""COMPUTED_VALUE"""),68.0)</f>
        <v>68</v>
      </c>
      <c r="G4" s="1">
        <f>IFERROR(__xludf.DUMMYFUNCTION("""COMPUTED_VALUE"""),24.0)</f>
        <v>24</v>
      </c>
      <c r="H4" s="1" t="str">
        <f>IFERROR(__xludf.DUMMYFUNCTION("""COMPUTED_VALUE"""),"+44")</f>
        <v>+44</v>
      </c>
      <c r="I4" s="1">
        <f>IFERROR(__xludf.DUMMYFUNCTION("""COMPUTED_VALUE"""),83.0)</f>
        <v>83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IFERROR(__xludf.DUMMYFUNCTION("""COMPUTED_VALUE"""),12.0)</f>
        <v>12</v>
      </c>
      <c r="E5" s="1">
        <f>IFERROR(__xludf.DUMMYFUNCTION("""COMPUTED_VALUE"""),6.0)</f>
        <v>6</v>
      </c>
      <c r="F5" s="1">
        <f>IFERROR(__xludf.DUMMYFUNCTION("""COMPUTED_VALUE"""),68.0)</f>
        <v>68</v>
      </c>
      <c r="G5" s="1">
        <f>IFERROR(__xludf.DUMMYFUNCTION("""COMPUTED_VALUE"""),37.0)</f>
        <v>37</v>
      </c>
      <c r="H5" s="1" t="str">
        <f>IFERROR(__xludf.DUMMYFUNCTION("""COMPUTED_VALUE"""),"+31")</f>
        <v>+31</v>
      </c>
      <c r="I5" s="1">
        <f>IFERROR(__xludf.DUMMYFUNCTION("""COMPUTED_VALUE"""),72.0)</f>
        <v>72</v>
      </c>
    </row>
    <row r="6">
      <c r="A6" s="1" t="str">
        <f>IFERROR(__xludf.DUMMYFUNCTION("""COMPUTED_VALUE"""),"5EVEEverton")</f>
        <v>5EVEEverton</v>
      </c>
      <c r="B6" s="1">
        <f>IFERROR(__xludf.DUMMYFUNCTION("""COMPUTED_VALUE"""),38.0)</f>
        <v>38</v>
      </c>
      <c r="C6" s="1">
        <f>IFERROR(__xludf.DUMMYFUNCTION("""COMPUTED_VALUE"""),17.0)</f>
        <v>17</v>
      </c>
      <c r="D6" s="1">
        <f>IFERROR(__xludf.DUMMYFUNCTION("""COMPUTED_VALUE"""),12.0)</f>
        <v>12</v>
      </c>
      <c r="E6" s="1">
        <f>IFERROR(__xludf.DUMMYFUNCTION("""COMPUTED_VALUE"""),9.0)</f>
        <v>9</v>
      </c>
      <c r="F6" s="1">
        <f>IFERROR(__xludf.DUMMYFUNCTION("""COMPUTED_VALUE"""),55.0)</f>
        <v>55</v>
      </c>
      <c r="G6" s="1">
        <f>IFERROR(__xludf.DUMMYFUNCTION("""COMPUTED_VALUE"""),37.0)</f>
        <v>37</v>
      </c>
      <c r="H6" s="1" t="str">
        <f>IFERROR(__xludf.DUMMYFUNCTION("""COMPUTED_VALUE"""),"+18")</f>
        <v>+18</v>
      </c>
      <c r="I6" s="1">
        <f>IFERROR(__xludf.DUMMYFUNCTION("""COMPUTED_VALUE"""),63.0)</f>
        <v>63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IFERROR(__xludf.DUMMYFUNCTION("""COMPUTED_VALUE"""),17.0)</f>
        <v>17</v>
      </c>
      <c r="D7" s="1">
        <f>IFERROR(__xludf.DUMMYFUNCTION("""COMPUTED_VALUE"""),11.0)</f>
        <v>11</v>
      </c>
      <c r="E7" s="1">
        <f>IFERROR(__xludf.DUMMYFUNCTION("""COMPUTED_VALUE"""),10.0)</f>
        <v>10</v>
      </c>
      <c r="F7" s="1">
        <f>IFERROR(__xludf.DUMMYFUNCTION("""COMPUTED_VALUE"""),54.0)</f>
        <v>54</v>
      </c>
      <c r="G7" s="1">
        <f>IFERROR(__xludf.DUMMYFUNCTION("""COMPUTED_VALUE"""),48.0)</f>
        <v>48</v>
      </c>
      <c r="H7" s="1" t="str">
        <f>IFERROR(__xludf.DUMMYFUNCTION("""COMPUTED_VALUE"""),"+6")</f>
        <v>+6</v>
      </c>
      <c r="I7" s="1">
        <f>IFERROR(__xludf.DUMMYFUNCTION("""COMPUTED_VALUE"""),62.0)</f>
        <v>62</v>
      </c>
    </row>
    <row r="8">
      <c r="A8" s="1" t="str">
        <f>IFERROR(__xludf.DUMMYFUNCTION("""COMPUTED_VALUE"""),"7FULFulham")</f>
        <v>7FULFulham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IFERROR(__xludf.DUMMYFUNCTION("""COMPUTED_VALUE"""),11.0)</f>
        <v>11</v>
      </c>
      <c r="E8" s="1">
        <f>IFERROR(__xludf.DUMMYFUNCTION("""COMPUTED_VALUE"""),13.0)</f>
        <v>13</v>
      </c>
      <c r="F8" s="1">
        <f>IFERROR(__xludf.DUMMYFUNCTION("""COMPUTED_VALUE"""),39.0)</f>
        <v>39</v>
      </c>
      <c r="G8" s="1">
        <f>IFERROR(__xludf.DUMMYFUNCTION("""COMPUTED_VALUE"""),34.0)</f>
        <v>34</v>
      </c>
      <c r="H8" s="1" t="str">
        <f>IFERROR(__xludf.DUMMYFUNCTION("""COMPUTED_VALUE"""),"+5")</f>
        <v>+5</v>
      </c>
      <c r="I8" s="1">
        <f>IFERROR(__xludf.DUMMYFUNCTION("""COMPUTED_VALUE"""),53.0)</f>
        <v>53</v>
      </c>
    </row>
    <row r="9">
      <c r="A9" s="1" t="str">
        <f>IFERROR(__xludf.DUMMYFUNCTION("""COMPUTED_VALUE"""),"8TOTTottenham Hotspur")</f>
        <v>8TOTTottenham Hotspur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IFERROR(__xludf.DUMMYFUNCTION("""COMPUTED_VALUE"""),9.0)</f>
        <v>9</v>
      </c>
      <c r="E9" s="1">
        <f>IFERROR(__xludf.DUMMYFUNCTION("""COMPUTED_VALUE"""),15.0)</f>
        <v>15</v>
      </c>
      <c r="F9" s="1">
        <f>IFERROR(__xludf.DUMMYFUNCTION("""COMPUTED_VALUE"""),45.0)</f>
        <v>45</v>
      </c>
      <c r="G9" s="1">
        <f>IFERROR(__xludf.DUMMYFUNCTION("""COMPUTED_VALUE"""),45.0)</f>
        <v>45</v>
      </c>
      <c r="H9" s="1">
        <f>IFERROR(__xludf.DUMMYFUNCTION("""COMPUTED_VALUE"""),0.0)</f>
        <v>0</v>
      </c>
      <c r="I9" s="1">
        <f>IFERROR(__xludf.DUMMYFUNCTION("""COMPUTED_VALUE"""),51.0)</f>
        <v>51</v>
      </c>
    </row>
    <row r="10">
      <c r="A10" s="1" t="str">
        <f>IFERROR(__xludf.DUMMYFUNCTION("""COMPUTED_VALUE"""),"9WHUWest Ham United")</f>
        <v>9WHUWest Ham United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IFERROR(__xludf.DUMMYFUNCTION("""COMPUTED_VALUE"""),9.0)</f>
        <v>9</v>
      </c>
      <c r="E10" s="1">
        <f>IFERROR(__xludf.DUMMYFUNCTION("""COMPUTED_VALUE"""),15.0)</f>
        <v>15</v>
      </c>
      <c r="F10" s="1">
        <f>IFERROR(__xludf.DUMMYFUNCTION("""COMPUTED_VALUE"""),42.0)</f>
        <v>42</v>
      </c>
      <c r="G10" s="1">
        <f>IFERROR(__xludf.DUMMYFUNCTION("""COMPUTED_VALUE"""),45.0)</f>
        <v>45</v>
      </c>
      <c r="H10" s="1">
        <f>IFERROR(__xludf.DUMMYFUNCTION("""COMPUTED_VALUE"""),-3.0)</f>
        <v>-3</v>
      </c>
      <c r="I10" s="1">
        <f>IFERROR(__xludf.DUMMYFUNCTION("""COMPUTED_VALUE"""),51.0)</f>
        <v>51</v>
      </c>
    </row>
    <row r="11">
      <c r="A11" s="1" t="str">
        <f>IFERROR(__xludf.DUMMYFUNCTION("""COMPUTED_VALUE"""),"10MNCManchester City")</f>
        <v>10MNCManchester City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IFERROR(__xludf.DUMMYFUNCTION("""COMPUTED_VALUE"""),5.0)</f>
        <v>5</v>
      </c>
      <c r="E11" s="1">
        <f>IFERROR(__xludf.DUMMYFUNCTION("""COMPUTED_VALUE"""),18.0)</f>
        <v>18</v>
      </c>
      <c r="F11" s="1">
        <f>IFERROR(__xludf.DUMMYFUNCTION("""COMPUTED_VALUE"""),58.0)</f>
        <v>58</v>
      </c>
      <c r="G11" s="1">
        <f>IFERROR(__xludf.DUMMYFUNCTION("""COMPUTED_VALUE"""),50.0)</f>
        <v>50</v>
      </c>
      <c r="H11" s="1" t="str">
        <f>IFERROR(__xludf.DUMMYFUNCTION("""COMPUTED_VALUE"""),"+8")</f>
        <v>+8</v>
      </c>
      <c r="I11" s="1">
        <f>IFERROR(__xludf.DUMMYFUNCTION("""COMPUTED_VALUE"""),50.0)</f>
        <v>50</v>
      </c>
    </row>
    <row r="12">
      <c r="A12" s="1" t="str">
        <f>IFERROR(__xludf.DUMMYFUNCTION("""COMPUTED_VALUE"""),"11WGAWigan Athletic")</f>
        <v>11WGAWigan Athletic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IFERROR(__xludf.DUMMYFUNCTION("""COMPUTED_VALUE"""),9.0)</f>
        <v>9</v>
      </c>
      <c r="E12" s="1">
        <f>IFERROR(__xludf.DUMMYFUNCTION("""COMPUTED_VALUE"""),17.0)</f>
        <v>17</v>
      </c>
      <c r="F12" s="1">
        <f>IFERROR(__xludf.DUMMYFUNCTION("""COMPUTED_VALUE"""),34.0)</f>
        <v>34</v>
      </c>
      <c r="G12" s="1">
        <f>IFERROR(__xludf.DUMMYFUNCTION("""COMPUTED_VALUE"""),45.0)</f>
        <v>45</v>
      </c>
      <c r="H12" s="1">
        <f>IFERROR(__xludf.DUMMYFUNCTION("""COMPUTED_VALUE"""),-11.0)</f>
        <v>-11</v>
      </c>
      <c r="I12" s="1">
        <f>IFERROR(__xludf.DUMMYFUNCTION("""COMPUTED_VALUE"""),45.0)</f>
        <v>45</v>
      </c>
    </row>
    <row r="13">
      <c r="A13" s="1" t="str">
        <f>IFERROR(__xludf.DUMMYFUNCTION("""COMPUTED_VALUE"""),"12STKStoke City")</f>
        <v>12STKStoke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IFERROR(__xludf.DUMMYFUNCTION("""COMPUTED_VALUE"""),9.0)</f>
        <v>9</v>
      </c>
      <c r="E13" s="1">
        <f>IFERROR(__xludf.DUMMYFUNCTION("""COMPUTED_VALUE"""),17.0)</f>
        <v>17</v>
      </c>
      <c r="F13" s="1">
        <f>IFERROR(__xludf.DUMMYFUNCTION("""COMPUTED_VALUE"""),38.0)</f>
        <v>38</v>
      </c>
      <c r="G13" s="1">
        <f>IFERROR(__xludf.DUMMYFUNCTION("""COMPUTED_VALUE"""),55.0)</f>
        <v>55</v>
      </c>
      <c r="H13" s="1">
        <f>IFERROR(__xludf.DUMMYFUNCTION("""COMPUTED_VALUE"""),-17.0)</f>
        <v>-17</v>
      </c>
      <c r="I13" s="1">
        <f>IFERROR(__xludf.DUMMYFUNCTION("""COMPUTED_VALUE"""),45.0)</f>
        <v>45</v>
      </c>
    </row>
    <row r="14">
      <c r="A14" s="1" t="str">
        <f>IFERROR(__xludf.DUMMYFUNCTION("""COMPUTED_VALUE"""),"13BOLBolton Wanderers")</f>
        <v>13BOLBolton Wanderers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IFERROR(__xludf.DUMMYFUNCTION("""COMPUTED_VALUE"""),8.0)</f>
        <v>8</v>
      </c>
      <c r="E14" s="1">
        <f>IFERROR(__xludf.DUMMYFUNCTION("""COMPUTED_VALUE"""),19.0)</f>
        <v>19</v>
      </c>
      <c r="F14" s="1">
        <f>IFERROR(__xludf.DUMMYFUNCTION("""COMPUTED_VALUE"""),41.0)</f>
        <v>41</v>
      </c>
      <c r="G14" s="1">
        <f>IFERROR(__xludf.DUMMYFUNCTION("""COMPUTED_VALUE"""),53.0)</f>
        <v>53</v>
      </c>
      <c r="H14" s="1">
        <f>IFERROR(__xludf.DUMMYFUNCTION("""COMPUTED_VALUE"""),-12.0)</f>
        <v>-12</v>
      </c>
      <c r="I14" s="1">
        <f>IFERROR(__xludf.DUMMYFUNCTION("""COMPUTED_VALUE"""),41.0)</f>
        <v>41</v>
      </c>
    </row>
    <row r="15">
      <c r="A15" s="1" t="str">
        <f>IFERROR(__xludf.DUMMYFUNCTION("""COMPUTED_VALUE"""),"14PORPortsmouth")</f>
        <v>14PORPortsmouth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IFERROR(__xludf.DUMMYFUNCTION("""COMPUTED_VALUE"""),11.0)</f>
        <v>11</v>
      </c>
      <c r="E15" s="1">
        <f>IFERROR(__xludf.DUMMYFUNCTION("""COMPUTED_VALUE"""),17.0)</f>
        <v>17</v>
      </c>
      <c r="F15" s="1">
        <f>IFERROR(__xludf.DUMMYFUNCTION("""COMPUTED_VALUE"""),38.0)</f>
        <v>38</v>
      </c>
      <c r="G15" s="1">
        <f>IFERROR(__xludf.DUMMYFUNCTION("""COMPUTED_VALUE"""),57.0)</f>
        <v>57</v>
      </c>
      <c r="H15" s="1">
        <f>IFERROR(__xludf.DUMMYFUNCTION("""COMPUTED_VALUE"""),-19.0)</f>
        <v>-19</v>
      </c>
      <c r="I15" s="1">
        <f>IFERROR(__xludf.DUMMYFUNCTION("""COMPUTED_VALUE"""),41.0)</f>
        <v>41</v>
      </c>
    </row>
    <row r="16">
      <c r="A16" s="1" t="str">
        <f>IFERROR(__xludf.DUMMYFUNCTION("""COMPUTED_VALUE"""),"15BLKBlackburn Rovers")</f>
        <v>15BLKBlackburn Rovers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IFERROR(__xludf.DUMMYFUNCTION("""COMPUTED_VALUE"""),11.0)</f>
        <v>11</v>
      </c>
      <c r="E16" s="1">
        <f>IFERROR(__xludf.DUMMYFUNCTION("""COMPUTED_VALUE"""),17.0)</f>
        <v>17</v>
      </c>
      <c r="F16" s="1">
        <f>IFERROR(__xludf.DUMMYFUNCTION("""COMPUTED_VALUE"""),40.0)</f>
        <v>40</v>
      </c>
      <c r="G16" s="1">
        <f>IFERROR(__xludf.DUMMYFUNCTION("""COMPUTED_VALUE"""),60.0)</f>
        <v>60</v>
      </c>
      <c r="H16" s="1">
        <f>IFERROR(__xludf.DUMMYFUNCTION("""COMPUTED_VALUE"""),-20.0)</f>
        <v>-20</v>
      </c>
      <c r="I16" s="1">
        <f>IFERROR(__xludf.DUMMYFUNCTION("""COMPUTED_VALUE"""),41.0)</f>
        <v>41</v>
      </c>
    </row>
    <row r="17">
      <c r="A17" s="1" t="str">
        <f>IFERROR(__xludf.DUMMYFUNCTION("""COMPUTED_VALUE"""),"16SUNSunderland")</f>
        <v>16SUNSunderland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IFERROR(__xludf.DUMMYFUNCTION("""COMPUTED_VALUE"""),9.0)</f>
        <v>9</v>
      </c>
      <c r="E17" s="1">
        <f>IFERROR(__xludf.DUMMYFUNCTION("""COMPUTED_VALUE"""),20.0)</f>
        <v>20</v>
      </c>
      <c r="F17" s="1">
        <f>IFERROR(__xludf.DUMMYFUNCTION("""COMPUTED_VALUE"""),34.0)</f>
        <v>34</v>
      </c>
      <c r="G17" s="1">
        <f>IFERROR(__xludf.DUMMYFUNCTION("""COMPUTED_VALUE"""),54.0)</f>
        <v>54</v>
      </c>
      <c r="H17" s="1">
        <f>IFERROR(__xludf.DUMMYFUNCTION("""COMPUTED_VALUE"""),-20.0)</f>
        <v>-20</v>
      </c>
      <c r="I17" s="1">
        <f>IFERROR(__xludf.DUMMYFUNCTION("""COMPUTED_VALUE"""),36.0)</f>
        <v>36</v>
      </c>
    </row>
    <row r="18">
      <c r="A18" s="1" t="str">
        <f>IFERROR(__xludf.DUMMYFUNCTION("""COMPUTED_VALUE"""),"17HULHull City")</f>
        <v>17HULHull City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IFERROR(__xludf.DUMMYFUNCTION("""COMPUTED_VALUE"""),11.0)</f>
        <v>11</v>
      </c>
      <c r="E18" s="1">
        <f>IFERROR(__xludf.DUMMYFUNCTION("""COMPUTED_VALUE"""),19.0)</f>
        <v>19</v>
      </c>
      <c r="F18" s="1">
        <f>IFERROR(__xludf.DUMMYFUNCTION("""COMPUTED_VALUE"""),39.0)</f>
        <v>39</v>
      </c>
      <c r="G18" s="1">
        <f>IFERROR(__xludf.DUMMYFUNCTION("""COMPUTED_VALUE"""),64.0)</f>
        <v>64</v>
      </c>
      <c r="H18" s="1">
        <f>IFERROR(__xludf.DUMMYFUNCTION("""COMPUTED_VALUE"""),-25.0)</f>
        <v>-25</v>
      </c>
      <c r="I18" s="1">
        <f>IFERROR(__xludf.DUMMYFUNCTION("""COMPUTED_VALUE"""),35.0)</f>
        <v>35</v>
      </c>
    </row>
    <row r="19">
      <c r="A19" s="1" t="str">
        <f>IFERROR(__xludf.DUMMYFUNCTION("""COMPUTED_VALUE"""),"18NEWNewcastle United")</f>
        <v>18NEWNewcastle United</v>
      </c>
      <c r="B19" s="1">
        <f>IFERROR(__xludf.DUMMYFUNCTION("""COMPUTED_VALUE"""),38.0)</f>
        <v>38</v>
      </c>
      <c r="C19" s="1">
        <f>IFERROR(__xludf.DUMMYFUNCTION("""COMPUTED_VALUE"""),7.0)</f>
        <v>7</v>
      </c>
      <c r="D19" s="1">
        <f>IFERROR(__xludf.DUMMYFUNCTION("""COMPUTED_VALUE"""),13.0)</f>
        <v>13</v>
      </c>
      <c r="E19" s="1">
        <f>IFERROR(__xludf.DUMMYFUNCTION("""COMPUTED_VALUE"""),18.0)</f>
        <v>18</v>
      </c>
      <c r="F19" s="1">
        <f>IFERROR(__xludf.DUMMYFUNCTION("""COMPUTED_VALUE"""),40.0)</f>
        <v>40</v>
      </c>
      <c r="G19" s="1">
        <f>IFERROR(__xludf.DUMMYFUNCTION("""COMPUTED_VALUE"""),59.0)</f>
        <v>59</v>
      </c>
      <c r="H19" s="1">
        <f>IFERROR(__xludf.DUMMYFUNCTION("""COMPUTED_VALUE"""),-19.0)</f>
        <v>-19</v>
      </c>
      <c r="I19" s="1">
        <f>IFERROR(__xludf.DUMMYFUNCTION("""COMPUTED_VALUE"""),34.0)</f>
        <v>34</v>
      </c>
    </row>
    <row r="20">
      <c r="A20" s="1" t="str">
        <f>IFERROR(__xludf.DUMMYFUNCTION("""COMPUTED_VALUE"""),"19MIDMiddlesbrough")</f>
        <v>19MIDMiddlesbrough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IFERROR(__xludf.DUMMYFUNCTION("""COMPUTED_VALUE"""),11.0)</f>
        <v>11</v>
      </c>
      <c r="E20" s="1">
        <f>IFERROR(__xludf.DUMMYFUNCTION("""COMPUTED_VALUE"""),20.0)</f>
        <v>20</v>
      </c>
      <c r="F20" s="1">
        <f>IFERROR(__xludf.DUMMYFUNCTION("""COMPUTED_VALUE"""),28.0)</f>
        <v>28</v>
      </c>
      <c r="G20" s="1">
        <f>IFERROR(__xludf.DUMMYFUNCTION("""COMPUTED_VALUE"""),57.0)</f>
        <v>57</v>
      </c>
      <c r="H20" s="1">
        <f>IFERROR(__xludf.DUMMYFUNCTION("""COMPUTED_VALUE"""),-29.0)</f>
        <v>-29</v>
      </c>
      <c r="I20" s="1">
        <f>IFERROR(__xludf.DUMMYFUNCTION("""COMPUTED_VALUE"""),32.0)</f>
        <v>32</v>
      </c>
    </row>
    <row r="21">
      <c r="A21" s="1" t="str">
        <f>IFERROR(__xludf.DUMMYFUNCTION("""COMPUTED_VALUE"""),"20WBAWest Bromwich Albion")</f>
        <v>20WBAWest Bromwich Albion</v>
      </c>
      <c r="B21" s="1">
        <f>IFERROR(__xludf.DUMMYFUNCTION("""COMPUTED_VALUE"""),38.0)</f>
        <v>38</v>
      </c>
      <c r="C21" s="1">
        <f>IFERROR(__xludf.DUMMYFUNCTION("""COMPUTED_VALUE"""),8.0)</f>
        <v>8</v>
      </c>
      <c r="D21" s="1">
        <f>IFERROR(__xludf.DUMMYFUNCTION("""COMPUTED_VALUE"""),8.0)</f>
        <v>8</v>
      </c>
      <c r="E21" s="1">
        <f>IFERROR(__xludf.DUMMYFUNCTION("""COMPUTED_VALUE"""),22.0)</f>
        <v>22</v>
      </c>
      <c r="F21" s="1">
        <f>IFERROR(__xludf.DUMMYFUNCTION("""COMPUTED_VALUE"""),36.0)</f>
        <v>36</v>
      </c>
      <c r="G21" s="1">
        <f>IFERROR(__xludf.DUMMYFUNCTION("""COMPUTED_VALUE"""),67.0)</f>
        <v>67</v>
      </c>
      <c r="H21" s="1">
        <f>IFERROR(__xludf.DUMMYFUNCTION("""COMPUTED_VALUE"""),-31.0)</f>
        <v>-31</v>
      </c>
      <c r="I21" s="1">
        <f>IFERROR(__xludf.DUMMYFUNCTION("""COMPUTED_VALUE"""),32.0)</f>
        <v>32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IFERROR(__xludf.DUMMYFUNCTION("IMPORTHTML(""https://www.espn.com/soccer/standings/_/league/ENG.1/season/2007"",""table"",1)"),"2007-2008")</f>
        <v>2007-2008</v>
      </c>
      <c r="B1" s="1" t="str">
        <f>IFERROR(__xludf.DUMMYFUNCTION("IMPORTHTML(""https://www.espn.com/soccer/standings/_/league/ENG.1/season/2007"",""table"",2)"),"GP")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IFERROR(__xludf.DUMMYFUNCTION("""COMPUTED_VALUE"""),6.0)</f>
        <v>6</v>
      </c>
      <c r="E2" s="1">
        <f>IFERROR(__xludf.DUMMYFUNCTION("""COMPUTED_VALUE"""),5.0)</f>
        <v>5</v>
      </c>
      <c r="F2" s="1">
        <f>IFERROR(__xludf.DUMMYFUNCTION("""COMPUTED_VALUE"""),80.0)</f>
        <v>80</v>
      </c>
      <c r="G2" s="1">
        <f>IFERROR(__xludf.DUMMYFUNCTION("""COMPUTED_VALUE"""),22.0)</f>
        <v>22</v>
      </c>
      <c r="H2" s="1" t="str">
        <f>IFERROR(__xludf.DUMMYFUNCTION("""COMPUTED_VALUE"""),"+58")</f>
        <v>+58</v>
      </c>
      <c r="I2" s="1">
        <f>IFERROR(__xludf.DUMMYFUNCTION("""COMPUTED_VALUE"""),87.0)</f>
        <v>87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IFERROR(__xludf.DUMMYFUNCTION("""COMPUTED_VALUE"""),10.0)</f>
        <v>10</v>
      </c>
      <c r="E3" s="1">
        <f>IFERROR(__xludf.DUMMYFUNCTION("""COMPUTED_VALUE"""),3.0)</f>
        <v>3</v>
      </c>
      <c r="F3" s="1">
        <f>IFERROR(__xludf.DUMMYFUNCTION("""COMPUTED_VALUE"""),65.0)</f>
        <v>65</v>
      </c>
      <c r="G3" s="1">
        <f>IFERROR(__xludf.DUMMYFUNCTION("""COMPUTED_VALUE"""),26.0)</f>
        <v>26</v>
      </c>
      <c r="H3" s="1" t="str">
        <f>IFERROR(__xludf.DUMMYFUNCTION("""COMPUTED_VALUE"""),"+39")</f>
        <v>+39</v>
      </c>
      <c r="I3" s="1">
        <f>IFERROR(__xludf.DUMMYFUNCTION("""COMPUTED_VALUE"""),85.0)</f>
        <v>85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IFERROR(__xludf.DUMMYFUNCTION("""COMPUTED_VALUE"""),24.0)</f>
        <v>24</v>
      </c>
      <c r="D4" s="1">
        <f>IFERROR(__xludf.DUMMYFUNCTION("""COMPUTED_VALUE"""),11.0)</f>
        <v>11</v>
      </c>
      <c r="E4" s="1">
        <f>IFERROR(__xludf.DUMMYFUNCTION("""COMPUTED_VALUE"""),3.0)</f>
        <v>3</v>
      </c>
      <c r="F4" s="1">
        <f>IFERROR(__xludf.DUMMYFUNCTION("""COMPUTED_VALUE"""),74.0)</f>
        <v>74</v>
      </c>
      <c r="G4" s="1">
        <f>IFERROR(__xludf.DUMMYFUNCTION("""COMPUTED_VALUE"""),31.0)</f>
        <v>31</v>
      </c>
      <c r="H4" s="1" t="str">
        <f>IFERROR(__xludf.DUMMYFUNCTION("""COMPUTED_VALUE"""),"+43")</f>
        <v>+43</v>
      </c>
      <c r="I4" s="1">
        <f>IFERROR(__xludf.DUMMYFUNCTION("""COMPUTED_VALUE"""),83.0)</f>
        <v>83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IFERROR(__xludf.DUMMYFUNCTION("""COMPUTED_VALUE"""),13.0)</f>
        <v>13</v>
      </c>
      <c r="E5" s="1">
        <f>IFERROR(__xludf.DUMMYFUNCTION("""COMPUTED_VALUE"""),4.0)</f>
        <v>4</v>
      </c>
      <c r="F5" s="1">
        <f>IFERROR(__xludf.DUMMYFUNCTION("""COMPUTED_VALUE"""),67.0)</f>
        <v>67</v>
      </c>
      <c r="G5" s="1">
        <f>IFERROR(__xludf.DUMMYFUNCTION("""COMPUTED_VALUE"""),28.0)</f>
        <v>28</v>
      </c>
      <c r="H5" s="1" t="str">
        <f>IFERROR(__xludf.DUMMYFUNCTION("""COMPUTED_VALUE"""),"+39")</f>
        <v>+39</v>
      </c>
      <c r="I5" s="1">
        <f>IFERROR(__xludf.DUMMYFUNCTION("""COMPUTED_VALUE"""),76.0)</f>
        <v>76</v>
      </c>
    </row>
    <row r="6">
      <c r="A6" s="1" t="str">
        <f>IFERROR(__xludf.DUMMYFUNCTION("""COMPUTED_VALUE"""),"5EVEEverton")</f>
        <v>5EVEEverton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IFERROR(__xludf.DUMMYFUNCTION("""COMPUTED_VALUE"""),8.0)</f>
        <v>8</v>
      </c>
      <c r="E6" s="1">
        <f>IFERROR(__xludf.DUMMYFUNCTION("""COMPUTED_VALUE"""),11.0)</f>
        <v>11</v>
      </c>
      <c r="F6" s="1">
        <f>IFERROR(__xludf.DUMMYFUNCTION("""COMPUTED_VALUE"""),55.0)</f>
        <v>55</v>
      </c>
      <c r="G6" s="1">
        <f>IFERROR(__xludf.DUMMYFUNCTION("""COMPUTED_VALUE"""),33.0)</f>
        <v>33</v>
      </c>
      <c r="H6" s="1" t="str">
        <f>IFERROR(__xludf.DUMMYFUNCTION("""COMPUTED_VALUE"""),"+22")</f>
        <v>+22</v>
      </c>
      <c r="I6" s="1">
        <f>IFERROR(__xludf.DUMMYFUNCTION("""COMPUTED_VALUE"""),65.0)</f>
        <v>65</v>
      </c>
    </row>
    <row r="7">
      <c r="A7" s="1" t="str">
        <f>IFERROR(__xludf.DUMMYFUNCTION("""COMPUTED_VALUE"""),"6AVLAston Villa")</f>
        <v>6AVLAston Villa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IFERROR(__xludf.DUMMYFUNCTION("""COMPUTED_VALUE"""),12.0)</f>
        <v>12</v>
      </c>
      <c r="E7" s="1">
        <f>IFERROR(__xludf.DUMMYFUNCTION("""COMPUTED_VALUE"""),10.0)</f>
        <v>10</v>
      </c>
      <c r="F7" s="1">
        <f>IFERROR(__xludf.DUMMYFUNCTION("""COMPUTED_VALUE"""),71.0)</f>
        <v>71</v>
      </c>
      <c r="G7" s="1">
        <f>IFERROR(__xludf.DUMMYFUNCTION("""COMPUTED_VALUE"""),51.0)</f>
        <v>51</v>
      </c>
      <c r="H7" s="1" t="str">
        <f>IFERROR(__xludf.DUMMYFUNCTION("""COMPUTED_VALUE"""),"+20")</f>
        <v>+20</v>
      </c>
      <c r="I7" s="1">
        <f>IFERROR(__xludf.DUMMYFUNCTION("""COMPUTED_VALUE"""),60.0)</f>
        <v>60</v>
      </c>
    </row>
    <row r="8">
      <c r="A8" s="1" t="str">
        <f>IFERROR(__xludf.DUMMYFUNCTION("""COMPUTED_VALUE"""),"7BLKBlackburn Rovers")</f>
        <v>7BLKBlackburn Rovers</v>
      </c>
      <c r="B8" s="1">
        <f>IFERROR(__xludf.DUMMYFUNCTION("""COMPUTED_VALUE"""),38.0)</f>
        <v>38</v>
      </c>
      <c r="C8" s="1">
        <f>IFERROR(__xludf.DUMMYFUNCTION("""COMPUTED_VALUE"""),15.0)</f>
        <v>15</v>
      </c>
      <c r="D8" s="1">
        <f>IFERROR(__xludf.DUMMYFUNCTION("""COMPUTED_VALUE"""),13.0)</f>
        <v>13</v>
      </c>
      <c r="E8" s="1">
        <f>IFERROR(__xludf.DUMMYFUNCTION("""COMPUTED_VALUE"""),10.0)</f>
        <v>10</v>
      </c>
      <c r="F8" s="1">
        <f>IFERROR(__xludf.DUMMYFUNCTION("""COMPUTED_VALUE"""),50.0)</f>
        <v>50</v>
      </c>
      <c r="G8" s="1">
        <f>IFERROR(__xludf.DUMMYFUNCTION("""COMPUTED_VALUE"""),48.0)</f>
        <v>48</v>
      </c>
      <c r="H8" s="1" t="str">
        <f>IFERROR(__xludf.DUMMYFUNCTION("""COMPUTED_VALUE"""),"+2")</f>
        <v>+2</v>
      </c>
      <c r="I8" s="1">
        <f>IFERROR(__xludf.DUMMYFUNCTION("""COMPUTED_VALUE"""),58.0)</f>
        <v>58</v>
      </c>
    </row>
    <row r="9">
      <c r="A9" s="1" t="str">
        <f>IFERROR(__xludf.DUMMYFUNCTION("""COMPUTED_VALUE"""),"8PORPortsmouth")</f>
        <v>8PORPortsmouth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IFERROR(__xludf.DUMMYFUNCTION("""COMPUTED_VALUE"""),9.0)</f>
        <v>9</v>
      </c>
      <c r="E9" s="1">
        <f>IFERROR(__xludf.DUMMYFUNCTION("""COMPUTED_VALUE"""),13.0)</f>
        <v>13</v>
      </c>
      <c r="F9" s="1">
        <f>IFERROR(__xludf.DUMMYFUNCTION("""COMPUTED_VALUE"""),48.0)</f>
        <v>48</v>
      </c>
      <c r="G9" s="1">
        <f>IFERROR(__xludf.DUMMYFUNCTION("""COMPUTED_VALUE"""),40.0)</f>
        <v>40</v>
      </c>
      <c r="H9" s="1" t="str">
        <f>IFERROR(__xludf.DUMMYFUNCTION("""COMPUTED_VALUE"""),"+8")</f>
        <v>+8</v>
      </c>
      <c r="I9" s="1">
        <f>IFERROR(__xludf.DUMMYFUNCTION("""COMPUTED_VALUE"""),57.0)</f>
        <v>57</v>
      </c>
    </row>
    <row r="10">
      <c r="A10" s="1" t="str">
        <f>IFERROR(__xludf.DUMMYFUNCTION("""COMPUTED_VALUE"""),"9MNCManchester City")</f>
        <v>9MNCManchester City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IFERROR(__xludf.DUMMYFUNCTION("""COMPUTED_VALUE"""),10.0)</f>
        <v>10</v>
      </c>
      <c r="E10" s="1">
        <f>IFERROR(__xludf.DUMMYFUNCTION("""COMPUTED_VALUE"""),13.0)</f>
        <v>13</v>
      </c>
      <c r="F10" s="1">
        <f>IFERROR(__xludf.DUMMYFUNCTION("""COMPUTED_VALUE"""),45.0)</f>
        <v>45</v>
      </c>
      <c r="G10" s="1">
        <f>IFERROR(__xludf.DUMMYFUNCTION("""COMPUTED_VALUE"""),53.0)</f>
        <v>53</v>
      </c>
      <c r="H10" s="1">
        <f>IFERROR(__xludf.DUMMYFUNCTION("""COMPUTED_VALUE"""),-8.0)</f>
        <v>-8</v>
      </c>
      <c r="I10" s="1">
        <f>IFERROR(__xludf.DUMMYFUNCTION("""COMPUTED_VALUE"""),55.0)</f>
        <v>55</v>
      </c>
    </row>
    <row r="11">
      <c r="A11" s="1" t="str">
        <f>IFERROR(__xludf.DUMMYFUNCTION("""COMPUTED_VALUE"""),"10WHUWest Ham United")</f>
        <v>10WHUWest Ham United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IFERROR(__xludf.DUMMYFUNCTION("""COMPUTED_VALUE"""),10.0)</f>
        <v>10</v>
      </c>
      <c r="E11" s="1">
        <f>IFERROR(__xludf.DUMMYFUNCTION("""COMPUTED_VALUE"""),15.0)</f>
        <v>15</v>
      </c>
      <c r="F11" s="1">
        <f>IFERROR(__xludf.DUMMYFUNCTION("""COMPUTED_VALUE"""),42.0)</f>
        <v>42</v>
      </c>
      <c r="G11" s="1">
        <f>IFERROR(__xludf.DUMMYFUNCTION("""COMPUTED_VALUE"""),50.0)</f>
        <v>50</v>
      </c>
      <c r="H11" s="1">
        <f>IFERROR(__xludf.DUMMYFUNCTION("""COMPUTED_VALUE"""),-8.0)</f>
        <v>-8</v>
      </c>
      <c r="I11" s="1">
        <f>IFERROR(__xludf.DUMMYFUNCTION("""COMPUTED_VALUE"""),49.0)</f>
        <v>49</v>
      </c>
    </row>
    <row r="12">
      <c r="A12" s="1" t="str">
        <f>IFERROR(__xludf.DUMMYFUNCTION("""COMPUTED_VALUE"""),"11TOTTottenham Hotspur")</f>
        <v>11TOTTottenham Hotspur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IFERROR(__xludf.DUMMYFUNCTION("""COMPUTED_VALUE"""),13.0)</f>
        <v>13</v>
      </c>
      <c r="E12" s="1">
        <f>IFERROR(__xludf.DUMMYFUNCTION("""COMPUTED_VALUE"""),14.0)</f>
        <v>14</v>
      </c>
      <c r="F12" s="1">
        <f>IFERROR(__xludf.DUMMYFUNCTION("""COMPUTED_VALUE"""),66.0)</f>
        <v>66</v>
      </c>
      <c r="G12" s="1">
        <f>IFERROR(__xludf.DUMMYFUNCTION("""COMPUTED_VALUE"""),61.0)</f>
        <v>61</v>
      </c>
      <c r="H12" s="1" t="str">
        <f>IFERROR(__xludf.DUMMYFUNCTION("""COMPUTED_VALUE"""),"+5")</f>
        <v>+5</v>
      </c>
      <c r="I12" s="1">
        <f>IFERROR(__xludf.DUMMYFUNCTION("""COMPUTED_VALUE"""),46.0)</f>
        <v>46</v>
      </c>
    </row>
    <row r="13">
      <c r="A13" s="1" t="str">
        <f>IFERROR(__xludf.DUMMYFUNCTION("""COMPUTED_VALUE"""),"12NEWNewcastle United")</f>
        <v>12NEWNewcastle United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IFERROR(__xludf.DUMMYFUNCTION("""COMPUTED_VALUE"""),10.0)</f>
        <v>10</v>
      </c>
      <c r="E13" s="1">
        <f>IFERROR(__xludf.DUMMYFUNCTION("""COMPUTED_VALUE"""),17.0)</f>
        <v>17</v>
      </c>
      <c r="F13" s="1">
        <f>IFERROR(__xludf.DUMMYFUNCTION("""COMPUTED_VALUE"""),45.0)</f>
        <v>45</v>
      </c>
      <c r="G13" s="1">
        <f>IFERROR(__xludf.DUMMYFUNCTION("""COMPUTED_VALUE"""),65.0)</f>
        <v>65</v>
      </c>
      <c r="H13" s="1">
        <f>IFERROR(__xludf.DUMMYFUNCTION("""COMPUTED_VALUE"""),-20.0)</f>
        <v>-20</v>
      </c>
      <c r="I13" s="1">
        <f>IFERROR(__xludf.DUMMYFUNCTION("""COMPUTED_VALUE"""),43.0)</f>
        <v>43</v>
      </c>
    </row>
    <row r="14">
      <c r="A14" s="1" t="str">
        <f>IFERROR(__xludf.DUMMYFUNCTION("""COMPUTED_VALUE"""),"13MIDMiddlesbrough")</f>
        <v>13MIDMiddlesbrough</v>
      </c>
      <c r="B14" s="1">
        <f>IFERROR(__xludf.DUMMYFUNCTION("""COMPUTED_VALUE"""),38.0)</f>
        <v>38</v>
      </c>
      <c r="C14" s="1">
        <f>IFERROR(__xludf.DUMMYFUNCTION("""COMPUTED_VALUE"""),10.0)</f>
        <v>10</v>
      </c>
      <c r="D14" s="1">
        <f>IFERROR(__xludf.DUMMYFUNCTION("""COMPUTED_VALUE"""),12.0)</f>
        <v>12</v>
      </c>
      <c r="E14" s="1">
        <f>IFERROR(__xludf.DUMMYFUNCTION("""COMPUTED_VALUE"""),16.0)</f>
        <v>16</v>
      </c>
      <c r="F14" s="1">
        <f>IFERROR(__xludf.DUMMYFUNCTION("""COMPUTED_VALUE"""),43.0)</f>
        <v>43</v>
      </c>
      <c r="G14" s="1">
        <f>IFERROR(__xludf.DUMMYFUNCTION("""COMPUTED_VALUE"""),53.0)</f>
        <v>53</v>
      </c>
      <c r="H14" s="1">
        <f>IFERROR(__xludf.DUMMYFUNCTION("""COMPUTED_VALUE"""),-10.0)</f>
        <v>-10</v>
      </c>
      <c r="I14" s="1">
        <f>IFERROR(__xludf.DUMMYFUNCTION("""COMPUTED_VALUE"""),42.0)</f>
        <v>42</v>
      </c>
    </row>
    <row r="15">
      <c r="A15" s="1" t="str">
        <f>IFERROR(__xludf.DUMMYFUNCTION("""COMPUTED_VALUE"""),"14WGAWigan Athletic")</f>
        <v>14WGAWigan Athletic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IFERROR(__xludf.DUMMYFUNCTION("""COMPUTED_VALUE"""),10.0)</f>
        <v>10</v>
      </c>
      <c r="E15" s="1">
        <f>IFERROR(__xludf.DUMMYFUNCTION("""COMPUTED_VALUE"""),18.0)</f>
        <v>18</v>
      </c>
      <c r="F15" s="1">
        <f>IFERROR(__xludf.DUMMYFUNCTION("""COMPUTED_VALUE"""),34.0)</f>
        <v>34</v>
      </c>
      <c r="G15" s="1">
        <f>IFERROR(__xludf.DUMMYFUNCTION("""COMPUTED_VALUE"""),51.0)</f>
        <v>51</v>
      </c>
      <c r="H15" s="1">
        <f>IFERROR(__xludf.DUMMYFUNCTION("""COMPUTED_VALUE"""),-17.0)</f>
        <v>-17</v>
      </c>
      <c r="I15" s="1">
        <f>IFERROR(__xludf.DUMMYFUNCTION("""COMPUTED_VALUE"""),40.0)</f>
        <v>40</v>
      </c>
    </row>
    <row r="16">
      <c r="A16" s="1" t="str">
        <f>IFERROR(__xludf.DUMMYFUNCTION("""COMPUTED_VALUE"""),"15SUNSunderland")</f>
        <v>15SUNSunderland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IFERROR(__xludf.DUMMYFUNCTION("""COMPUTED_VALUE"""),6.0)</f>
        <v>6</v>
      </c>
      <c r="E16" s="1">
        <f>IFERROR(__xludf.DUMMYFUNCTION("""COMPUTED_VALUE"""),21.0)</f>
        <v>21</v>
      </c>
      <c r="F16" s="1">
        <f>IFERROR(__xludf.DUMMYFUNCTION("""COMPUTED_VALUE"""),36.0)</f>
        <v>36</v>
      </c>
      <c r="G16" s="1">
        <f>IFERROR(__xludf.DUMMYFUNCTION("""COMPUTED_VALUE"""),59.0)</f>
        <v>59</v>
      </c>
      <c r="H16" s="1">
        <f>IFERROR(__xludf.DUMMYFUNCTION("""COMPUTED_VALUE"""),-23.0)</f>
        <v>-23</v>
      </c>
      <c r="I16" s="1">
        <f>IFERROR(__xludf.DUMMYFUNCTION("""COMPUTED_VALUE"""),39.0)</f>
        <v>39</v>
      </c>
    </row>
    <row r="17">
      <c r="A17" s="1" t="str">
        <f>IFERROR(__xludf.DUMMYFUNCTION("""COMPUTED_VALUE"""),"16BOLBolton Wanderers")</f>
        <v>16BOLBolton Wanderers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IFERROR(__xludf.DUMMYFUNCTION("""COMPUTED_VALUE"""),10.0)</f>
        <v>10</v>
      </c>
      <c r="E17" s="1">
        <f>IFERROR(__xludf.DUMMYFUNCTION("""COMPUTED_VALUE"""),19.0)</f>
        <v>19</v>
      </c>
      <c r="F17" s="1">
        <f>IFERROR(__xludf.DUMMYFUNCTION("""COMPUTED_VALUE"""),36.0)</f>
        <v>36</v>
      </c>
      <c r="G17" s="1">
        <f>IFERROR(__xludf.DUMMYFUNCTION("""COMPUTED_VALUE"""),54.0)</f>
        <v>54</v>
      </c>
      <c r="H17" s="1">
        <f>IFERROR(__xludf.DUMMYFUNCTION("""COMPUTED_VALUE"""),-18.0)</f>
        <v>-18</v>
      </c>
      <c r="I17" s="1">
        <f>IFERROR(__xludf.DUMMYFUNCTION("""COMPUTED_VALUE"""),37.0)</f>
        <v>37</v>
      </c>
    </row>
    <row r="18">
      <c r="A18" s="1" t="str">
        <f>IFERROR(__xludf.DUMMYFUNCTION("""COMPUTED_VALUE"""),"17FULFulham")</f>
        <v>17FULFulham</v>
      </c>
      <c r="B18" s="1">
        <f>IFERROR(__xludf.DUMMYFUNCTION("""COMPUTED_VALUE"""),38.0)</f>
        <v>38</v>
      </c>
      <c r="C18" s="1">
        <f>IFERROR(__xludf.DUMMYFUNCTION("""COMPUTED_VALUE"""),8.0)</f>
        <v>8</v>
      </c>
      <c r="D18" s="1">
        <f>IFERROR(__xludf.DUMMYFUNCTION("""COMPUTED_VALUE"""),12.0)</f>
        <v>12</v>
      </c>
      <c r="E18" s="1">
        <f>IFERROR(__xludf.DUMMYFUNCTION("""COMPUTED_VALUE"""),18.0)</f>
        <v>18</v>
      </c>
      <c r="F18" s="1">
        <f>IFERROR(__xludf.DUMMYFUNCTION("""COMPUTED_VALUE"""),38.0)</f>
        <v>38</v>
      </c>
      <c r="G18" s="1">
        <f>IFERROR(__xludf.DUMMYFUNCTION("""COMPUTED_VALUE"""),60.0)</f>
        <v>60</v>
      </c>
      <c r="H18" s="1">
        <f>IFERROR(__xludf.DUMMYFUNCTION("""COMPUTED_VALUE"""),-22.0)</f>
        <v>-22</v>
      </c>
      <c r="I18" s="1">
        <f>IFERROR(__xludf.DUMMYFUNCTION("""COMPUTED_VALUE"""),36.0)</f>
        <v>36</v>
      </c>
    </row>
    <row r="19">
      <c r="A19" s="1" t="str">
        <f>IFERROR(__xludf.DUMMYFUNCTION("""COMPUTED_VALUE"""),"18REAReading")</f>
        <v>18REAReading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IFERROR(__xludf.DUMMYFUNCTION("""COMPUTED_VALUE"""),6.0)</f>
        <v>6</v>
      </c>
      <c r="E19" s="1">
        <f>IFERROR(__xludf.DUMMYFUNCTION("""COMPUTED_VALUE"""),22.0)</f>
        <v>22</v>
      </c>
      <c r="F19" s="1">
        <f>IFERROR(__xludf.DUMMYFUNCTION("""COMPUTED_VALUE"""),41.0)</f>
        <v>41</v>
      </c>
      <c r="G19" s="1">
        <f>IFERROR(__xludf.DUMMYFUNCTION("""COMPUTED_VALUE"""),66.0)</f>
        <v>66</v>
      </c>
      <c r="H19" s="1">
        <f>IFERROR(__xludf.DUMMYFUNCTION("""COMPUTED_VALUE"""),-25.0)</f>
        <v>-25</v>
      </c>
      <c r="I19" s="1">
        <f>IFERROR(__xludf.DUMMYFUNCTION("""COMPUTED_VALUE"""),36.0)</f>
        <v>36</v>
      </c>
    </row>
    <row r="20">
      <c r="A20" s="1" t="str">
        <f>IFERROR(__xludf.DUMMYFUNCTION("""COMPUTED_VALUE"""),"19BIRBirmingham City")</f>
        <v>19BIRBirmingham City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IFERROR(__xludf.DUMMYFUNCTION("""COMPUTED_VALUE"""),11.0)</f>
        <v>11</v>
      </c>
      <c r="E20" s="1">
        <f>IFERROR(__xludf.DUMMYFUNCTION("""COMPUTED_VALUE"""),19.0)</f>
        <v>19</v>
      </c>
      <c r="F20" s="1">
        <f>IFERROR(__xludf.DUMMYFUNCTION("""COMPUTED_VALUE"""),46.0)</f>
        <v>46</v>
      </c>
      <c r="G20" s="1">
        <f>IFERROR(__xludf.DUMMYFUNCTION("""COMPUTED_VALUE"""),62.0)</f>
        <v>62</v>
      </c>
      <c r="H20" s="1">
        <f>IFERROR(__xludf.DUMMYFUNCTION("""COMPUTED_VALUE"""),-16.0)</f>
        <v>-16</v>
      </c>
      <c r="I20" s="1">
        <f>IFERROR(__xludf.DUMMYFUNCTION("""COMPUTED_VALUE"""),35.0)</f>
        <v>35</v>
      </c>
    </row>
    <row r="21">
      <c r="A21" s="1" t="str">
        <f>IFERROR(__xludf.DUMMYFUNCTION("""COMPUTED_VALUE"""),"20DERDerby County")</f>
        <v>20DERDerby County</v>
      </c>
      <c r="B21" s="1">
        <f>IFERROR(__xludf.DUMMYFUNCTION("""COMPUTED_VALUE"""),38.0)</f>
        <v>38</v>
      </c>
      <c r="C21" s="1">
        <f>IFERROR(__xludf.DUMMYFUNCTION("""COMPUTED_VALUE"""),1.0)</f>
        <v>1</v>
      </c>
      <c r="D21" s="1">
        <f>IFERROR(__xludf.DUMMYFUNCTION("""COMPUTED_VALUE"""),8.0)</f>
        <v>8</v>
      </c>
      <c r="E21" s="1">
        <f>IFERROR(__xludf.DUMMYFUNCTION("""COMPUTED_VALUE"""),29.0)</f>
        <v>29</v>
      </c>
      <c r="F21" s="1">
        <f>IFERROR(__xludf.DUMMYFUNCTION("""COMPUTED_VALUE"""),20.0)</f>
        <v>20</v>
      </c>
      <c r="G21" s="1">
        <f>IFERROR(__xludf.DUMMYFUNCTION("""COMPUTED_VALUE"""),89.0)</f>
        <v>89</v>
      </c>
      <c r="H21" s="1">
        <f>IFERROR(__xludf.DUMMYFUNCTION("""COMPUTED_VALUE"""),-69.0)</f>
        <v>-69</v>
      </c>
      <c r="I21" s="1">
        <f>IFERROR(__xludf.DUMMYFUNCTION("""COMPUTED_VALUE"""),11.0)</f>
        <v>11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IFERROR(__xludf.DUMMYFUNCTION("IMPORTHTML(""https://www.espn.com/soccer/standings/_/league/ENG.1/season/2006"",""table"",1)"),"2006-2007")</f>
        <v>2006-2007</v>
      </c>
      <c r="B1" s="1" t="str">
        <f>IFERROR(__xludf.DUMMYFUNCTION("IMPORTHTML(""https://www.espn.com/soccer/standings/_/league/ENG.1/season/2006"",""table"",2)"),"GP")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IFERROR(__xludf.DUMMYFUNCTION("""COMPUTED_VALUE"""),"1MANManchester United")</f>
        <v>1MANManchester United</v>
      </c>
      <c r="B2" s="1">
        <f>IFERROR(__xludf.DUMMYFUNCTION("""COMPUTED_VALUE"""),38.0)</f>
        <v>38</v>
      </c>
      <c r="C2" s="1">
        <f>IFERROR(__xludf.DUMMYFUNCTION("""COMPUTED_VALUE"""),28.0)</f>
        <v>28</v>
      </c>
      <c r="D2" s="1">
        <f>IFERROR(__xludf.DUMMYFUNCTION("""COMPUTED_VALUE"""),5.0)</f>
        <v>5</v>
      </c>
      <c r="E2" s="1">
        <f>IFERROR(__xludf.DUMMYFUNCTION("""COMPUTED_VALUE"""),5.0)</f>
        <v>5</v>
      </c>
      <c r="F2" s="1">
        <f>IFERROR(__xludf.DUMMYFUNCTION("""COMPUTED_VALUE"""),83.0)</f>
        <v>83</v>
      </c>
      <c r="G2" s="1">
        <f>IFERROR(__xludf.DUMMYFUNCTION("""COMPUTED_VALUE"""),27.0)</f>
        <v>27</v>
      </c>
      <c r="H2" s="1" t="str">
        <f>IFERROR(__xludf.DUMMYFUNCTION("""COMPUTED_VALUE"""),"+56")</f>
        <v>+56</v>
      </c>
      <c r="I2" s="1">
        <f>IFERROR(__xludf.DUMMYFUNCTION("""COMPUTED_VALUE"""),89.0)</f>
        <v>89</v>
      </c>
    </row>
    <row r="3">
      <c r="A3" s="1" t="str">
        <f>IFERROR(__xludf.DUMMYFUNCTION("""COMPUTED_VALUE"""),"2CHEChelsea")</f>
        <v>2CHEChelsea</v>
      </c>
      <c r="B3" s="1">
        <f>IFERROR(__xludf.DUMMYFUNCTION("""COMPUTED_VALUE"""),38.0)</f>
        <v>38</v>
      </c>
      <c r="C3" s="1">
        <f>IFERROR(__xludf.DUMMYFUNCTION("""COMPUTED_VALUE"""),24.0)</f>
        <v>24</v>
      </c>
      <c r="D3" s="1">
        <f>IFERROR(__xludf.DUMMYFUNCTION("""COMPUTED_VALUE"""),11.0)</f>
        <v>11</v>
      </c>
      <c r="E3" s="1">
        <f>IFERROR(__xludf.DUMMYFUNCTION("""COMPUTED_VALUE"""),3.0)</f>
        <v>3</v>
      </c>
      <c r="F3" s="1">
        <f>IFERROR(__xludf.DUMMYFUNCTION("""COMPUTED_VALUE"""),64.0)</f>
        <v>64</v>
      </c>
      <c r="G3" s="1">
        <f>IFERROR(__xludf.DUMMYFUNCTION("""COMPUTED_VALUE"""),24.0)</f>
        <v>24</v>
      </c>
      <c r="H3" s="1" t="str">
        <f>IFERROR(__xludf.DUMMYFUNCTION("""COMPUTED_VALUE"""),"+40")</f>
        <v>+40</v>
      </c>
      <c r="I3" s="1">
        <f>IFERROR(__xludf.DUMMYFUNCTION("""COMPUTED_VALUE"""),83.0)</f>
        <v>83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IFERROR(__xludf.DUMMYFUNCTION("""COMPUTED_VALUE"""),38.0)</f>
        <v>38</v>
      </c>
      <c r="C4" s="1">
        <f>IFERROR(__xludf.DUMMYFUNCTION("""COMPUTED_VALUE"""),20.0)</f>
        <v>20</v>
      </c>
      <c r="D4" s="1">
        <f>IFERROR(__xludf.DUMMYFUNCTION("""COMPUTED_VALUE"""),8.0)</f>
        <v>8</v>
      </c>
      <c r="E4" s="1">
        <f>IFERROR(__xludf.DUMMYFUNCTION("""COMPUTED_VALUE"""),10.0)</f>
        <v>10</v>
      </c>
      <c r="F4" s="1">
        <f>IFERROR(__xludf.DUMMYFUNCTION("""COMPUTED_VALUE"""),57.0)</f>
        <v>57</v>
      </c>
      <c r="G4" s="1">
        <f>IFERROR(__xludf.DUMMYFUNCTION("""COMPUTED_VALUE"""),27.0)</f>
        <v>27</v>
      </c>
      <c r="H4" s="1" t="str">
        <f>IFERROR(__xludf.DUMMYFUNCTION("""COMPUTED_VALUE"""),"+30")</f>
        <v>+30</v>
      </c>
      <c r="I4" s="1">
        <f>IFERROR(__xludf.DUMMYFUNCTION("""COMPUTED_VALUE"""),68.0)</f>
        <v>68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IFERROR(__xludf.DUMMYFUNCTION("""COMPUTED_VALUE"""),11.0)</f>
        <v>11</v>
      </c>
      <c r="E5" s="1">
        <f>IFERROR(__xludf.DUMMYFUNCTION("""COMPUTED_VALUE"""),8.0)</f>
        <v>8</v>
      </c>
      <c r="F5" s="1">
        <f>IFERROR(__xludf.DUMMYFUNCTION("""COMPUTED_VALUE"""),63.0)</f>
        <v>63</v>
      </c>
      <c r="G5" s="1">
        <f>IFERROR(__xludf.DUMMYFUNCTION("""COMPUTED_VALUE"""),35.0)</f>
        <v>35</v>
      </c>
      <c r="H5" s="1" t="str">
        <f>IFERROR(__xludf.DUMMYFUNCTION("""COMPUTED_VALUE"""),"+28")</f>
        <v>+28</v>
      </c>
      <c r="I5" s="1">
        <f>IFERROR(__xludf.DUMMYFUNCTION("""COMPUTED_VALUE"""),68.0)</f>
        <v>68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IFERROR(__xludf.DUMMYFUNCTION("""COMPUTED_VALUE"""),17.0)</f>
        <v>17</v>
      </c>
      <c r="D6" s="1">
        <f>IFERROR(__xludf.DUMMYFUNCTION("""COMPUTED_VALUE"""),9.0)</f>
        <v>9</v>
      </c>
      <c r="E6" s="1">
        <f>IFERROR(__xludf.DUMMYFUNCTION("""COMPUTED_VALUE"""),12.0)</f>
        <v>12</v>
      </c>
      <c r="F6" s="1">
        <f>IFERROR(__xludf.DUMMYFUNCTION("""COMPUTED_VALUE"""),57.0)</f>
        <v>57</v>
      </c>
      <c r="G6" s="1">
        <f>IFERROR(__xludf.DUMMYFUNCTION("""COMPUTED_VALUE"""),54.0)</f>
        <v>54</v>
      </c>
      <c r="H6" s="1" t="str">
        <f>IFERROR(__xludf.DUMMYFUNCTION("""COMPUTED_VALUE"""),"+3")</f>
        <v>+3</v>
      </c>
      <c r="I6" s="1">
        <f>IFERROR(__xludf.DUMMYFUNCTION("""COMPUTED_VALUE"""),60.0)</f>
        <v>60</v>
      </c>
    </row>
    <row r="7">
      <c r="A7" s="1" t="str">
        <f>IFERROR(__xludf.DUMMYFUNCTION("""COMPUTED_VALUE"""),"6EVEEverton")</f>
        <v>6EVEEverton</v>
      </c>
      <c r="B7" s="1">
        <f>IFERROR(__xludf.DUMMYFUNCTION("""COMPUTED_VALUE"""),38.0)</f>
        <v>38</v>
      </c>
      <c r="C7" s="1">
        <f>IFERROR(__xludf.DUMMYFUNCTION("""COMPUTED_VALUE"""),15.0)</f>
        <v>15</v>
      </c>
      <c r="D7" s="1">
        <f>IFERROR(__xludf.DUMMYFUNCTION("""COMPUTED_VALUE"""),13.0)</f>
        <v>13</v>
      </c>
      <c r="E7" s="1">
        <f>IFERROR(__xludf.DUMMYFUNCTION("""COMPUTED_VALUE"""),10.0)</f>
        <v>10</v>
      </c>
      <c r="F7" s="1">
        <f>IFERROR(__xludf.DUMMYFUNCTION("""COMPUTED_VALUE"""),52.0)</f>
        <v>52</v>
      </c>
      <c r="G7" s="1">
        <f>IFERROR(__xludf.DUMMYFUNCTION("""COMPUTED_VALUE"""),36.0)</f>
        <v>36</v>
      </c>
      <c r="H7" s="1" t="str">
        <f>IFERROR(__xludf.DUMMYFUNCTION("""COMPUTED_VALUE"""),"+16")</f>
        <v>+16</v>
      </c>
      <c r="I7" s="1">
        <f>IFERROR(__xludf.DUMMYFUNCTION("""COMPUTED_VALUE"""),58.0)</f>
        <v>58</v>
      </c>
    </row>
    <row r="8">
      <c r="A8" s="1" t="str">
        <f>IFERROR(__xludf.DUMMYFUNCTION("""COMPUTED_VALUE"""),"7BOLBolton Wanderers")</f>
        <v>7BOLBolton Wanderers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IFERROR(__xludf.DUMMYFUNCTION("""COMPUTED_VALUE"""),8.0)</f>
        <v>8</v>
      </c>
      <c r="E8" s="1">
        <f>IFERROR(__xludf.DUMMYFUNCTION("""COMPUTED_VALUE"""),14.0)</f>
        <v>14</v>
      </c>
      <c r="F8" s="1">
        <f>IFERROR(__xludf.DUMMYFUNCTION("""COMPUTED_VALUE"""),47.0)</f>
        <v>47</v>
      </c>
      <c r="G8" s="1">
        <f>IFERROR(__xludf.DUMMYFUNCTION("""COMPUTED_VALUE"""),52.0)</f>
        <v>52</v>
      </c>
      <c r="H8" s="1">
        <f>IFERROR(__xludf.DUMMYFUNCTION("""COMPUTED_VALUE"""),-5.0)</f>
        <v>-5</v>
      </c>
      <c r="I8" s="1">
        <f>IFERROR(__xludf.DUMMYFUNCTION("""COMPUTED_VALUE"""),56.0)</f>
        <v>56</v>
      </c>
    </row>
    <row r="9">
      <c r="A9" s="1" t="str">
        <f>IFERROR(__xludf.DUMMYFUNCTION("""COMPUTED_VALUE"""),"8REAReading")</f>
        <v>8REAReading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IFERROR(__xludf.DUMMYFUNCTION("""COMPUTED_VALUE"""),7.0)</f>
        <v>7</v>
      </c>
      <c r="E9" s="1">
        <f>IFERROR(__xludf.DUMMYFUNCTION("""COMPUTED_VALUE"""),15.0)</f>
        <v>15</v>
      </c>
      <c r="F9" s="1">
        <f>IFERROR(__xludf.DUMMYFUNCTION("""COMPUTED_VALUE"""),52.0)</f>
        <v>52</v>
      </c>
      <c r="G9" s="1">
        <f>IFERROR(__xludf.DUMMYFUNCTION("""COMPUTED_VALUE"""),47.0)</f>
        <v>47</v>
      </c>
      <c r="H9" s="1" t="str">
        <f>IFERROR(__xludf.DUMMYFUNCTION("""COMPUTED_VALUE"""),"+5")</f>
        <v>+5</v>
      </c>
      <c r="I9" s="1">
        <f>IFERROR(__xludf.DUMMYFUNCTION("""COMPUTED_VALUE"""),55.0)</f>
        <v>55</v>
      </c>
    </row>
    <row r="10">
      <c r="A10" s="1" t="str">
        <f>IFERROR(__xludf.DUMMYFUNCTION("""COMPUTED_VALUE"""),"9PORPortsmouth")</f>
        <v>9PORPortsmouth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IFERROR(__xludf.DUMMYFUNCTION("""COMPUTED_VALUE"""),12.0)</f>
        <v>12</v>
      </c>
      <c r="E10" s="1">
        <f>IFERROR(__xludf.DUMMYFUNCTION("""COMPUTED_VALUE"""),12.0)</f>
        <v>12</v>
      </c>
      <c r="F10" s="1">
        <f>IFERROR(__xludf.DUMMYFUNCTION("""COMPUTED_VALUE"""),45.0)</f>
        <v>45</v>
      </c>
      <c r="G10" s="1">
        <f>IFERROR(__xludf.DUMMYFUNCTION("""COMPUTED_VALUE"""),42.0)</f>
        <v>42</v>
      </c>
      <c r="H10" s="1" t="str">
        <f>IFERROR(__xludf.DUMMYFUNCTION("""COMPUTED_VALUE"""),"+3")</f>
        <v>+3</v>
      </c>
      <c r="I10" s="1">
        <f>IFERROR(__xludf.DUMMYFUNCTION("""COMPUTED_VALUE"""),54.0)</f>
        <v>54</v>
      </c>
    </row>
    <row r="11">
      <c r="A11" s="1" t="str">
        <f>IFERROR(__xludf.DUMMYFUNCTION("""COMPUTED_VALUE"""),"10BLKBlackburn Rovers")</f>
        <v>10BLKBlackburn Rovers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IFERROR(__xludf.DUMMYFUNCTION("""COMPUTED_VALUE"""),7.0)</f>
        <v>7</v>
      </c>
      <c r="E11" s="1">
        <f>IFERROR(__xludf.DUMMYFUNCTION("""COMPUTED_VALUE"""),16.0)</f>
        <v>16</v>
      </c>
      <c r="F11" s="1">
        <f>IFERROR(__xludf.DUMMYFUNCTION("""COMPUTED_VALUE"""),52.0)</f>
        <v>52</v>
      </c>
      <c r="G11" s="1">
        <f>IFERROR(__xludf.DUMMYFUNCTION("""COMPUTED_VALUE"""),54.0)</f>
        <v>54</v>
      </c>
      <c r="H11" s="1">
        <f>IFERROR(__xludf.DUMMYFUNCTION("""COMPUTED_VALUE"""),-2.0)</f>
        <v>-2</v>
      </c>
      <c r="I11" s="1">
        <f>IFERROR(__xludf.DUMMYFUNCTION("""COMPUTED_VALUE"""),52.0)</f>
        <v>52</v>
      </c>
    </row>
    <row r="12">
      <c r="A12" s="1" t="str">
        <f>IFERROR(__xludf.DUMMYFUNCTION("""COMPUTED_VALUE"""),"11AVLAston Villa")</f>
        <v>11AVLAston Villa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IFERROR(__xludf.DUMMYFUNCTION("""COMPUTED_VALUE"""),17.0)</f>
        <v>17</v>
      </c>
      <c r="E12" s="1">
        <f>IFERROR(__xludf.DUMMYFUNCTION("""COMPUTED_VALUE"""),10.0)</f>
        <v>10</v>
      </c>
      <c r="F12" s="1">
        <f>IFERROR(__xludf.DUMMYFUNCTION("""COMPUTED_VALUE"""),43.0)</f>
        <v>43</v>
      </c>
      <c r="G12" s="1">
        <f>IFERROR(__xludf.DUMMYFUNCTION("""COMPUTED_VALUE"""),41.0)</f>
        <v>41</v>
      </c>
      <c r="H12" s="1" t="str">
        <f>IFERROR(__xludf.DUMMYFUNCTION("""COMPUTED_VALUE"""),"+2")</f>
        <v>+2</v>
      </c>
      <c r="I12" s="1">
        <f>IFERROR(__xludf.DUMMYFUNCTION("""COMPUTED_VALUE"""),50.0)</f>
        <v>50</v>
      </c>
    </row>
    <row r="13">
      <c r="A13" s="1" t="str">
        <f>IFERROR(__xludf.DUMMYFUNCTION("""COMPUTED_VALUE"""),"12MIDMiddlesbrough")</f>
        <v>12MIDMiddlesbrough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IFERROR(__xludf.DUMMYFUNCTION("""COMPUTED_VALUE"""),10.0)</f>
        <v>10</v>
      </c>
      <c r="E13" s="1">
        <f>IFERROR(__xludf.DUMMYFUNCTION("""COMPUTED_VALUE"""),16.0)</f>
        <v>16</v>
      </c>
      <c r="F13" s="1">
        <f>IFERROR(__xludf.DUMMYFUNCTION("""COMPUTED_VALUE"""),44.0)</f>
        <v>44</v>
      </c>
      <c r="G13" s="1">
        <f>IFERROR(__xludf.DUMMYFUNCTION("""COMPUTED_VALUE"""),49.0)</f>
        <v>49</v>
      </c>
      <c r="H13" s="1">
        <f>IFERROR(__xludf.DUMMYFUNCTION("""COMPUTED_VALUE"""),-5.0)</f>
        <v>-5</v>
      </c>
      <c r="I13" s="1">
        <f>IFERROR(__xludf.DUMMYFUNCTION("""COMPUTED_VALUE"""),46.0)</f>
        <v>46</v>
      </c>
    </row>
    <row r="14">
      <c r="A14" s="1" t="str">
        <f>IFERROR(__xludf.DUMMYFUNCTION("""COMPUTED_VALUE"""),"13NEWNewcastle United")</f>
        <v>13NEWNewcastle United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IFERROR(__xludf.DUMMYFUNCTION("""COMPUTED_VALUE"""),10.0)</f>
        <v>10</v>
      </c>
      <c r="E14" s="1">
        <f>IFERROR(__xludf.DUMMYFUNCTION("""COMPUTED_VALUE"""),17.0)</f>
        <v>17</v>
      </c>
      <c r="F14" s="1">
        <f>IFERROR(__xludf.DUMMYFUNCTION("""COMPUTED_VALUE"""),38.0)</f>
        <v>38</v>
      </c>
      <c r="G14" s="1">
        <f>IFERROR(__xludf.DUMMYFUNCTION("""COMPUTED_VALUE"""),47.0)</f>
        <v>47</v>
      </c>
      <c r="H14" s="1">
        <f>IFERROR(__xludf.DUMMYFUNCTION("""COMPUTED_VALUE"""),-9.0)</f>
        <v>-9</v>
      </c>
      <c r="I14" s="1">
        <f>IFERROR(__xludf.DUMMYFUNCTION("""COMPUTED_VALUE"""),43.0)</f>
        <v>43</v>
      </c>
    </row>
    <row r="15">
      <c r="A15" s="1" t="str">
        <f>IFERROR(__xludf.DUMMYFUNCTION("""COMPUTED_VALUE"""),"14MNCManchester City")</f>
        <v>14MNCManchester City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IFERROR(__xludf.DUMMYFUNCTION("""COMPUTED_VALUE"""),9.0)</f>
        <v>9</v>
      </c>
      <c r="E15" s="1">
        <f>IFERROR(__xludf.DUMMYFUNCTION("""COMPUTED_VALUE"""),18.0)</f>
        <v>18</v>
      </c>
      <c r="F15" s="1">
        <f>IFERROR(__xludf.DUMMYFUNCTION("""COMPUTED_VALUE"""),29.0)</f>
        <v>29</v>
      </c>
      <c r="G15" s="1">
        <f>IFERROR(__xludf.DUMMYFUNCTION("""COMPUTED_VALUE"""),44.0)</f>
        <v>44</v>
      </c>
      <c r="H15" s="1">
        <f>IFERROR(__xludf.DUMMYFUNCTION("""COMPUTED_VALUE"""),-15.0)</f>
        <v>-15</v>
      </c>
      <c r="I15" s="1">
        <f>IFERROR(__xludf.DUMMYFUNCTION("""COMPUTED_VALUE"""),42.0)</f>
        <v>42</v>
      </c>
    </row>
    <row r="16">
      <c r="A16" s="1" t="str">
        <f>IFERROR(__xludf.DUMMYFUNCTION("""COMPUTED_VALUE"""),"15WHUWest Ham United")</f>
        <v>15WHUWest Ham United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IFERROR(__xludf.DUMMYFUNCTION("""COMPUTED_VALUE"""),5.0)</f>
        <v>5</v>
      </c>
      <c r="E16" s="1">
        <f>IFERROR(__xludf.DUMMYFUNCTION("""COMPUTED_VALUE"""),21.0)</f>
        <v>21</v>
      </c>
      <c r="F16" s="1">
        <f>IFERROR(__xludf.DUMMYFUNCTION("""COMPUTED_VALUE"""),35.0)</f>
        <v>35</v>
      </c>
      <c r="G16" s="1">
        <f>IFERROR(__xludf.DUMMYFUNCTION("""COMPUTED_VALUE"""),59.0)</f>
        <v>59</v>
      </c>
      <c r="H16" s="1">
        <f>IFERROR(__xludf.DUMMYFUNCTION("""COMPUTED_VALUE"""),-24.0)</f>
        <v>-24</v>
      </c>
      <c r="I16" s="1">
        <f>IFERROR(__xludf.DUMMYFUNCTION("""COMPUTED_VALUE"""),41.0)</f>
        <v>41</v>
      </c>
    </row>
    <row r="17">
      <c r="A17" s="1" t="str">
        <f>IFERROR(__xludf.DUMMYFUNCTION("""COMPUTED_VALUE"""),"16FULFulham")</f>
        <v>16FULFulham</v>
      </c>
      <c r="B17" s="1">
        <f>IFERROR(__xludf.DUMMYFUNCTION("""COMPUTED_VALUE"""),38.0)</f>
        <v>38</v>
      </c>
      <c r="C17" s="1">
        <f>IFERROR(__xludf.DUMMYFUNCTION("""COMPUTED_VALUE"""),8.0)</f>
        <v>8</v>
      </c>
      <c r="D17" s="1">
        <f>IFERROR(__xludf.DUMMYFUNCTION("""COMPUTED_VALUE"""),15.0)</f>
        <v>15</v>
      </c>
      <c r="E17" s="1">
        <f>IFERROR(__xludf.DUMMYFUNCTION("""COMPUTED_VALUE"""),15.0)</f>
        <v>15</v>
      </c>
      <c r="F17" s="1">
        <f>IFERROR(__xludf.DUMMYFUNCTION("""COMPUTED_VALUE"""),38.0)</f>
        <v>38</v>
      </c>
      <c r="G17" s="1">
        <f>IFERROR(__xludf.DUMMYFUNCTION("""COMPUTED_VALUE"""),60.0)</f>
        <v>60</v>
      </c>
      <c r="H17" s="1">
        <f>IFERROR(__xludf.DUMMYFUNCTION("""COMPUTED_VALUE"""),-22.0)</f>
        <v>-22</v>
      </c>
      <c r="I17" s="1">
        <f>IFERROR(__xludf.DUMMYFUNCTION("""COMPUTED_VALUE"""),39.0)</f>
        <v>39</v>
      </c>
    </row>
    <row r="18">
      <c r="A18" s="1" t="str">
        <f>IFERROR(__xludf.DUMMYFUNCTION("""COMPUTED_VALUE"""),"17WGAWigan Athletic")</f>
        <v>17WGAWigan Athletic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IFERROR(__xludf.DUMMYFUNCTION("""COMPUTED_VALUE"""),8.0)</f>
        <v>8</v>
      </c>
      <c r="E18" s="1">
        <f>IFERROR(__xludf.DUMMYFUNCTION("""COMPUTED_VALUE"""),20.0)</f>
        <v>20</v>
      </c>
      <c r="F18" s="1">
        <f>IFERROR(__xludf.DUMMYFUNCTION("""COMPUTED_VALUE"""),37.0)</f>
        <v>37</v>
      </c>
      <c r="G18" s="1">
        <f>IFERROR(__xludf.DUMMYFUNCTION("""COMPUTED_VALUE"""),59.0)</f>
        <v>59</v>
      </c>
      <c r="H18" s="1">
        <f>IFERROR(__xludf.DUMMYFUNCTION("""COMPUTED_VALUE"""),-22.0)</f>
        <v>-22</v>
      </c>
      <c r="I18" s="1">
        <f>IFERROR(__xludf.DUMMYFUNCTION("""COMPUTED_VALUE"""),38.0)</f>
        <v>38</v>
      </c>
    </row>
    <row r="19">
      <c r="A19" s="1" t="str">
        <f>IFERROR(__xludf.DUMMYFUNCTION("""COMPUTED_VALUE"""),"18SHUSheffield United")</f>
        <v>18SHUSheffield United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IFERROR(__xludf.DUMMYFUNCTION("""COMPUTED_VALUE"""),8.0)</f>
        <v>8</v>
      </c>
      <c r="E19" s="1">
        <f>IFERROR(__xludf.DUMMYFUNCTION("""COMPUTED_VALUE"""),20.0)</f>
        <v>20</v>
      </c>
      <c r="F19" s="1">
        <f>IFERROR(__xludf.DUMMYFUNCTION("""COMPUTED_VALUE"""),32.0)</f>
        <v>32</v>
      </c>
      <c r="G19" s="1">
        <f>IFERROR(__xludf.DUMMYFUNCTION("""COMPUTED_VALUE"""),55.0)</f>
        <v>55</v>
      </c>
      <c r="H19" s="1">
        <f>IFERROR(__xludf.DUMMYFUNCTION("""COMPUTED_VALUE"""),-23.0)</f>
        <v>-23</v>
      </c>
      <c r="I19" s="1">
        <f>IFERROR(__xludf.DUMMYFUNCTION("""COMPUTED_VALUE"""),38.0)</f>
        <v>38</v>
      </c>
    </row>
    <row r="20">
      <c r="A20" s="1" t="str">
        <f>IFERROR(__xludf.DUMMYFUNCTION("""COMPUTED_VALUE"""),"19CHACharlton Athletic")</f>
        <v>19CHACharlton Athletic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IFERROR(__xludf.DUMMYFUNCTION("""COMPUTED_VALUE"""),10.0)</f>
        <v>10</v>
      </c>
      <c r="E20" s="1">
        <f>IFERROR(__xludf.DUMMYFUNCTION("""COMPUTED_VALUE"""),20.0)</f>
        <v>20</v>
      </c>
      <c r="F20" s="1">
        <f>IFERROR(__xludf.DUMMYFUNCTION("""COMPUTED_VALUE"""),34.0)</f>
        <v>34</v>
      </c>
      <c r="G20" s="1">
        <f>IFERROR(__xludf.DUMMYFUNCTION("""COMPUTED_VALUE"""),60.0)</f>
        <v>60</v>
      </c>
      <c r="H20" s="1">
        <f>IFERROR(__xludf.DUMMYFUNCTION("""COMPUTED_VALUE"""),-26.0)</f>
        <v>-26</v>
      </c>
      <c r="I20" s="1">
        <f>IFERROR(__xludf.DUMMYFUNCTION("""COMPUTED_VALUE"""),34.0)</f>
        <v>34</v>
      </c>
    </row>
    <row r="21">
      <c r="A21" s="1" t="str">
        <f>IFERROR(__xludf.DUMMYFUNCTION("""COMPUTED_VALUE"""),"20WATWatford")</f>
        <v>20WATWatford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IFERROR(__xludf.DUMMYFUNCTION("""COMPUTED_VALUE"""),13.0)</f>
        <v>13</v>
      </c>
      <c r="E21" s="1">
        <f>IFERROR(__xludf.DUMMYFUNCTION("""COMPUTED_VALUE"""),20.0)</f>
        <v>20</v>
      </c>
      <c r="F21" s="1">
        <f>IFERROR(__xludf.DUMMYFUNCTION("""COMPUTED_VALUE"""),29.0)</f>
        <v>29</v>
      </c>
      <c r="G21" s="1">
        <f>IFERROR(__xludf.DUMMYFUNCTION("""COMPUTED_VALUE"""),59.0)</f>
        <v>59</v>
      </c>
      <c r="H21" s="1">
        <f>IFERROR(__xludf.DUMMYFUNCTION("""COMPUTED_VALUE"""),-30.0)</f>
        <v>-30</v>
      </c>
      <c r="I21" s="1">
        <f>IFERROR(__xludf.DUMMYFUNCTION("""COMPUTED_VALUE"""),28.0)</f>
        <v>28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IFERROR(__xludf.DUMMYFUNCTION("IMPORTHTML(""https://www.espn.com/soccer/standings/_/league/ENG.1/season/2005"",""table"",1)"),"2005-2006")</f>
        <v>2005-2006</v>
      </c>
      <c r="B1" s="1" t="str">
        <f>IFERROR(__xludf.DUMMYFUNCTION("IMPORTHTML(""https://www.espn.com/soccer/standings/_/league/ENG.1/season/2005"",""table"",2)"),"GP")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IFERROR(__xludf.DUMMYFUNCTION("""COMPUTED_VALUE"""),29.0)</f>
        <v>29</v>
      </c>
      <c r="D2" s="1">
        <f>IFERROR(__xludf.DUMMYFUNCTION("""COMPUTED_VALUE"""),4.0)</f>
        <v>4</v>
      </c>
      <c r="E2" s="1">
        <f>IFERROR(__xludf.DUMMYFUNCTION("""COMPUTED_VALUE"""),5.0)</f>
        <v>5</v>
      </c>
      <c r="F2" s="1">
        <f>IFERROR(__xludf.DUMMYFUNCTION("""COMPUTED_VALUE"""),72.0)</f>
        <v>72</v>
      </c>
      <c r="G2" s="1">
        <f>IFERROR(__xludf.DUMMYFUNCTION("""COMPUTED_VALUE"""),22.0)</f>
        <v>22</v>
      </c>
      <c r="H2" s="1" t="str">
        <f>IFERROR(__xludf.DUMMYFUNCTION("""COMPUTED_VALUE"""),"+50")</f>
        <v>+50</v>
      </c>
      <c r="I2" s="1">
        <f>IFERROR(__xludf.DUMMYFUNCTION("""COMPUTED_VALUE"""),91.0)</f>
        <v>91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IFERROR(__xludf.DUMMYFUNCTION("""COMPUTED_VALUE"""),8.0)</f>
        <v>8</v>
      </c>
      <c r="E3" s="1">
        <f>IFERROR(__xludf.DUMMYFUNCTION("""COMPUTED_VALUE"""),5.0)</f>
        <v>5</v>
      </c>
      <c r="F3" s="1">
        <f>IFERROR(__xludf.DUMMYFUNCTION("""COMPUTED_VALUE"""),72.0)</f>
        <v>72</v>
      </c>
      <c r="G3" s="1">
        <f>IFERROR(__xludf.DUMMYFUNCTION("""COMPUTED_VALUE"""),34.0)</f>
        <v>34</v>
      </c>
      <c r="H3" s="1" t="str">
        <f>IFERROR(__xludf.DUMMYFUNCTION("""COMPUTED_VALUE"""),"+38")</f>
        <v>+38</v>
      </c>
      <c r="I3" s="1">
        <f>IFERROR(__xludf.DUMMYFUNCTION("""COMPUTED_VALUE"""),83.0)</f>
        <v>83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IFERROR(__xludf.DUMMYFUNCTION("""COMPUTED_VALUE"""),38.0)</f>
        <v>38</v>
      </c>
      <c r="C4" s="1">
        <f>IFERROR(__xludf.DUMMYFUNCTION("""COMPUTED_VALUE"""),25.0)</f>
        <v>25</v>
      </c>
      <c r="D4" s="1">
        <f>IFERROR(__xludf.DUMMYFUNCTION("""COMPUTED_VALUE"""),7.0)</f>
        <v>7</v>
      </c>
      <c r="E4" s="1">
        <f>IFERROR(__xludf.DUMMYFUNCTION("""COMPUTED_VALUE"""),6.0)</f>
        <v>6</v>
      </c>
      <c r="F4" s="1">
        <f>IFERROR(__xludf.DUMMYFUNCTION("""COMPUTED_VALUE"""),57.0)</f>
        <v>57</v>
      </c>
      <c r="G4" s="1">
        <f>IFERROR(__xludf.DUMMYFUNCTION("""COMPUTED_VALUE"""),25.0)</f>
        <v>25</v>
      </c>
      <c r="H4" s="1" t="str">
        <f>IFERROR(__xludf.DUMMYFUNCTION("""COMPUTED_VALUE"""),"+32")</f>
        <v>+32</v>
      </c>
      <c r="I4" s="1">
        <f>IFERROR(__xludf.DUMMYFUNCTION("""COMPUTED_VALUE"""),82.0)</f>
        <v>82</v>
      </c>
    </row>
    <row r="5">
      <c r="A5" s="1" t="str">
        <f>IFERROR(__xludf.DUMMYFUNCTION("""COMPUTED_VALUE"""),"4ARSArsenal")</f>
        <v>4ARSArsenal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IFERROR(__xludf.DUMMYFUNCTION("""COMPUTED_VALUE"""),7.0)</f>
        <v>7</v>
      </c>
      <c r="E5" s="1">
        <f>IFERROR(__xludf.DUMMYFUNCTION("""COMPUTED_VALUE"""),11.0)</f>
        <v>11</v>
      </c>
      <c r="F5" s="1">
        <f>IFERROR(__xludf.DUMMYFUNCTION("""COMPUTED_VALUE"""),68.0)</f>
        <v>68</v>
      </c>
      <c r="G5" s="1">
        <f>IFERROR(__xludf.DUMMYFUNCTION("""COMPUTED_VALUE"""),31.0)</f>
        <v>31</v>
      </c>
      <c r="H5" s="1" t="str">
        <f>IFERROR(__xludf.DUMMYFUNCTION("""COMPUTED_VALUE"""),"+37")</f>
        <v>+37</v>
      </c>
      <c r="I5" s="1">
        <f>IFERROR(__xludf.DUMMYFUNCTION("""COMPUTED_VALUE"""),67.0)</f>
        <v>67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IFERROR(__xludf.DUMMYFUNCTION("""COMPUTED_VALUE"""),18.0)</f>
        <v>18</v>
      </c>
      <c r="D6" s="1">
        <f>IFERROR(__xludf.DUMMYFUNCTION("""COMPUTED_VALUE"""),11.0)</f>
        <v>11</v>
      </c>
      <c r="E6" s="1">
        <f>IFERROR(__xludf.DUMMYFUNCTION("""COMPUTED_VALUE"""),9.0)</f>
        <v>9</v>
      </c>
      <c r="F6" s="1">
        <f>IFERROR(__xludf.DUMMYFUNCTION("""COMPUTED_VALUE"""),53.0)</f>
        <v>53</v>
      </c>
      <c r="G6" s="1">
        <f>IFERROR(__xludf.DUMMYFUNCTION("""COMPUTED_VALUE"""),38.0)</f>
        <v>38</v>
      </c>
      <c r="H6" s="1" t="str">
        <f>IFERROR(__xludf.DUMMYFUNCTION("""COMPUTED_VALUE"""),"+15")</f>
        <v>+15</v>
      </c>
      <c r="I6" s="1">
        <f>IFERROR(__xludf.DUMMYFUNCTION("""COMPUTED_VALUE"""),65.0)</f>
        <v>65</v>
      </c>
    </row>
    <row r="7">
      <c r="A7" s="1" t="str">
        <f>IFERROR(__xludf.DUMMYFUNCTION("""COMPUTED_VALUE"""),"6BLKBlackburn Rovers")</f>
        <v>6BLKBlackburn Rovers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IFERROR(__xludf.DUMMYFUNCTION("""COMPUTED_VALUE"""),6.0)</f>
        <v>6</v>
      </c>
      <c r="E7" s="1">
        <f>IFERROR(__xludf.DUMMYFUNCTION("""COMPUTED_VALUE"""),13.0)</f>
        <v>13</v>
      </c>
      <c r="F7" s="1">
        <f>IFERROR(__xludf.DUMMYFUNCTION("""COMPUTED_VALUE"""),51.0)</f>
        <v>51</v>
      </c>
      <c r="G7" s="1">
        <f>IFERROR(__xludf.DUMMYFUNCTION("""COMPUTED_VALUE"""),42.0)</f>
        <v>42</v>
      </c>
      <c r="H7" s="1" t="str">
        <f>IFERROR(__xludf.DUMMYFUNCTION("""COMPUTED_VALUE"""),"+9")</f>
        <v>+9</v>
      </c>
      <c r="I7" s="1">
        <f>IFERROR(__xludf.DUMMYFUNCTION("""COMPUTED_VALUE"""),63.0)</f>
        <v>63</v>
      </c>
    </row>
    <row r="8">
      <c r="A8" s="1" t="str">
        <f>IFERROR(__xludf.DUMMYFUNCTION("""COMPUTED_VALUE"""),"7NEWNewcastle United")</f>
        <v>7NEWNewcastle United</v>
      </c>
      <c r="B8" s="1">
        <f>IFERROR(__xludf.DUMMYFUNCTION("""COMPUTED_VALUE"""),38.0)</f>
        <v>38</v>
      </c>
      <c r="C8" s="1">
        <f>IFERROR(__xludf.DUMMYFUNCTION("""COMPUTED_VALUE"""),17.0)</f>
        <v>17</v>
      </c>
      <c r="D8" s="1">
        <f>IFERROR(__xludf.DUMMYFUNCTION("""COMPUTED_VALUE"""),7.0)</f>
        <v>7</v>
      </c>
      <c r="E8" s="1">
        <f>IFERROR(__xludf.DUMMYFUNCTION("""COMPUTED_VALUE"""),14.0)</f>
        <v>14</v>
      </c>
      <c r="F8" s="1">
        <f>IFERROR(__xludf.DUMMYFUNCTION("""COMPUTED_VALUE"""),47.0)</f>
        <v>47</v>
      </c>
      <c r="G8" s="1">
        <f>IFERROR(__xludf.DUMMYFUNCTION("""COMPUTED_VALUE"""),42.0)</f>
        <v>42</v>
      </c>
      <c r="H8" s="1" t="str">
        <f>IFERROR(__xludf.DUMMYFUNCTION("""COMPUTED_VALUE"""),"+5")</f>
        <v>+5</v>
      </c>
      <c r="I8" s="1">
        <f>IFERROR(__xludf.DUMMYFUNCTION("""COMPUTED_VALUE"""),58.0)</f>
        <v>58</v>
      </c>
    </row>
    <row r="9">
      <c r="A9" s="1" t="str">
        <f>IFERROR(__xludf.DUMMYFUNCTION("""COMPUTED_VALUE"""),"8BOLBolton Wanderers")</f>
        <v>8BOLBolton Wanderers</v>
      </c>
      <c r="B9" s="1">
        <f>IFERROR(__xludf.DUMMYFUNCTION("""COMPUTED_VALUE"""),38.0)</f>
        <v>38</v>
      </c>
      <c r="C9" s="1">
        <f>IFERROR(__xludf.DUMMYFUNCTION("""COMPUTED_VALUE"""),15.0)</f>
        <v>15</v>
      </c>
      <c r="D9" s="1">
        <f>IFERROR(__xludf.DUMMYFUNCTION("""COMPUTED_VALUE"""),11.0)</f>
        <v>11</v>
      </c>
      <c r="E9" s="1">
        <f>IFERROR(__xludf.DUMMYFUNCTION("""COMPUTED_VALUE"""),12.0)</f>
        <v>12</v>
      </c>
      <c r="F9" s="1">
        <f>IFERROR(__xludf.DUMMYFUNCTION("""COMPUTED_VALUE"""),49.0)</f>
        <v>49</v>
      </c>
      <c r="G9" s="1">
        <f>IFERROR(__xludf.DUMMYFUNCTION("""COMPUTED_VALUE"""),41.0)</f>
        <v>41</v>
      </c>
      <c r="H9" s="1" t="str">
        <f>IFERROR(__xludf.DUMMYFUNCTION("""COMPUTED_VALUE"""),"+8")</f>
        <v>+8</v>
      </c>
      <c r="I9" s="1">
        <f>IFERROR(__xludf.DUMMYFUNCTION("""COMPUTED_VALUE"""),56.0)</f>
        <v>56</v>
      </c>
    </row>
    <row r="10">
      <c r="A10" s="1" t="str">
        <f>IFERROR(__xludf.DUMMYFUNCTION("""COMPUTED_VALUE"""),"9WHUWest Ham United")</f>
        <v>9WHUWest Ham United</v>
      </c>
      <c r="B10" s="1">
        <f>IFERROR(__xludf.DUMMYFUNCTION("""COMPUTED_VALUE"""),38.0)</f>
        <v>38</v>
      </c>
      <c r="C10" s="1">
        <f>IFERROR(__xludf.DUMMYFUNCTION("""COMPUTED_VALUE"""),16.0)</f>
        <v>16</v>
      </c>
      <c r="D10" s="1">
        <f>IFERROR(__xludf.DUMMYFUNCTION("""COMPUTED_VALUE"""),7.0)</f>
        <v>7</v>
      </c>
      <c r="E10" s="1">
        <f>IFERROR(__xludf.DUMMYFUNCTION("""COMPUTED_VALUE"""),15.0)</f>
        <v>15</v>
      </c>
      <c r="F10" s="1">
        <f>IFERROR(__xludf.DUMMYFUNCTION("""COMPUTED_VALUE"""),52.0)</f>
        <v>52</v>
      </c>
      <c r="G10" s="1">
        <f>IFERROR(__xludf.DUMMYFUNCTION("""COMPUTED_VALUE"""),55.0)</f>
        <v>55</v>
      </c>
      <c r="H10" s="1">
        <f>IFERROR(__xludf.DUMMYFUNCTION("""COMPUTED_VALUE"""),-3.0)</f>
        <v>-3</v>
      </c>
      <c r="I10" s="1">
        <f>IFERROR(__xludf.DUMMYFUNCTION("""COMPUTED_VALUE"""),55.0)</f>
        <v>55</v>
      </c>
    </row>
    <row r="11">
      <c r="A11" s="1" t="str">
        <f>IFERROR(__xludf.DUMMYFUNCTION("""COMPUTED_VALUE"""),"10WGAWigan Athletic")</f>
        <v>10WGAWigan Athletic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IFERROR(__xludf.DUMMYFUNCTION("""COMPUTED_VALUE"""),6.0)</f>
        <v>6</v>
      </c>
      <c r="E11" s="1">
        <f>IFERROR(__xludf.DUMMYFUNCTION("""COMPUTED_VALUE"""),17.0)</f>
        <v>17</v>
      </c>
      <c r="F11" s="1">
        <f>IFERROR(__xludf.DUMMYFUNCTION("""COMPUTED_VALUE"""),45.0)</f>
        <v>45</v>
      </c>
      <c r="G11" s="1">
        <f>IFERROR(__xludf.DUMMYFUNCTION("""COMPUTED_VALUE"""),52.0)</f>
        <v>52</v>
      </c>
      <c r="H11" s="1">
        <f>IFERROR(__xludf.DUMMYFUNCTION("""COMPUTED_VALUE"""),-7.0)</f>
        <v>-7</v>
      </c>
      <c r="I11" s="1">
        <f>IFERROR(__xludf.DUMMYFUNCTION("""COMPUTED_VALUE"""),51.0)</f>
        <v>51</v>
      </c>
    </row>
    <row r="12">
      <c r="A12" s="1" t="str">
        <f>IFERROR(__xludf.DUMMYFUNCTION("""COMPUTED_VALUE"""),"11EVEEverton")</f>
        <v>11EVEEverton</v>
      </c>
      <c r="B12" s="1">
        <f>IFERROR(__xludf.DUMMYFUNCTION("""COMPUTED_VALUE"""),38.0)</f>
        <v>38</v>
      </c>
      <c r="C12" s="1">
        <f>IFERROR(__xludf.DUMMYFUNCTION("""COMPUTED_VALUE"""),14.0)</f>
        <v>14</v>
      </c>
      <c r="D12" s="1">
        <f>IFERROR(__xludf.DUMMYFUNCTION("""COMPUTED_VALUE"""),8.0)</f>
        <v>8</v>
      </c>
      <c r="E12" s="1">
        <f>IFERROR(__xludf.DUMMYFUNCTION("""COMPUTED_VALUE"""),16.0)</f>
        <v>16</v>
      </c>
      <c r="F12" s="1">
        <f>IFERROR(__xludf.DUMMYFUNCTION("""COMPUTED_VALUE"""),34.0)</f>
        <v>34</v>
      </c>
      <c r="G12" s="1">
        <f>IFERROR(__xludf.DUMMYFUNCTION("""COMPUTED_VALUE"""),49.0)</f>
        <v>49</v>
      </c>
      <c r="H12" s="1">
        <f>IFERROR(__xludf.DUMMYFUNCTION("""COMPUTED_VALUE"""),-15.0)</f>
        <v>-15</v>
      </c>
      <c r="I12" s="1">
        <f>IFERROR(__xludf.DUMMYFUNCTION("""COMPUTED_VALUE"""),50.0)</f>
        <v>50</v>
      </c>
    </row>
    <row r="13">
      <c r="A13" s="1" t="str">
        <f>IFERROR(__xludf.DUMMYFUNCTION("""COMPUTED_VALUE"""),"12FULFulham")</f>
        <v>12FULFulham</v>
      </c>
      <c r="B13" s="1">
        <f>IFERROR(__xludf.DUMMYFUNCTION("""COMPUTED_VALUE"""),38.0)</f>
        <v>38</v>
      </c>
      <c r="C13" s="1">
        <f>IFERROR(__xludf.DUMMYFUNCTION("""COMPUTED_VALUE"""),14.0)</f>
        <v>14</v>
      </c>
      <c r="D13" s="1">
        <f>IFERROR(__xludf.DUMMYFUNCTION("""COMPUTED_VALUE"""),6.0)</f>
        <v>6</v>
      </c>
      <c r="E13" s="1">
        <f>IFERROR(__xludf.DUMMYFUNCTION("""COMPUTED_VALUE"""),18.0)</f>
        <v>18</v>
      </c>
      <c r="F13" s="1">
        <f>IFERROR(__xludf.DUMMYFUNCTION("""COMPUTED_VALUE"""),48.0)</f>
        <v>48</v>
      </c>
      <c r="G13" s="1">
        <f>IFERROR(__xludf.DUMMYFUNCTION("""COMPUTED_VALUE"""),58.0)</f>
        <v>58</v>
      </c>
      <c r="H13" s="1">
        <f>IFERROR(__xludf.DUMMYFUNCTION("""COMPUTED_VALUE"""),-10.0)</f>
        <v>-10</v>
      </c>
      <c r="I13" s="1">
        <f>IFERROR(__xludf.DUMMYFUNCTION("""COMPUTED_VALUE"""),48.0)</f>
        <v>48</v>
      </c>
    </row>
    <row r="14">
      <c r="A14" s="1" t="str">
        <f>IFERROR(__xludf.DUMMYFUNCTION("""COMPUTED_VALUE"""),"13CHACharlton Athletic")</f>
        <v>13CHACharlton Athletic</v>
      </c>
      <c r="B14" s="1">
        <f>IFERROR(__xludf.DUMMYFUNCTION("""COMPUTED_VALUE"""),38.0)</f>
        <v>38</v>
      </c>
      <c r="C14" s="1">
        <f>IFERROR(__xludf.DUMMYFUNCTION("""COMPUTED_VALUE"""),13.0)</f>
        <v>13</v>
      </c>
      <c r="D14" s="1">
        <f>IFERROR(__xludf.DUMMYFUNCTION("""COMPUTED_VALUE"""),8.0)</f>
        <v>8</v>
      </c>
      <c r="E14" s="1">
        <f>IFERROR(__xludf.DUMMYFUNCTION("""COMPUTED_VALUE"""),17.0)</f>
        <v>17</v>
      </c>
      <c r="F14" s="1">
        <f>IFERROR(__xludf.DUMMYFUNCTION("""COMPUTED_VALUE"""),41.0)</f>
        <v>41</v>
      </c>
      <c r="G14" s="1">
        <f>IFERROR(__xludf.DUMMYFUNCTION("""COMPUTED_VALUE"""),55.0)</f>
        <v>55</v>
      </c>
      <c r="H14" s="1">
        <f>IFERROR(__xludf.DUMMYFUNCTION("""COMPUTED_VALUE"""),-14.0)</f>
        <v>-14</v>
      </c>
      <c r="I14" s="1">
        <f>IFERROR(__xludf.DUMMYFUNCTION("""COMPUTED_VALUE"""),47.0)</f>
        <v>47</v>
      </c>
    </row>
    <row r="15">
      <c r="A15" s="1" t="str">
        <f>IFERROR(__xludf.DUMMYFUNCTION("""COMPUTED_VALUE"""),"14MIDMiddlesbrough")</f>
        <v>14MIDMiddlesbrough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IFERROR(__xludf.DUMMYFUNCTION("""COMPUTED_VALUE"""),9.0)</f>
        <v>9</v>
      </c>
      <c r="E15" s="1">
        <f>IFERROR(__xludf.DUMMYFUNCTION("""COMPUTED_VALUE"""),17.0)</f>
        <v>17</v>
      </c>
      <c r="F15" s="1">
        <f>IFERROR(__xludf.DUMMYFUNCTION("""COMPUTED_VALUE"""),48.0)</f>
        <v>48</v>
      </c>
      <c r="G15" s="1">
        <f>IFERROR(__xludf.DUMMYFUNCTION("""COMPUTED_VALUE"""),58.0)</f>
        <v>58</v>
      </c>
      <c r="H15" s="1">
        <f>IFERROR(__xludf.DUMMYFUNCTION("""COMPUTED_VALUE"""),-10.0)</f>
        <v>-10</v>
      </c>
      <c r="I15" s="1">
        <f>IFERROR(__xludf.DUMMYFUNCTION("""COMPUTED_VALUE"""),45.0)</f>
        <v>45</v>
      </c>
    </row>
    <row r="16">
      <c r="A16" s="1" t="str">
        <f>IFERROR(__xludf.DUMMYFUNCTION("""COMPUTED_VALUE"""),"15MNCManchester City")</f>
        <v>15MNCManchester City</v>
      </c>
      <c r="B16" s="1">
        <f>IFERROR(__xludf.DUMMYFUNCTION("""COMPUTED_VALUE"""),38.0)</f>
        <v>38</v>
      </c>
      <c r="C16" s="1">
        <f>IFERROR(__xludf.DUMMYFUNCTION("""COMPUTED_VALUE"""),13.0)</f>
        <v>13</v>
      </c>
      <c r="D16" s="1">
        <f>IFERROR(__xludf.DUMMYFUNCTION("""COMPUTED_VALUE"""),4.0)</f>
        <v>4</v>
      </c>
      <c r="E16" s="1">
        <f>IFERROR(__xludf.DUMMYFUNCTION("""COMPUTED_VALUE"""),21.0)</f>
        <v>21</v>
      </c>
      <c r="F16" s="1">
        <f>IFERROR(__xludf.DUMMYFUNCTION("""COMPUTED_VALUE"""),43.0)</f>
        <v>43</v>
      </c>
      <c r="G16" s="1">
        <f>IFERROR(__xludf.DUMMYFUNCTION("""COMPUTED_VALUE"""),48.0)</f>
        <v>48</v>
      </c>
      <c r="H16" s="1">
        <f>IFERROR(__xludf.DUMMYFUNCTION("""COMPUTED_VALUE"""),-5.0)</f>
        <v>-5</v>
      </c>
      <c r="I16" s="1">
        <f>IFERROR(__xludf.DUMMYFUNCTION("""COMPUTED_VALUE"""),43.0)</f>
        <v>43</v>
      </c>
    </row>
    <row r="17">
      <c r="A17" s="1" t="str">
        <f>IFERROR(__xludf.DUMMYFUNCTION("""COMPUTED_VALUE"""),"16AVLAston Villa")</f>
        <v>16AVLAston Villa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IFERROR(__xludf.DUMMYFUNCTION("""COMPUTED_VALUE"""),12.0)</f>
        <v>12</v>
      </c>
      <c r="E17" s="1">
        <f>IFERROR(__xludf.DUMMYFUNCTION("""COMPUTED_VALUE"""),16.0)</f>
        <v>16</v>
      </c>
      <c r="F17" s="1">
        <f>IFERROR(__xludf.DUMMYFUNCTION("""COMPUTED_VALUE"""),42.0)</f>
        <v>42</v>
      </c>
      <c r="G17" s="1">
        <f>IFERROR(__xludf.DUMMYFUNCTION("""COMPUTED_VALUE"""),55.0)</f>
        <v>55</v>
      </c>
      <c r="H17" s="1">
        <f>IFERROR(__xludf.DUMMYFUNCTION("""COMPUTED_VALUE"""),-13.0)</f>
        <v>-13</v>
      </c>
      <c r="I17" s="1">
        <f>IFERROR(__xludf.DUMMYFUNCTION("""COMPUTED_VALUE"""),42.0)</f>
        <v>42</v>
      </c>
    </row>
    <row r="18">
      <c r="A18" s="1" t="str">
        <f>IFERROR(__xludf.DUMMYFUNCTION("""COMPUTED_VALUE"""),"17PORPortsmouth")</f>
        <v>17PORPortsmouth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IFERROR(__xludf.DUMMYFUNCTION("""COMPUTED_VALUE"""),8.0)</f>
        <v>8</v>
      </c>
      <c r="E18" s="1">
        <f>IFERROR(__xludf.DUMMYFUNCTION("""COMPUTED_VALUE"""),20.0)</f>
        <v>20</v>
      </c>
      <c r="F18" s="1">
        <f>IFERROR(__xludf.DUMMYFUNCTION("""COMPUTED_VALUE"""),37.0)</f>
        <v>37</v>
      </c>
      <c r="G18" s="1">
        <f>IFERROR(__xludf.DUMMYFUNCTION("""COMPUTED_VALUE"""),62.0)</f>
        <v>62</v>
      </c>
      <c r="H18" s="1">
        <f>IFERROR(__xludf.DUMMYFUNCTION("""COMPUTED_VALUE"""),-25.0)</f>
        <v>-25</v>
      </c>
      <c r="I18" s="1">
        <f>IFERROR(__xludf.DUMMYFUNCTION("""COMPUTED_VALUE"""),38.0)</f>
        <v>38</v>
      </c>
    </row>
    <row r="19">
      <c r="A19" s="1" t="str">
        <f>IFERROR(__xludf.DUMMYFUNCTION("""COMPUTED_VALUE"""),"18BIRBirmingham City")</f>
        <v>18BIRBirmingham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IFERROR(__xludf.DUMMYFUNCTION("""COMPUTED_VALUE"""),10.0)</f>
        <v>10</v>
      </c>
      <c r="E19" s="1">
        <f>IFERROR(__xludf.DUMMYFUNCTION("""COMPUTED_VALUE"""),20.0)</f>
        <v>20</v>
      </c>
      <c r="F19" s="1">
        <f>IFERROR(__xludf.DUMMYFUNCTION("""COMPUTED_VALUE"""),28.0)</f>
        <v>28</v>
      </c>
      <c r="G19" s="1">
        <f>IFERROR(__xludf.DUMMYFUNCTION("""COMPUTED_VALUE"""),50.0)</f>
        <v>50</v>
      </c>
      <c r="H19" s="1">
        <f>IFERROR(__xludf.DUMMYFUNCTION("""COMPUTED_VALUE"""),-22.0)</f>
        <v>-22</v>
      </c>
      <c r="I19" s="1">
        <f>IFERROR(__xludf.DUMMYFUNCTION("""COMPUTED_VALUE"""),34.0)</f>
        <v>34</v>
      </c>
    </row>
    <row r="20">
      <c r="A20" s="1" t="str">
        <f>IFERROR(__xludf.DUMMYFUNCTION("""COMPUTED_VALUE"""),"19WBAWest Bromwich Albion")</f>
        <v>19WBAWest Bromwich Albion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IFERROR(__xludf.DUMMYFUNCTION("""COMPUTED_VALUE"""),9.0)</f>
        <v>9</v>
      </c>
      <c r="E20" s="1">
        <f>IFERROR(__xludf.DUMMYFUNCTION("""COMPUTED_VALUE"""),22.0)</f>
        <v>22</v>
      </c>
      <c r="F20" s="1">
        <f>IFERROR(__xludf.DUMMYFUNCTION("""COMPUTED_VALUE"""),31.0)</f>
        <v>31</v>
      </c>
      <c r="G20" s="1">
        <f>IFERROR(__xludf.DUMMYFUNCTION("""COMPUTED_VALUE"""),58.0)</f>
        <v>58</v>
      </c>
      <c r="H20" s="1">
        <f>IFERROR(__xludf.DUMMYFUNCTION("""COMPUTED_VALUE"""),-27.0)</f>
        <v>-27</v>
      </c>
      <c r="I20" s="1">
        <f>IFERROR(__xludf.DUMMYFUNCTION("""COMPUTED_VALUE"""),30.0)</f>
        <v>30</v>
      </c>
    </row>
    <row r="21">
      <c r="A21" s="1" t="str">
        <f>IFERROR(__xludf.DUMMYFUNCTION("""COMPUTED_VALUE"""),"20SUNSunderland")</f>
        <v>20SUNSunderland</v>
      </c>
      <c r="B21" s="1">
        <f>IFERROR(__xludf.DUMMYFUNCTION("""COMPUTED_VALUE"""),38.0)</f>
        <v>38</v>
      </c>
      <c r="C21" s="1">
        <f>IFERROR(__xludf.DUMMYFUNCTION("""COMPUTED_VALUE"""),3.0)</f>
        <v>3</v>
      </c>
      <c r="D21" s="1">
        <f>IFERROR(__xludf.DUMMYFUNCTION("""COMPUTED_VALUE"""),6.0)</f>
        <v>6</v>
      </c>
      <c r="E21" s="1">
        <f>IFERROR(__xludf.DUMMYFUNCTION("""COMPUTED_VALUE"""),29.0)</f>
        <v>29</v>
      </c>
      <c r="F21" s="1">
        <f>IFERROR(__xludf.DUMMYFUNCTION("""COMPUTED_VALUE"""),26.0)</f>
        <v>26</v>
      </c>
      <c r="G21" s="1">
        <f>IFERROR(__xludf.DUMMYFUNCTION("""COMPUTED_VALUE"""),69.0)</f>
        <v>69</v>
      </c>
      <c r="H21" s="1">
        <f>IFERROR(__xludf.DUMMYFUNCTION("""COMPUTED_VALUE"""),-43.0)</f>
        <v>-43</v>
      </c>
      <c r="I21" s="1">
        <f>IFERROR(__xludf.DUMMYFUNCTION("""COMPUTED_VALUE"""),15.0)</f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IFERROR(__xludf.DUMMYFUNCTION("IMPORTHTML(""https://www.espn.com/soccer/standings/_/league/ENG.1/season/2021"",""table"",1)"),"2021-2022")</f>
        <v>2021-2022</v>
      </c>
      <c r="B1" s="1" t="str">
        <f>IFERROR(__xludf.DUMMYFUNCTION("IMPORTHTML(""https://www.espn.com/soccer/standings/_/league/ENG.1/season/2021"",""table"",2)"),"GP")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IFERROR(__xludf.DUMMYFUNCTION("""COMPUTED_VALUE"""),29.0)</f>
        <v>29</v>
      </c>
      <c r="D2" s="1">
        <f>IFERROR(__xludf.DUMMYFUNCTION("""COMPUTED_VALUE"""),6.0)</f>
        <v>6</v>
      </c>
      <c r="E2" s="1">
        <f>IFERROR(__xludf.DUMMYFUNCTION("""COMPUTED_VALUE"""),3.0)</f>
        <v>3</v>
      </c>
      <c r="F2" s="1">
        <f>IFERROR(__xludf.DUMMYFUNCTION("""COMPUTED_VALUE"""),99.0)</f>
        <v>99</v>
      </c>
      <c r="G2" s="1">
        <f>IFERROR(__xludf.DUMMYFUNCTION("""COMPUTED_VALUE"""),26.0)</f>
        <v>26</v>
      </c>
      <c r="H2" s="1" t="str">
        <f>IFERROR(__xludf.DUMMYFUNCTION("""COMPUTED_VALUE"""),"+73")</f>
        <v>+73</v>
      </c>
      <c r="I2" s="1">
        <f>IFERROR(__xludf.DUMMYFUNCTION("""COMPUTED_VALUE"""),93.0)</f>
        <v>93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IFERROR(__xludf.DUMMYFUNCTION("""COMPUTED_VALUE"""),28.0)</f>
        <v>28</v>
      </c>
      <c r="D3" s="1">
        <f>IFERROR(__xludf.DUMMYFUNCTION("""COMPUTED_VALUE"""),8.0)</f>
        <v>8</v>
      </c>
      <c r="E3" s="1">
        <f>IFERROR(__xludf.DUMMYFUNCTION("""COMPUTED_VALUE"""),2.0)</f>
        <v>2</v>
      </c>
      <c r="F3" s="1">
        <f>IFERROR(__xludf.DUMMYFUNCTION("""COMPUTED_VALUE"""),94.0)</f>
        <v>94</v>
      </c>
      <c r="G3" s="1">
        <f>IFERROR(__xludf.DUMMYFUNCTION("""COMPUTED_VALUE"""),26.0)</f>
        <v>26</v>
      </c>
      <c r="H3" s="1" t="str">
        <f>IFERROR(__xludf.DUMMYFUNCTION("""COMPUTED_VALUE"""),"+68")</f>
        <v>+68</v>
      </c>
      <c r="I3" s="1">
        <f>IFERROR(__xludf.DUMMYFUNCTION("""COMPUTED_VALUE"""),92.0)</f>
        <v>92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IFERROR(__xludf.DUMMYFUNCTION("""COMPUTED_VALUE"""),11.0)</f>
        <v>11</v>
      </c>
      <c r="E4" s="1">
        <f>IFERROR(__xludf.DUMMYFUNCTION("""COMPUTED_VALUE"""),6.0)</f>
        <v>6</v>
      </c>
      <c r="F4" s="1">
        <f>IFERROR(__xludf.DUMMYFUNCTION("""COMPUTED_VALUE"""),76.0)</f>
        <v>76</v>
      </c>
      <c r="G4" s="1">
        <f>IFERROR(__xludf.DUMMYFUNCTION("""COMPUTED_VALUE"""),33.0)</f>
        <v>33</v>
      </c>
      <c r="H4" s="1" t="str">
        <f>IFERROR(__xludf.DUMMYFUNCTION("""COMPUTED_VALUE"""),"+43")</f>
        <v>+43</v>
      </c>
      <c r="I4" s="1">
        <f>IFERROR(__xludf.DUMMYFUNCTION("""COMPUTED_VALUE"""),74.0)</f>
        <v>74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IFERROR(__xludf.DUMMYFUNCTION("""COMPUTED_VALUE"""),22.0)</f>
        <v>22</v>
      </c>
      <c r="D5" s="1">
        <f>IFERROR(__xludf.DUMMYFUNCTION("""COMPUTED_VALUE"""),5.0)</f>
        <v>5</v>
      </c>
      <c r="E5" s="1">
        <f>IFERROR(__xludf.DUMMYFUNCTION("""COMPUTED_VALUE"""),11.0)</f>
        <v>11</v>
      </c>
      <c r="F5" s="1">
        <f>IFERROR(__xludf.DUMMYFUNCTION("""COMPUTED_VALUE"""),69.0)</f>
        <v>69</v>
      </c>
      <c r="G5" s="1">
        <f>IFERROR(__xludf.DUMMYFUNCTION("""COMPUTED_VALUE"""),40.0)</f>
        <v>40</v>
      </c>
      <c r="H5" s="1" t="str">
        <f>IFERROR(__xludf.DUMMYFUNCTION("""COMPUTED_VALUE"""),"+29")</f>
        <v>+29</v>
      </c>
      <c r="I5" s="1">
        <f>IFERROR(__xludf.DUMMYFUNCTION("""COMPUTED_VALUE"""),71.0)</f>
        <v>71</v>
      </c>
    </row>
    <row r="6">
      <c r="A6" s="1" t="str">
        <f>IFERROR(__xludf.DUMMYFUNCTION("""COMPUTED_VALUE"""),"5ARSArsenal")</f>
        <v>5ARSArsenal</v>
      </c>
      <c r="B6" s="1">
        <f>IFERROR(__xludf.DUMMYFUNCTION("""COMPUTED_VALUE"""),38.0)</f>
        <v>38</v>
      </c>
      <c r="C6" s="1">
        <f>IFERROR(__xludf.DUMMYFUNCTION("""COMPUTED_VALUE"""),22.0)</f>
        <v>22</v>
      </c>
      <c r="D6" s="1">
        <f>IFERROR(__xludf.DUMMYFUNCTION("""COMPUTED_VALUE"""),3.0)</f>
        <v>3</v>
      </c>
      <c r="E6" s="1">
        <f>IFERROR(__xludf.DUMMYFUNCTION("""COMPUTED_VALUE"""),13.0)</f>
        <v>13</v>
      </c>
      <c r="F6" s="1">
        <f>IFERROR(__xludf.DUMMYFUNCTION("""COMPUTED_VALUE"""),61.0)</f>
        <v>61</v>
      </c>
      <c r="G6" s="1">
        <f>IFERROR(__xludf.DUMMYFUNCTION("""COMPUTED_VALUE"""),48.0)</f>
        <v>48</v>
      </c>
      <c r="H6" s="1" t="str">
        <f>IFERROR(__xludf.DUMMYFUNCTION("""COMPUTED_VALUE"""),"+13")</f>
        <v>+13</v>
      </c>
      <c r="I6" s="1">
        <f>IFERROR(__xludf.DUMMYFUNCTION("""COMPUTED_VALUE"""),69.0)</f>
        <v>69</v>
      </c>
    </row>
    <row r="7">
      <c r="A7" s="1" t="str">
        <f>IFERROR(__xludf.DUMMYFUNCTION("""COMPUTED_VALUE"""),"6MANManchester United")</f>
        <v>6MANManchester United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IFERROR(__xludf.DUMMYFUNCTION("""COMPUTED_VALUE"""),10.0)</f>
        <v>10</v>
      </c>
      <c r="E7" s="1">
        <f>IFERROR(__xludf.DUMMYFUNCTION("""COMPUTED_VALUE"""),12.0)</f>
        <v>12</v>
      </c>
      <c r="F7" s="1">
        <f>IFERROR(__xludf.DUMMYFUNCTION("""COMPUTED_VALUE"""),57.0)</f>
        <v>57</v>
      </c>
      <c r="G7" s="1">
        <f>IFERROR(__xludf.DUMMYFUNCTION("""COMPUTED_VALUE"""),57.0)</f>
        <v>57</v>
      </c>
      <c r="H7" s="1">
        <f>IFERROR(__xludf.DUMMYFUNCTION("""COMPUTED_VALUE"""),0.0)</f>
        <v>0</v>
      </c>
      <c r="I7" s="1">
        <f>IFERROR(__xludf.DUMMYFUNCTION("""COMPUTED_VALUE"""),58.0)</f>
        <v>58</v>
      </c>
    </row>
    <row r="8">
      <c r="A8" s="1" t="str">
        <f>IFERROR(__xludf.DUMMYFUNCTION("""COMPUTED_VALUE"""),"7WHUWest Ham United")</f>
        <v>7WHUWest Ham United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IFERROR(__xludf.DUMMYFUNCTION("""COMPUTED_VALUE"""),8.0)</f>
        <v>8</v>
      </c>
      <c r="E8" s="1">
        <f>IFERROR(__xludf.DUMMYFUNCTION("""COMPUTED_VALUE"""),14.0)</f>
        <v>14</v>
      </c>
      <c r="F8" s="1">
        <f>IFERROR(__xludf.DUMMYFUNCTION("""COMPUTED_VALUE"""),60.0)</f>
        <v>60</v>
      </c>
      <c r="G8" s="1">
        <f>IFERROR(__xludf.DUMMYFUNCTION("""COMPUTED_VALUE"""),51.0)</f>
        <v>51</v>
      </c>
      <c r="H8" s="1" t="str">
        <f>IFERROR(__xludf.DUMMYFUNCTION("""COMPUTED_VALUE"""),"+9")</f>
        <v>+9</v>
      </c>
      <c r="I8" s="1">
        <f>IFERROR(__xludf.DUMMYFUNCTION("""COMPUTED_VALUE"""),56.0)</f>
        <v>56</v>
      </c>
    </row>
    <row r="9">
      <c r="A9" s="1" t="str">
        <f>IFERROR(__xludf.DUMMYFUNCTION("""COMPUTED_VALUE"""),"8LEILeicester City")</f>
        <v>8LEILeicester City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IFERROR(__xludf.DUMMYFUNCTION("""COMPUTED_VALUE"""),10.0)</f>
        <v>10</v>
      </c>
      <c r="E9" s="1">
        <f>IFERROR(__xludf.DUMMYFUNCTION("""COMPUTED_VALUE"""),14.0)</f>
        <v>14</v>
      </c>
      <c r="F9" s="1">
        <f>IFERROR(__xludf.DUMMYFUNCTION("""COMPUTED_VALUE"""),62.0)</f>
        <v>62</v>
      </c>
      <c r="G9" s="1">
        <f>IFERROR(__xludf.DUMMYFUNCTION("""COMPUTED_VALUE"""),59.0)</f>
        <v>59</v>
      </c>
      <c r="H9" s="1" t="str">
        <f>IFERROR(__xludf.DUMMYFUNCTION("""COMPUTED_VALUE"""),"+3")</f>
        <v>+3</v>
      </c>
      <c r="I9" s="1">
        <f>IFERROR(__xludf.DUMMYFUNCTION("""COMPUTED_VALUE"""),52.0)</f>
        <v>52</v>
      </c>
    </row>
    <row r="10">
      <c r="A10" s="1" t="str">
        <f>IFERROR(__xludf.DUMMYFUNCTION("""COMPUTED_VALUE"""),"9BHABrighton &amp; Hove Albion")</f>
        <v>9BHABrighton &amp; Hove Albion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IFERROR(__xludf.DUMMYFUNCTION("""COMPUTED_VALUE"""),15.0)</f>
        <v>15</v>
      </c>
      <c r="E10" s="1">
        <f>IFERROR(__xludf.DUMMYFUNCTION("""COMPUTED_VALUE"""),11.0)</f>
        <v>11</v>
      </c>
      <c r="F10" s="1">
        <f>IFERROR(__xludf.DUMMYFUNCTION("""COMPUTED_VALUE"""),42.0)</f>
        <v>42</v>
      </c>
      <c r="G10" s="1">
        <f>IFERROR(__xludf.DUMMYFUNCTION("""COMPUTED_VALUE"""),44.0)</f>
        <v>44</v>
      </c>
      <c r="H10" s="1">
        <f>IFERROR(__xludf.DUMMYFUNCTION("""COMPUTED_VALUE"""),-2.0)</f>
        <v>-2</v>
      </c>
      <c r="I10" s="1">
        <f>IFERROR(__xludf.DUMMYFUNCTION("""COMPUTED_VALUE"""),51.0)</f>
        <v>51</v>
      </c>
    </row>
    <row r="11">
      <c r="A11" s="1" t="str">
        <f>IFERROR(__xludf.DUMMYFUNCTION("""COMPUTED_VALUE"""),"10WOLWolverhampton Wanderers")</f>
        <v>10WOLWolverhampton Wanderers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IFERROR(__xludf.DUMMYFUNCTION("""COMPUTED_VALUE"""),6.0)</f>
        <v>6</v>
      </c>
      <c r="E11" s="1">
        <f>IFERROR(__xludf.DUMMYFUNCTION("""COMPUTED_VALUE"""),17.0)</f>
        <v>17</v>
      </c>
      <c r="F11" s="1">
        <f>IFERROR(__xludf.DUMMYFUNCTION("""COMPUTED_VALUE"""),38.0)</f>
        <v>38</v>
      </c>
      <c r="G11" s="1">
        <f>IFERROR(__xludf.DUMMYFUNCTION("""COMPUTED_VALUE"""),43.0)</f>
        <v>43</v>
      </c>
      <c r="H11" s="1">
        <f>IFERROR(__xludf.DUMMYFUNCTION("""COMPUTED_VALUE"""),-5.0)</f>
        <v>-5</v>
      </c>
      <c r="I11" s="1">
        <f>IFERROR(__xludf.DUMMYFUNCTION("""COMPUTED_VALUE"""),51.0)</f>
        <v>51</v>
      </c>
    </row>
    <row r="12">
      <c r="A12" s="1" t="str">
        <f>IFERROR(__xludf.DUMMYFUNCTION("""COMPUTED_VALUE"""),"11NEWNewcastle United")</f>
        <v>11NEWNewcastle United</v>
      </c>
      <c r="B12" s="1">
        <f>IFERROR(__xludf.DUMMYFUNCTION("""COMPUTED_VALUE"""),38.0)</f>
        <v>38</v>
      </c>
      <c r="C12" s="1">
        <f>IFERROR(__xludf.DUMMYFUNCTION("""COMPUTED_VALUE"""),13.0)</f>
        <v>13</v>
      </c>
      <c r="D12" s="1">
        <f>IFERROR(__xludf.DUMMYFUNCTION("""COMPUTED_VALUE"""),10.0)</f>
        <v>10</v>
      </c>
      <c r="E12" s="1">
        <f>IFERROR(__xludf.DUMMYFUNCTION("""COMPUTED_VALUE"""),15.0)</f>
        <v>15</v>
      </c>
      <c r="F12" s="1">
        <f>IFERROR(__xludf.DUMMYFUNCTION("""COMPUTED_VALUE"""),44.0)</f>
        <v>44</v>
      </c>
      <c r="G12" s="1">
        <f>IFERROR(__xludf.DUMMYFUNCTION("""COMPUTED_VALUE"""),62.0)</f>
        <v>62</v>
      </c>
      <c r="H12" s="1">
        <f>IFERROR(__xludf.DUMMYFUNCTION("""COMPUTED_VALUE"""),-18.0)</f>
        <v>-18</v>
      </c>
      <c r="I12" s="1">
        <f>IFERROR(__xludf.DUMMYFUNCTION("""COMPUTED_VALUE"""),49.0)</f>
        <v>49</v>
      </c>
    </row>
    <row r="13">
      <c r="A13" s="1" t="str">
        <f>IFERROR(__xludf.DUMMYFUNCTION("""COMPUTED_VALUE"""),"12CRYCrystal Palace")</f>
        <v>12CRYCrystal Palace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IFERROR(__xludf.DUMMYFUNCTION("""COMPUTED_VALUE"""),15.0)</f>
        <v>15</v>
      </c>
      <c r="E13" s="1">
        <f>IFERROR(__xludf.DUMMYFUNCTION("""COMPUTED_VALUE"""),12.0)</f>
        <v>12</v>
      </c>
      <c r="F13" s="1">
        <f>IFERROR(__xludf.DUMMYFUNCTION("""COMPUTED_VALUE"""),50.0)</f>
        <v>50</v>
      </c>
      <c r="G13" s="1">
        <f>IFERROR(__xludf.DUMMYFUNCTION("""COMPUTED_VALUE"""),46.0)</f>
        <v>46</v>
      </c>
      <c r="H13" s="1" t="str">
        <f>IFERROR(__xludf.DUMMYFUNCTION("""COMPUTED_VALUE"""),"+4")</f>
        <v>+4</v>
      </c>
      <c r="I13" s="1">
        <f>IFERROR(__xludf.DUMMYFUNCTION("""COMPUTED_VALUE"""),48.0)</f>
        <v>48</v>
      </c>
    </row>
    <row r="14">
      <c r="A14" s="1" t="str">
        <f>IFERROR(__xludf.DUMMYFUNCTION("""COMPUTED_VALUE"""),"13BREBrentford")</f>
        <v>13BREBrentford</v>
      </c>
      <c r="B14" s="1">
        <f>IFERROR(__xludf.DUMMYFUNCTION("""COMPUTED_VALUE"""),38.0)</f>
        <v>38</v>
      </c>
      <c r="C14" s="1">
        <f>IFERROR(__xludf.DUMMYFUNCTION("""COMPUTED_VALUE"""),13.0)</f>
        <v>13</v>
      </c>
      <c r="D14" s="1">
        <f>IFERROR(__xludf.DUMMYFUNCTION("""COMPUTED_VALUE"""),7.0)</f>
        <v>7</v>
      </c>
      <c r="E14" s="1">
        <f>IFERROR(__xludf.DUMMYFUNCTION("""COMPUTED_VALUE"""),18.0)</f>
        <v>18</v>
      </c>
      <c r="F14" s="1">
        <f>IFERROR(__xludf.DUMMYFUNCTION("""COMPUTED_VALUE"""),48.0)</f>
        <v>48</v>
      </c>
      <c r="G14" s="1">
        <f>IFERROR(__xludf.DUMMYFUNCTION("""COMPUTED_VALUE"""),56.0)</f>
        <v>56</v>
      </c>
      <c r="H14" s="1">
        <f>IFERROR(__xludf.DUMMYFUNCTION("""COMPUTED_VALUE"""),-8.0)</f>
        <v>-8</v>
      </c>
      <c r="I14" s="1">
        <f>IFERROR(__xludf.DUMMYFUNCTION("""COMPUTED_VALUE"""),46.0)</f>
        <v>46</v>
      </c>
    </row>
    <row r="15">
      <c r="A15" s="1" t="str">
        <f>IFERROR(__xludf.DUMMYFUNCTION("""COMPUTED_VALUE"""),"14AVLAston Villa")</f>
        <v>14AVLAston Villa</v>
      </c>
      <c r="B15" s="1">
        <f>IFERROR(__xludf.DUMMYFUNCTION("""COMPUTED_VALUE"""),38.0)</f>
        <v>38</v>
      </c>
      <c r="C15" s="1">
        <f>IFERROR(__xludf.DUMMYFUNCTION("""COMPUTED_VALUE"""),13.0)</f>
        <v>13</v>
      </c>
      <c r="D15" s="1">
        <f>IFERROR(__xludf.DUMMYFUNCTION("""COMPUTED_VALUE"""),6.0)</f>
        <v>6</v>
      </c>
      <c r="E15" s="1">
        <f>IFERROR(__xludf.DUMMYFUNCTION("""COMPUTED_VALUE"""),19.0)</f>
        <v>19</v>
      </c>
      <c r="F15" s="1">
        <f>IFERROR(__xludf.DUMMYFUNCTION("""COMPUTED_VALUE"""),52.0)</f>
        <v>52</v>
      </c>
      <c r="G15" s="1">
        <f>IFERROR(__xludf.DUMMYFUNCTION("""COMPUTED_VALUE"""),54.0)</f>
        <v>54</v>
      </c>
      <c r="H15" s="1">
        <f>IFERROR(__xludf.DUMMYFUNCTION("""COMPUTED_VALUE"""),-2.0)</f>
        <v>-2</v>
      </c>
      <c r="I15" s="1">
        <f>IFERROR(__xludf.DUMMYFUNCTION("""COMPUTED_VALUE"""),45.0)</f>
        <v>45</v>
      </c>
    </row>
    <row r="16">
      <c r="A16" s="1" t="str">
        <f>IFERROR(__xludf.DUMMYFUNCTION("""COMPUTED_VALUE"""),"15SOUSouthampton")</f>
        <v>15SOUSouthampton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IFERROR(__xludf.DUMMYFUNCTION("""COMPUTED_VALUE"""),13.0)</f>
        <v>13</v>
      </c>
      <c r="E16" s="1">
        <f>IFERROR(__xludf.DUMMYFUNCTION("""COMPUTED_VALUE"""),16.0)</f>
        <v>16</v>
      </c>
      <c r="F16" s="1">
        <f>IFERROR(__xludf.DUMMYFUNCTION("""COMPUTED_VALUE"""),43.0)</f>
        <v>43</v>
      </c>
      <c r="G16" s="1">
        <f>IFERROR(__xludf.DUMMYFUNCTION("""COMPUTED_VALUE"""),67.0)</f>
        <v>67</v>
      </c>
      <c r="H16" s="1">
        <f>IFERROR(__xludf.DUMMYFUNCTION("""COMPUTED_VALUE"""),-24.0)</f>
        <v>-24</v>
      </c>
      <c r="I16" s="1">
        <f>IFERROR(__xludf.DUMMYFUNCTION("""COMPUTED_VALUE"""),40.0)</f>
        <v>40</v>
      </c>
    </row>
    <row r="17">
      <c r="A17" s="1" t="str">
        <f>IFERROR(__xludf.DUMMYFUNCTION("""COMPUTED_VALUE"""),"16EVEEverton")</f>
        <v>16EVEEverton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IFERROR(__xludf.DUMMYFUNCTION("""COMPUTED_VALUE"""),6.0)</f>
        <v>6</v>
      </c>
      <c r="E17" s="1">
        <f>IFERROR(__xludf.DUMMYFUNCTION("""COMPUTED_VALUE"""),21.0)</f>
        <v>21</v>
      </c>
      <c r="F17" s="1">
        <f>IFERROR(__xludf.DUMMYFUNCTION("""COMPUTED_VALUE"""),43.0)</f>
        <v>43</v>
      </c>
      <c r="G17" s="1">
        <f>IFERROR(__xludf.DUMMYFUNCTION("""COMPUTED_VALUE"""),66.0)</f>
        <v>66</v>
      </c>
      <c r="H17" s="1">
        <f>IFERROR(__xludf.DUMMYFUNCTION("""COMPUTED_VALUE"""),-23.0)</f>
        <v>-23</v>
      </c>
      <c r="I17" s="1">
        <f>IFERROR(__xludf.DUMMYFUNCTION("""COMPUTED_VALUE"""),39.0)</f>
        <v>39</v>
      </c>
    </row>
    <row r="18">
      <c r="A18" s="1" t="str">
        <f>IFERROR(__xludf.DUMMYFUNCTION("""COMPUTED_VALUE"""),"17LEELeeds United")</f>
        <v>17LEELeeds United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IFERROR(__xludf.DUMMYFUNCTION("""COMPUTED_VALUE"""),11.0)</f>
        <v>11</v>
      </c>
      <c r="E18" s="1">
        <f>IFERROR(__xludf.DUMMYFUNCTION("""COMPUTED_VALUE"""),18.0)</f>
        <v>18</v>
      </c>
      <c r="F18" s="1">
        <f>IFERROR(__xludf.DUMMYFUNCTION("""COMPUTED_VALUE"""),42.0)</f>
        <v>42</v>
      </c>
      <c r="G18" s="1">
        <f>IFERROR(__xludf.DUMMYFUNCTION("""COMPUTED_VALUE"""),79.0)</f>
        <v>79</v>
      </c>
      <c r="H18" s="1">
        <f>IFERROR(__xludf.DUMMYFUNCTION("""COMPUTED_VALUE"""),-37.0)</f>
        <v>-37</v>
      </c>
      <c r="I18" s="1">
        <f>IFERROR(__xludf.DUMMYFUNCTION("""COMPUTED_VALUE"""),38.0)</f>
        <v>38</v>
      </c>
    </row>
    <row r="19">
      <c r="A19" s="1" t="str">
        <f>IFERROR(__xludf.DUMMYFUNCTION("""COMPUTED_VALUE"""),"18BURBurnley")</f>
        <v>18BURBurnley</v>
      </c>
      <c r="B19" s="1">
        <f>IFERROR(__xludf.DUMMYFUNCTION("""COMPUTED_VALUE"""),38.0)</f>
        <v>38</v>
      </c>
      <c r="C19" s="1">
        <f>IFERROR(__xludf.DUMMYFUNCTION("""COMPUTED_VALUE"""),7.0)</f>
        <v>7</v>
      </c>
      <c r="D19" s="1">
        <f>IFERROR(__xludf.DUMMYFUNCTION("""COMPUTED_VALUE"""),14.0)</f>
        <v>14</v>
      </c>
      <c r="E19" s="1">
        <f>IFERROR(__xludf.DUMMYFUNCTION("""COMPUTED_VALUE"""),17.0)</f>
        <v>17</v>
      </c>
      <c r="F19" s="1">
        <f>IFERROR(__xludf.DUMMYFUNCTION("""COMPUTED_VALUE"""),34.0)</f>
        <v>34</v>
      </c>
      <c r="G19" s="1">
        <f>IFERROR(__xludf.DUMMYFUNCTION("""COMPUTED_VALUE"""),53.0)</f>
        <v>53</v>
      </c>
      <c r="H19" s="1">
        <f>IFERROR(__xludf.DUMMYFUNCTION("""COMPUTED_VALUE"""),-19.0)</f>
        <v>-19</v>
      </c>
      <c r="I19" s="1">
        <f>IFERROR(__xludf.DUMMYFUNCTION("""COMPUTED_VALUE"""),35.0)</f>
        <v>35</v>
      </c>
    </row>
    <row r="20">
      <c r="A20" s="1" t="str">
        <f>IFERROR(__xludf.DUMMYFUNCTION("""COMPUTED_VALUE"""),"19WATWatford")</f>
        <v>19WATWatford</v>
      </c>
      <c r="B20" s="1">
        <f>IFERROR(__xludf.DUMMYFUNCTION("""COMPUTED_VALUE"""),38.0)</f>
        <v>38</v>
      </c>
      <c r="C20" s="1">
        <f>IFERROR(__xludf.DUMMYFUNCTION("""COMPUTED_VALUE"""),6.0)</f>
        <v>6</v>
      </c>
      <c r="D20" s="1">
        <f>IFERROR(__xludf.DUMMYFUNCTION("""COMPUTED_VALUE"""),5.0)</f>
        <v>5</v>
      </c>
      <c r="E20" s="1">
        <f>IFERROR(__xludf.DUMMYFUNCTION("""COMPUTED_VALUE"""),27.0)</f>
        <v>27</v>
      </c>
      <c r="F20" s="1">
        <f>IFERROR(__xludf.DUMMYFUNCTION("""COMPUTED_VALUE"""),34.0)</f>
        <v>34</v>
      </c>
      <c r="G20" s="1">
        <f>IFERROR(__xludf.DUMMYFUNCTION("""COMPUTED_VALUE"""),77.0)</f>
        <v>77</v>
      </c>
      <c r="H20" s="1">
        <f>IFERROR(__xludf.DUMMYFUNCTION("""COMPUTED_VALUE"""),-43.0)</f>
        <v>-43</v>
      </c>
      <c r="I20" s="1">
        <f>IFERROR(__xludf.DUMMYFUNCTION("""COMPUTED_VALUE"""),23.0)</f>
        <v>23</v>
      </c>
    </row>
    <row r="21">
      <c r="A21" s="1" t="str">
        <f>IFERROR(__xludf.DUMMYFUNCTION("""COMPUTED_VALUE"""),"20NORNorwich City")</f>
        <v>20NORNorwich City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IFERROR(__xludf.DUMMYFUNCTION("""COMPUTED_VALUE"""),7.0)</f>
        <v>7</v>
      </c>
      <c r="E21" s="1">
        <f>IFERROR(__xludf.DUMMYFUNCTION("""COMPUTED_VALUE"""),26.0)</f>
        <v>26</v>
      </c>
      <c r="F21" s="1">
        <f>IFERROR(__xludf.DUMMYFUNCTION("""COMPUTED_VALUE"""),23.0)</f>
        <v>23</v>
      </c>
      <c r="G21" s="1">
        <f>IFERROR(__xludf.DUMMYFUNCTION("""COMPUTED_VALUE"""),84.0)</f>
        <v>84</v>
      </c>
      <c r="H21" s="1">
        <f>IFERROR(__xludf.DUMMYFUNCTION("""COMPUTED_VALUE"""),-61.0)</f>
        <v>-61</v>
      </c>
      <c r="I21" s="1">
        <f>IFERROR(__xludf.DUMMYFUNCTION("""COMPUTED_VALUE"""),22.0)</f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IFERROR(__xludf.DUMMYFUNCTION("IMPORTHTML(""https://www.espn.com/soccer/standings/_/league/ENG.1/season/2020"",""table"",1)"),"2020-2021")</f>
        <v>2020-2021</v>
      </c>
      <c r="B1" s="1" t="str">
        <f>IFERROR(__xludf.DUMMYFUNCTION("IMPORTHTML(""https://www.espn.com/soccer/standings/_/league/ENG.1/season/2020"",""table"",2)"),"GP")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IFERROR(__xludf.DUMMYFUNCTION("""COMPUTED_VALUE"""),27.0)</f>
        <v>27</v>
      </c>
      <c r="D2" s="1">
        <f>IFERROR(__xludf.DUMMYFUNCTION("""COMPUTED_VALUE"""),5.0)</f>
        <v>5</v>
      </c>
      <c r="E2" s="1">
        <f>IFERROR(__xludf.DUMMYFUNCTION("""COMPUTED_VALUE"""),6.0)</f>
        <v>6</v>
      </c>
      <c r="F2" s="1">
        <f>IFERROR(__xludf.DUMMYFUNCTION("""COMPUTED_VALUE"""),83.0)</f>
        <v>83</v>
      </c>
      <c r="G2" s="1">
        <f>IFERROR(__xludf.DUMMYFUNCTION("""COMPUTED_VALUE"""),32.0)</f>
        <v>32</v>
      </c>
      <c r="H2" s="1" t="str">
        <f>IFERROR(__xludf.DUMMYFUNCTION("""COMPUTED_VALUE"""),"+51")</f>
        <v>+51</v>
      </c>
      <c r="I2" s="1">
        <f>IFERROR(__xludf.DUMMYFUNCTION("""COMPUTED_VALUE"""),86.0)</f>
        <v>86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IFERROR(__xludf.DUMMYFUNCTION("""COMPUTED_VALUE"""),21.0)</f>
        <v>21</v>
      </c>
      <c r="D3" s="1">
        <f>IFERROR(__xludf.DUMMYFUNCTION("""COMPUTED_VALUE"""),11.0)</f>
        <v>11</v>
      </c>
      <c r="E3" s="1">
        <f>IFERROR(__xludf.DUMMYFUNCTION("""COMPUTED_VALUE"""),6.0)</f>
        <v>6</v>
      </c>
      <c r="F3" s="1">
        <f>IFERROR(__xludf.DUMMYFUNCTION("""COMPUTED_VALUE"""),73.0)</f>
        <v>73</v>
      </c>
      <c r="G3" s="1">
        <f>IFERROR(__xludf.DUMMYFUNCTION("""COMPUTED_VALUE"""),44.0)</f>
        <v>44</v>
      </c>
      <c r="H3" s="1" t="str">
        <f>IFERROR(__xludf.DUMMYFUNCTION("""COMPUTED_VALUE"""),"+29")</f>
        <v>+29</v>
      </c>
      <c r="I3" s="1">
        <f>IFERROR(__xludf.DUMMYFUNCTION("""COMPUTED_VALUE"""),74.0)</f>
        <v>74</v>
      </c>
    </row>
    <row r="4">
      <c r="A4" s="1" t="str">
        <f>IFERROR(__xludf.DUMMYFUNCTION("""COMPUTED_VALUE"""),"3LIVLiverpool")</f>
        <v>3LIVLiverpool</v>
      </c>
      <c r="B4" s="1">
        <f>IFERROR(__xludf.DUMMYFUNCTION("""COMPUTED_VALUE"""),38.0)</f>
        <v>38</v>
      </c>
      <c r="C4" s="1">
        <f>IFERROR(__xludf.DUMMYFUNCTION("""COMPUTED_VALUE"""),20.0)</f>
        <v>20</v>
      </c>
      <c r="D4" s="1">
        <f>IFERROR(__xludf.DUMMYFUNCTION("""COMPUTED_VALUE"""),9.0)</f>
        <v>9</v>
      </c>
      <c r="E4" s="1">
        <f>IFERROR(__xludf.DUMMYFUNCTION("""COMPUTED_VALUE"""),9.0)</f>
        <v>9</v>
      </c>
      <c r="F4" s="1">
        <f>IFERROR(__xludf.DUMMYFUNCTION("""COMPUTED_VALUE"""),68.0)</f>
        <v>68</v>
      </c>
      <c r="G4" s="1">
        <f>IFERROR(__xludf.DUMMYFUNCTION("""COMPUTED_VALUE"""),42.0)</f>
        <v>42</v>
      </c>
      <c r="H4" s="1" t="str">
        <f>IFERROR(__xludf.DUMMYFUNCTION("""COMPUTED_VALUE"""),"+26")</f>
        <v>+26</v>
      </c>
      <c r="I4" s="1">
        <f>IFERROR(__xludf.DUMMYFUNCTION("""COMPUTED_VALUE"""),69.0)</f>
        <v>69</v>
      </c>
    </row>
    <row r="5">
      <c r="A5" s="1" t="str">
        <f>IFERROR(__xludf.DUMMYFUNCTION("""COMPUTED_VALUE"""),"4CHEChelsea")</f>
        <v>4CHEChelsea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IFERROR(__xludf.DUMMYFUNCTION("""COMPUTED_VALUE"""),10.0)</f>
        <v>10</v>
      </c>
      <c r="E5" s="1">
        <f>IFERROR(__xludf.DUMMYFUNCTION("""COMPUTED_VALUE"""),9.0)</f>
        <v>9</v>
      </c>
      <c r="F5" s="1">
        <f>IFERROR(__xludf.DUMMYFUNCTION("""COMPUTED_VALUE"""),58.0)</f>
        <v>58</v>
      </c>
      <c r="G5" s="1">
        <f>IFERROR(__xludf.DUMMYFUNCTION("""COMPUTED_VALUE"""),36.0)</f>
        <v>36</v>
      </c>
      <c r="H5" s="1" t="str">
        <f>IFERROR(__xludf.DUMMYFUNCTION("""COMPUTED_VALUE"""),"+22")</f>
        <v>+22</v>
      </c>
      <c r="I5" s="1">
        <f>IFERROR(__xludf.DUMMYFUNCTION("""COMPUTED_VALUE"""),67.0)</f>
        <v>67</v>
      </c>
    </row>
    <row r="6">
      <c r="A6" s="1" t="str">
        <f>IFERROR(__xludf.DUMMYFUNCTION("""COMPUTED_VALUE"""),"5LEILeicester City")</f>
        <v>5LEILeicester City</v>
      </c>
      <c r="B6" s="1">
        <f>IFERROR(__xludf.DUMMYFUNCTION("""COMPUTED_VALUE"""),38.0)</f>
        <v>38</v>
      </c>
      <c r="C6" s="1">
        <f>IFERROR(__xludf.DUMMYFUNCTION("""COMPUTED_VALUE"""),20.0)</f>
        <v>20</v>
      </c>
      <c r="D6" s="1">
        <f>IFERROR(__xludf.DUMMYFUNCTION("""COMPUTED_VALUE"""),6.0)</f>
        <v>6</v>
      </c>
      <c r="E6" s="1">
        <f>IFERROR(__xludf.DUMMYFUNCTION("""COMPUTED_VALUE"""),12.0)</f>
        <v>12</v>
      </c>
      <c r="F6" s="1">
        <f>IFERROR(__xludf.DUMMYFUNCTION("""COMPUTED_VALUE"""),68.0)</f>
        <v>68</v>
      </c>
      <c r="G6" s="1">
        <f>IFERROR(__xludf.DUMMYFUNCTION("""COMPUTED_VALUE"""),50.0)</f>
        <v>50</v>
      </c>
      <c r="H6" s="1" t="str">
        <f>IFERROR(__xludf.DUMMYFUNCTION("""COMPUTED_VALUE"""),"+18")</f>
        <v>+18</v>
      </c>
      <c r="I6" s="1">
        <f>IFERROR(__xludf.DUMMYFUNCTION("""COMPUTED_VALUE"""),66.0)</f>
        <v>66</v>
      </c>
    </row>
    <row r="7">
      <c r="A7" s="1" t="str">
        <f>IFERROR(__xludf.DUMMYFUNCTION("""COMPUTED_VALUE"""),"6WHUWest Ham United")</f>
        <v>6WHUWest Ham United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IFERROR(__xludf.DUMMYFUNCTION("""COMPUTED_VALUE"""),8.0)</f>
        <v>8</v>
      </c>
      <c r="E7" s="1">
        <f>IFERROR(__xludf.DUMMYFUNCTION("""COMPUTED_VALUE"""),11.0)</f>
        <v>11</v>
      </c>
      <c r="F7" s="1">
        <f>IFERROR(__xludf.DUMMYFUNCTION("""COMPUTED_VALUE"""),62.0)</f>
        <v>62</v>
      </c>
      <c r="G7" s="1">
        <f>IFERROR(__xludf.DUMMYFUNCTION("""COMPUTED_VALUE"""),47.0)</f>
        <v>47</v>
      </c>
      <c r="H7" s="1" t="str">
        <f>IFERROR(__xludf.DUMMYFUNCTION("""COMPUTED_VALUE"""),"+15")</f>
        <v>+15</v>
      </c>
      <c r="I7" s="1">
        <f>IFERROR(__xludf.DUMMYFUNCTION("""COMPUTED_VALUE"""),65.0)</f>
        <v>65</v>
      </c>
    </row>
    <row r="8">
      <c r="A8" s="1" t="str">
        <f>IFERROR(__xludf.DUMMYFUNCTION("""COMPUTED_VALUE"""),"7TOTTottenham Hotspur")</f>
        <v>7TOTTottenham Hotspur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IFERROR(__xludf.DUMMYFUNCTION("""COMPUTED_VALUE"""),8.0)</f>
        <v>8</v>
      </c>
      <c r="E8" s="1">
        <f>IFERROR(__xludf.DUMMYFUNCTION("""COMPUTED_VALUE"""),12.0)</f>
        <v>12</v>
      </c>
      <c r="F8" s="1">
        <f>IFERROR(__xludf.DUMMYFUNCTION("""COMPUTED_VALUE"""),68.0)</f>
        <v>68</v>
      </c>
      <c r="G8" s="1">
        <f>IFERROR(__xludf.DUMMYFUNCTION("""COMPUTED_VALUE"""),45.0)</f>
        <v>45</v>
      </c>
      <c r="H8" s="1" t="str">
        <f>IFERROR(__xludf.DUMMYFUNCTION("""COMPUTED_VALUE"""),"+23")</f>
        <v>+23</v>
      </c>
      <c r="I8" s="1">
        <f>IFERROR(__xludf.DUMMYFUNCTION("""COMPUTED_VALUE"""),62.0)</f>
        <v>62</v>
      </c>
    </row>
    <row r="9">
      <c r="A9" s="1" t="str">
        <f>IFERROR(__xludf.DUMMYFUNCTION("""COMPUTED_VALUE"""),"8ARSArsenal")</f>
        <v>8ARSArsenal</v>
      </c>
      <c r="B9" s="1">
        <f>IFERROR(__xludf.DUMMYFUNCTION("""COMPUTED_VALUE"""),38.0)</f>
        <v>38</v>
      </c>
      <c r="C9" s="1">
        <f>IFERROR(__xludf.DUMMYFUNCTION("""COMPUTED_VALUE"""),18.0)</f>
        <v>18</v>
      </c>
      <c r="D9" s="1">
        <f>IFERROR(__xludf.DUMMYFUNCTION("""COMPUTED_VALUE"""),7.0)</f>
        <v>7</v>
      </c>
      <c r="E9" s="1">
        <f>IFERROR(__xludf.DUMMYFUNCTION("""COMPUTED_VALUE"""),13.0)</f>
        <v>13</v>
      </c>
      <c r="F9" s="1">
        <f>IFERROR(__xludf.DUMMYFUNCTION("""COMPUTED_VALUE"""),55.0)</f>
        <v>55</v>
      </c>
      <c r="G9" s="1">
        <f>IFERROR(__xludf.DUMMYFUNCTION("""COMPUTED_VALUE"""),39.0)</f>
        <v>39</v>
      </c>
      <c r="H9" s="1" t="str">
        <f>IFERROR(__xludf.DUMMYFUNCTION("""COMPUTED_VALUE"""),"+16")</f>
        <v>+16</v>
      </c>
      <c r="I9" s="1">
        <f>IFERROR(__xludf.DUMMYFUNCTION("""COMPUTED_VALUE"""),61.0)</f>
        <v>61</v>
      </c>
    </row>
    <row r="10">
      <c r="A10" s="1" t="str">
        <f>IFERROR(__xludf.DUMMYFUNCTION("""COMPUTED_VALUE"""),"9LEELeeds United")</f>
        <v>9LEELeeds United</v>
      </c>
      <c r="B10" s="1">
        <f>IFERROR(__xludf.DUMMYFUNCTION("""COMPUTED_VALUE"""),38.0)</f>
        <v>38</v>
      </c>
      <c r="C10" s="1">
        <f>IFERROR(__xludf.DUMMYFUNCTION("""COMPUTED_VALUE"""),18.0)</f>
        <v>18</v>
      </c>
      <c r="D10" s="1">
        <f>IFERROR(__xludf.DUMMYFUNCTION("""COMPUTED_VALUE"""),5.0)</f>
        <v>5</v>
      </c>
      <c r="E10" s="1">
        <f>IFERROR(__xludf.DUMMYFUNCTION("""COMPUTED_VALUE"""),15.0)</f>
        <v>15</v>
      </c>
      <c r="F10" s="1">
        <f>IFERROR(__xludf.DUMMYFUNCTION("""COMPUTED_VALUE"""),62.0)</f>
        <v>62</v>
      </c>
      <c r="G10" s="1">
        <f>IFERROR(__xludf.DUMMYFUNCTION("""COMPUTED_VALUE"""),54.0)</f>
        <v>54</v>
      </c>
      <c r="H10" s="1" t="str">
        <f>IFERROR(__xludf.DUMMYFUNCTION("""COMPUTED_VALUE"""),"+8")</f>
        <v>+8</v>
      </c>
      <c r="I10" s="1">
        <f>IFERROR(__xludf.DUMMYFUNCTION("""COMPUTED_VALUE"""),59.0)</f>
        <v>59</v>
      </c>
    </row>
    <row r="11">
      <c r="A11" s="1" t="str">
        <f>IFERROR(__xludf.DUMMYFUNCTION("""COMPUTED_VALUE"""),"10EVEEverton")</f>
        <v>10EVEEverton</v>
      </c>
      <c r="B11" s="1">
        <f>IFERROR(__xludf.DUMMYFUNCTION("""COMPUTED_VALUE"""),38.0)</f>
        <v>38</v>
      </c>
      <c r="C11" s="1">
        <f>IFERROR(__xludf.DUMMYFUNCTION("""COMPUTED_VALUE"""),17.0)</f>
        <v>17</v>
      </c>
      <c r="D11" s="1">
        <f>IFERROR(__xludf.DUMMYFUNCTION("""COMPUTED_VALUE"""),8.0)</f>
        <v>8</v>
      </c>
      <c r="E11" s="1">
        <f>IFERROR(__xludf.DUMMYFUNCTION("""COMPUTED_VALUE"""),13.0)</f>
        <v>13</v>
      </c>
      <c r="F11" s="1">
        <f>IFERROR(__xludf.DUMMYFUNCTION("""COMPUTED_VALUE"""),47.0)</f>
        <v>47</v>
      </c>
      <c r="G11" s="1">
        <f>IFERROR(__xludf.DUMMYFUNCTION("""COMPUTED_VALUE"""),48.0)</f>
        <v>48</v>
      </c>
      <c r="H11" s="1">
        <f>IFERROR(__xludf.DUMMYFUNCTION("""COMPUTED_VALUE"""),-1.0)</f>
        <v>-1</v>
      </c>
      <c r="I11" s="1">
        <f>IFERROR(__xludf.DUMMYFUNCTION("""COMPUTED_VALUE"""),59.0)</f>
        <v>59</v>
      </c>
    </row>
    <row r="12">
      <c r="A12" s="1" t="str">
        <f>IFERROR(__xludf.DUMMYFUNCTION("""COMPUTED_VALUE"""),"11AVLAston Villa")</f>
        <v>11AVLAston Villa</v>
      </c>
      <c r="B12" s="1">
        <f>IFERROR(__xludf.DUMMYFUNCTION("""COMPUTED_VALUE"""),38.0)</f>
        <v>38</v>
      </c>
      <c r="C12" s="1">
        <f>IFERROR(__xludf.DUMMYFUNCTION("""COMPUTED_VALUE"""),16.0)</f>
        <v>16</v>
      </c>
      <c r="D12" s="1">
        <f>IFERROR(__xludf.DUMMYFUNCTION("""COMPUTED_VALUE"""),7.0)</f>
        <v>7</v>
      </c>
      <c r="E12" s="1">
        <f>IFERROR(__xludf.DUMMYFUNCTION("""COMPUTED_VALUE"""),15.0)</f>
        <v>15</v>
      </c>
      <c r="F12" s="1">
        <f>IFERROR(__xludf.DUMMYFUNCTION("""COMPUTED_VALUE"""),55.0)</f>
        <v>55</v>
      </c>
      <c r="G12" s="1">
        <f>IFERROR(__xludf.DUMMYFUNCTION("""COMPUTED_VALUE"""),46.0)</f>
        <v>46</v>
      </c>
      <c r="H12" s="1" t="str">
        <f>IFERROR(__xludf.DUMMYFUNCTION("""COMPUTED_VALUE"""),"+9")</f>
        <v>+9</v>
      </c>
      <c r="I12" s="1">
        <f>IFERROR(__xludf.DUMMYFUNCTION("""COMPUTED_VALUE"""),55.0)</f>
        <v>55</v>
      </c>
    </row>
    <row r="13">
      <c r="A13" s="1" t="str">
        <f>IFERROR(__xludf.DUMMYFUNCTION("""COMPUTED_VALUE"""),"12NEWNewcastle United")</f>
        <v>12NEWNewcastle United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IFERROR(__xludf.DUMMYFUNCTION("""COMPUTED_VALUE"""),9.0)</f>
        <v>9</v>
      </c>
      <c r="E13" s="1">
        <f>IFERROR(__xludf.DUMMYFUNCTION("""COMPUTED_VALUE"""),17.0)</f>
        <v>17</v>
      </c>
      <c r="F13" s="1">
        <f>IFERROR(__xludf.DUMMYFUNCTION("""COMPUTED_VALUE"""),46.0)</f>
        <v>46</v>
      </c>
      <c r="G13" s="1">
        <f>IFERROR(__xludf.DUMMYFUNCTION("""COMPUTED_VALUE"""),62.0)</f>
        <v>62</v>
      </c>
      <c r="H13" s="1">
        <f>IFERROR(__xludf.DUMMYFUNCTION("""COMPUTED_VALUE"""),-16.0)</f>
        <v>-16</v>
      </c>
      <c r="I13" s="1">
        <f>IFERROR(__xludf.DUMMYFUNCTION("""COMPUTED_VALUE"""),45.0)</f>
        <v>45</v>
      </c>
    </row>
    <row r="14">
      <c r="A14" s="1" t="str">
        <f>IFERROR(__xludf.DUMMYFUNCTION("""COMPUTED_VALUE"""),"13WOLWolverhampton Wanderers")</f>
        <v>13WOLWolverhampton Wanderers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IFERROR(__xludf.DUMMYFUNCTION("""COMPUTED_VALUE"""),36.0)</f>
        <v>36</v>
      </c>
      <c r="G14" s="1">
        <f>IFERROR(__xludf.DUMMYFUNCTION("""COMPUTED_VALUE"""),52.0)</f>
        <v>52</v>
      </c>
      <c r="H14" s="1">
        <f>IFERROR(__xludf.DUMMYFUNCTION("""COMPUTED_VALUE"""),-16.0)</f>
        <v>-16</v>
      </c>
      <c r="I14" s="1">
        <f>IFERROR(__xludf.DUMMYFUNCTION("""COMPUTED_VALUE"""),45.0)</f>
        <v>45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IFERROR(__xludf.DUMMYFUNCTION("""COMPUTED_VALUE"""),8.0)</f>
        <v>8</v>
      </c>
      <c r="E15" s="1">
        <f>IFERROR(__xludf.DUMMYFUNCTION("""COMPUTED_VALUE"""),18.0)</f>
        <v>18</v>
      </c>
      <c r="F15" s="1">
        <f>IFERROR(__xludf.DUMMYFUNCTION("""COMPUTED_VALUE"""),41.0)</f>
        <v>41</v>
      </c>
      <c r="G15" s="1">
        <f>IFERROR(__xludf.DUMMYFUNCTION("""COMPUTED_VALUE"""),66.0)</f>
        <v>66</v>
      </c>
      <c r="H15" s="1">
        <f>IFERROR(__xludf.DUMMYFUNCTION("""COMPUTED_VALUE"""),-25.0)</f>
        <v>-25</v>
      </c>
      <c r="I15" s="1">
        <f>IFERROR(__xludf.DUMMYFUNCTION("""COMPUTED_VALUE"""),44.0)</f>
        <v>44</v>
      </c>
    </row>
    <row r="16">
      <c r="A16" s="1" t="str">
        <f>IFERROR(__xludf.DUMMYFUNCTION("""COMPUTED_VALUE"""),"15SOUSouthampton")</f>
        <v>15SOUSouthampton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IFERROR(__xludf.DUMMYFUNCTION("""COMPUTED_VALUE"""),7.0)</f>
        <v>7</v>
      </c>
      <c r="E16" s="1">
        <f>IFERROR(__xludf.DUMMYFUNCTION("""COMPUTED_VALUE"""),19.0)</f>
        <v>19</v>
      </c>
      <c r="F16" s="1">
        <f>IFERROR(__xludf.DUMMYFUNCTION("""COMPUTED_VALUE"""),47.0)</f>
        <v>47</v>
      </c>
      <c r="G16" s="1">
        <f>IFERROR(__xludf.DUMMYFUNCTION("""COMPUTED_VALUE"""),68.0)</f>
        <v>68</v>
      </c>
      <c r="H16" s="1">
        <f>IFERROR(__xludf.DUMMYFUNCTION("""COMPUTED_VALUE"""),-21.0)</f>
        <v>-21</v>
      </c>
      <c r="I16" s="1">
        <f>IFERROR(__xludf.DUMMYFUNCTION("""COMPUTED_VALUE"""),43.0)</f>
        <v>43</v>
      </c>
    </row>
    <row r="17">
      <c r="A17" s="1" t="str">
        <f>IFERROR(__xludf.DUMMYFUNCTION("""COMPUTED_VALUE"""),"16BHABrighton &amp; Hove Albion")</f>
        <v>16BHABrighton &amp; Hove Albion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IFERROR(__xludf.DUMMYFUNCTION("""COMPUTED_VALUE"""),14.0)</f>
        <v>14</v>
      </c>
      <c r="E17" s="1">
        <f>IFERROR(__xludf.DUMMYFUNCTION("""COMPUTED_VALUE"""),15.0)</f>
        <v>15</v>
      </c>
      <c r="F17" s="1">
        <f>IFERROR(__xludf.DUMMYFUNCTION("""COMPUTED_VALUE"""),40.0)</f>
        <v>40</v>
      </c>
      <c r="G17" s="1">
        <f>IFERROR(__xludf.DUMMYFUNCTION("""COMPUTED_VALUE"""),46.0)</f>
        <v>46</v>
      </c>
      <c r="H17" s="1">
        <f>IFERROR(__xludf.DUMMYFUNCTION("""COMPUTED_VALUE"""),-6.0)</f>
        <v>-6</v>
      </c>
      <c r="I17" s="1">
        <f>IFERROR(__xludf.DUMMYFUNCTION("""COMPUTED_VALUE"""),41.0)</f>
        <v>41</v>
      </c>
    </row>
    <row r="18">
      <c r="A18" s="1" t="str">
        <f>IFERROR(__xludf.DUMMYFUNCTION("""COMPUTED_VALUE"""),"17BURBurnley")</f>
        <v>17BURBurnley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IFERROR(__xludf.DUMMYFUNCTION("""COMPUTED_VALUE"""),9.0)</f>
        <v>9</v>
      </c>
      <c r="E18" s="1">
        <f>IFERROR(__xludf.DUMMYFUNCTION("""COMPUTED_VALUE"""),19.0)</f>
        <v>19</v>
      </c>
      <c r="F18" s="1">
        <f>IFERROR(__xludf.DUMMYFUNCTION("""COMPUTED_VALUE"""),33.0)</f>
        <v>33</v>
      </c>
      <c r="G18" s="1">
        <f>IFERROR(__xludf.DUMMYFUNCTION("""COMPUTED_VALUE"""),55.0)</f>
        <v>55</v>
      </c>
      <c r="H18" s="1">
        <f>IFERROR(__xludf.DUMMYFUNCTION("""COMPUTED_VALUE"""),-22.0)</f>
        <v>-22</v>
      </c>
      <c r="I18" s="1">
        <f>IFERROR(__xludf.DUMMYFUNCTION("""COMPUTED_VALUE"""),39.0)</f>
        <v>39</v>
      </c>
    </row>
    <row r="19">
      <c r="A19" s="1" t="str">
        <f>IFERROR(__xludf.DUMMYFUNCTION("""COMPUTED_VALUE"""),"18FULFulham")</f>
        <v>18FULFulham</v>
      </c>
      <c r="B19" s="1">
        <f>IFERROR(__xludf.DUMMYFUNCTION("""COMPUTED_VALUE"""),38.0)</f>
        <v>38</v>
      </c>
      <c r="C19" s="1">
        <f>IFERROR(__xludf.DUMMYFUNCTION("""COMPUTED_VALUE"""),5.0)</f>
        <v>5</v>
      </c>
      <c r="D19" s="1">
        <f>IFERROR(__xludf.DUMMYFUNCTION("""COMPUTED_VALUE"""),13.0)</f>
        <v>13</v>
      </c>
      <c r="E19" s="1">
        <f>IFERROR(__xludf.DUMMYFUNCTION("""COMPUTED_VALUE"""),20.0)</f>
        <v>20</v>
      </c>
      <c r="F19" s="1">
        <f>IFERROR(__xludf.DUMMYFUNCTION("""COMPUTED_VALUE"""),27.0)</f>
        <v>27</v>
      </c>
      <c r="G19" s="1">
        <f>IFERROR(__xludf.DUMMYFUNCTION("""COMPUTED_VALUE"""),53.0)</f>
        <v>53</v>
      </c>
      <c r="H19" s="1">
        <f>IFERROR(__xludf.DUMMYFUNCTION("""COMPUTED_VALUE"""),-26.0)</f>
        <v>-26</v>
      </c>
      <c r="I19" s="1">
        <f>IFERROR(__xludf.DUMMYFUNCTION("""COMPUTED_VALUE"""),28.0)</f>
        <v>28</v>
      </c>
    </row>
    <row r="20">
      <c r="A20" s="1" t="str">
        <f>IFERROR(__xludf.DUMMYFUNCTION("""COMPUTED_VALUE"""),"19WBAWest Bromwich Albion")</f>
        <v>19WBAWest Bromwich Albion</v>
      </c>
      <c r="B20" s="1">
        <f>IFERROR(__xludf.DUMMYFUNCTION("""COMPUTED_VALUE"""),38.0)</f>
        <v>38</v>
      </c>
      <c r="C20" s="1">
        <f>IFERROR(__xludf.DUMMYFUNCTION("""COMPUTED_VALUE"""),5.0)</f>
        <v>5</v>
      </c>
      <c r="D20" s="1">
        <f>IFERROR(__xludf.DUMMYFUNCTION("""COMPUTED_VALUE"""),11.0)</f>
        <v>11</v>
      </c>
      <c r="E20" s="1">
        <f>IFERROR(__xludf.DUMMYFUNCTION("""COMPUTED_VALUE"""),22.0)</f>
        <v>22</v>
      </c>
      <c r="F20" s="1">
        <f>IFERROR(__xludf.DUMMYFUNCTION("""COMPUTED_VALUE"""),35.0)</f>
        <v>35</v>
      </c>
      <c r="G20" s="1">
        <f>IFERROR(__xludf.DUMMYFUNCTION("""COMPUTED_VALUE"""),76.0)</f>
        <v>76</v>
      </c>
      <c r="H20" s="1">
        <f>IFERROR(__xludf.DUMMYFUNCTION("""COMPUTED_VALUE"""),-41.0)</f>
        <v>-41</v>
      </c>
      <c r="I20" s="1">
        <f>IFERROR(__xludf.DUMMYFUNCTION("""COMPUTED_VALUE"""),26.0)</f>
        <v>26</v>
      </c>
    </row>
    <row r="21">
      <c r="A21" s="1" t="str">
        <f>IFERROR(__xludf.DUMMYFUNCTION("""COMPUTED_VALUE"""),"20SHUSheffield United")</f>
        <v>20SHUSheffield United</v>
      </c>
      <c r="B21" s="1">
        <f>IFERROR(__xludf.DUMMYFUNCTION("""COMPUTED_VALUE"""),38.0)</f>
        <v>38</v>
      </c>
      <c r="C21" s="1">
        <f>IFERROR(__xludf.DUMMYFUNCTION("""COMPUTED_VALUE"""),7.0)</f>
        <v>7</v>
      </c>
      <c r="D21" s="1">
        <f>IFERROR(__xludf.DUMMYFUNCTION("""COMPUTED_VALUE"""),2.0)</f>
        <v>2</v>
      </c>
      <c r="E21" s="1">
        <f>IFERROR(__xludf.DUMMYFUNCTION("""COMPUTED_VALUE"""),29.0)</f>
        <v>29</v>
      </c>
      <c r="F21" s="1">
        <f>IFERROR(__xludf.DUMMYFUNCTION("""COMPUTED_VALUE"""),20.0)</f>
        <v>20</v>
      </c>
      <c r="G21" s="1">
        <f>IFERROR(__xludf.DUMMYFUNCTION("""COMPUTED_VALUE"""),63.0)</f>
        <v>63</v>
      </c>
      <c r="H21" s="1">
        <f>IFERROR(__xludf.DUMMYFUNCTION("""COMPUTED_VALUE"""),-43.0)</f>
        <v>-43</v>
      </c>
      <c r="I21" s="1">
        <f>IFERROR(__xludf.DUMMYFUNCTION("""COMPUTED_VALUE"""),23.0)</f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IFERROR(__xludf.DUMMYFUNCTION("IMPORTHTML(""https://www.espn.com/soccer/standings/_/league/ENG.1/season/2019"",""table"",1)"),"2019-2020")</f>
        <v>2019-2020</v>
      </c>
      <c r="B1" s="1" t="str">
        <f>IFERROR(__xludf.DUMMYFUNCTION("IMPORTHTML(""https://www.espn.com/soccer/standings/_/league/ENG.1/season/2019"",""table"",2)"),"GP")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IFERROR(__xludf.DUMMYFUNCTION("""COMPUTED_VALUE"""),"1LIVLiverpool")</f>
        <v>1LIVLiverpool</v>
      </c>
      <c r="B2" s="1">
        <f>IFERROR(__xludf.DUMMYFUNCTION("""COMPUTED_VALUE"""),38.0)</f>
        <v>38</v>
      </c>
      <c r="C2" s="1">
        <f>IFERROR(__xludf.DUMMYFUNCTION("""COMPUTED_VALUE"""),32.0)</f>
        <v>32</v>
      </c>
      <c r="D2" s="1">
        <f>IFERROR(__xludf.DUMMYFUNCTION("""COMPUTED_VALUE"""),3.0)</f>
        <v>3</v>
      </c>
      <c r="E2" s="1">
        <f>IFERROR(__xludf.DUMMYFUNCTION("""COMPUTED_VALUE"""),3.0)</f>
        <v>3</v>
      </c>
      <c r="F2" s="1">
        <f>IFERROR(__xludf.DUMMYFUNCTION("""COMPUTED_VALUE"""),85.0)</f>
        <v>85</v>
      </c>
      <c r="G2" s="1">
        <f>IFERROR(__xludf.DUMMYFUNCTION("""COMPUTED_VALUE"""),33.0)</f>
        <v>33</v>
      </c>
      <c r="H2" s="1" t="str">
        <f>IFERROR(__xludf.DUMMYFUNCTION("""COMPUTED_VALUE"""),"+52")</f>
        <v>+52</v>
      </c>
      <c r="I2" s="1">
        <f>IFERROR(__xludf.DUMMYFUNCTION("""COMPUTED_VALUE"""),99.0)</f>
        <v>99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IFERROR(__xludf.DUMMYFUNCTION("""COMPUTED_VALUE"""),3.0)</f>
        <v>3</v>
      </c>
      <c r="E3" s="1">
        <f>IFERROR(__xludf.DUMMYFUNCTION("""COMPUTED_VALUE"""),9.0)</f>
        <v>9</v>
      </c>
      <c r="F3" s="1">
        <f>IFERROR(__xludf.DUMMYFUNCTION("""COMPUTED_VALUE"""),102.0)</f>
        <v>102</v>
      </c>
      <c r="G3" s="1">
        <f>IFERROR(__xludf.DUMMYFUNCTION("""COMPUTED_VALUE"""),35.0)</f>
        <v>35</v>
      </c>
      <c r="H3" s="1" t="str">
        <f>IFERROR(__xludf.DUMMYFUNCTION("""COMPUTED_VALUE"""),"+67")</f>
        <v>+67</v>
      </c>
      <c r="I3" s="1">
        <f>IFERROR(__xludf.DUMMYFUNCTION("""COMPUTED_VALUE"""),81.0)</f>
        <v>81</v>
      </c>
    </row>
    <row r="4">
      <c r="A4" s="1" t="str">
        <f>IFERROR(__xludf.DUMMYFUNCTION("""COMPUTED_VALUE"""),"3MANManchester United")</f>
        <v>3MANManchester United</v>
      </c>
      <c r="B4" s="1">
        <f>IFERROR(__xludf.DUMMYFUNCTION("""COMPUTED_VALUE"""),38.0)</f>
        <v>38</v>
      </c>
      <c r="C4" s="1">
        <f>IFERROR(__xludf.DUMMYFUNCTION("""COMPUTED_VALUE"""),18.0)</f>
        <v>18</v>
      </c>
      <c r="D4" s="1">
        <f>IFERROR(__xludf.DUMMYFUNCTION("""COMPUTED_VALUE"""),12.0)</f>
        <v>12</v>
      </c>
      <c r="E4" s="1">
        <f>IFERROR(__xludf.DUMMYFUNCTION("""COMPUTED_VALUE"""),8.0)</f>
        <v>8</v>
      </c>
      <c r="F4" s="1">
        <f>IFERROR(__xludf.DUMMYFUNCTION("""COMPUTED_VALUE"""),66.0)</f>
        <v>66</v>
      </c>
      <c r="G4" s="1">
        <f>IFERROR(__xludf.DUMMYFUNCTION("""COMPUTED_VALUE"""),36.0)</f>
        <v>36</v>
      </c>
      <c r="H4" s="1" t="str">
        <f>IFERROR(__xludf.DUMMYFUNCTION("""COMPUTED_VALUE"""),"+30")</f>
        <v>+30</v>
      </c>
      <c r="I4" s="1">
        <f>IFERROR(__xludf.DUMMYFUNCTION("""COMPUTED_VALUE"""),66.0)</f>
        <v>66</v>
      </c>
    </row>
    <row r="5">
      <c r="A5" s="1" t="str">
        <f>IFERROR(__xludf.DUMMYFUNCTION("""COMPUTED_VALUE"""),"4CHEChelsea")</f>
        <v>4CHEChelsea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IFERROR(__xludf.DUMMYFUNCTION("""COMPUTED_VALUE"""),6.0)</f>
        <v>6</v>
      </c>
      <c r="E5" s="1">
        <f>IFERROR(__xludf.DUMMYFUNCTION("""COMPUTED_VALUE"""),12.0)</f>
        <v>12</v>
      </c>
      <c r="F5" s="1">
        <f>IFERROR(__xludf.DUMMYFUNCTION("""COMPUTED_VALUE"""),69.0)</f>
        <v>69</v>
      </c>
      <c r="G5" s="1">
        <f>IFERROR(__xludf.DUMMYFUNCTION("""COMPUTED_VALUE"""),54.0)</f>
        <v>54</v>
      </c>
      <c r="H5" s="1" t="str">
        <f>IFERROR(__xludf.DUMMYFUNCTION("""COMPUTED_VALUE"""),"+15")</f>
        <v>+15</v>
      </c>
      <c r="I5" s="1">
        <f>IFERROR(__xludf.DUMMYFUNCTION("""COMPUTED_VALUE"""),66.0)</f>
        <v>66</v>
      </c>
    </row>
    <row r="6">
      <c r="A6" s="1" t="str">
        <f>IFERROR(__xludf.DUMMYFUNCTION("""COMPUTED_VALUE"""),"5LEILeicester City")</f>
        <v>5LEILeicester City</v>
      </c>
      <c r="B6" s="1">
        <f>IFERROR(__xludf.DUMMYFUNCTION("""COMPUTED_VALUE"""),38.0)</f>
        <v>38</v>
      </c>
      <c r="C6" s="1">
        <f>IFERROR(__xludf.DUMMYFUNCTION("""COMPUTED_VALUE"""),18.0)</f>
        <v>18</v>
      </c>
      <c r="D6" s="1">
        <f>IFERROR(__xludf.DUMMYFUNCTION("""COMPUTED_VALUE"""),8.0)</f>
        <v>8</v>
      </c>
      <c r="E6" s="1">
        <f>IFERROR(__xludf.DUMMYFUNCTION("""COMPUTED_VALUE"""),12.0)</f>
        <v>12</v>
      </c>
      <c r="F6" s="1">
        <f>IFERROR(__xludf.DUMMYFUNCTION("""COMPUTED_VALUE"""),67.0)</f>
        <v>67</v>
      </c>
      <c r="G6" s="1">
        <f>IFERROR(__xludf.DUMMYFUNCTION("""COMPUTED_VALUE"""),41.0)</f>
        <v>41</v>
      </c>
      <c r="H6" s="1" t="str">
        <f>IFERROR(__xludf.DUMMYFUNCTION("""COMPUTED_VALUE"""),"+26")</f>
        <v>+26</v>
      </c>
      <c r="I6" s="1">
        <f>IFERROR(__xludf.DUMMYFUNCTION("""COMPUTED_VALUE"""),62.0)</f>
        <v>62</v>
      </c>
    </row>
    <row r="7">
      <c r="A7" s="1" t="str">
        <f>IFERROR(__xludf.DUMMYFUNCTION("""COMPUTED_VALUE"""),"6TOTTottenham Hotspur")</f>
        <v>6TOTTottenham Hotspur</v>
      </c>
      <c r="B7" s="1">
        <f>IFERROR(__xludf.DUMMYFUNCTION("""COMPUTED_VALUE"""),38.0)</f>
        <v>38</v>
      </c>
      <c r="C7" s="1">
        <f>IFERROR(__xludf.DUMMYFUNCTION("""COMPUTED_VALUE"""),16.0)</f>
        <v>16</v>
      </c>
      <c r="D7" s="1">
        <f>IFERROR(__xludf.DUMMYFUNCTION("""COMPUTED_VALUE"""),11.0)</f>
        <v>11</v>
      </c>
      <c r="E7" s="1">
        <f>IFERROR(__xludf.DUMMYFUNCTION("""COMPUTED_VALUE"""),11.0)</f>
        <v>11</v>
      </c>
      <c r="F7" s="1">
        <f>IFERROR(__xludf.DUMMYFUNCTION("""COMPUTED_VALUE"""),61.0)</f>
        <v>61</v>
      </c>
      <c r="G7" s="1">
        <f>IFERROR(__xludf.DUMMYFUNCTION("""COMPUTED_VALUE"""),47.0)</f>
        <v>47</v>
      </c>
      <c r="H7" s="1" t="str">
        <f>IFERROR(__xludf.DUMMYFUNCTION("""COMPUTED_VALUE"""),"+14")</f>
        <v>+14</v>
      </c>
      <c r="I7" s="1">
        <f>IFERROR(__xludf.DUMMYFUNCTION("""COMPUTED_VALUE"""),59.0)</f>
        <v>59</v>
      </c>
    </row>
    <row r="8">
      <c r="A8" s="1" t="str">
        <f>IFERROR(__xludf.DUMMYFUNCTION("""COMPUTED_VALUE"""),"7WOLWolverhampton Wanderers")</f>
        <v>7WOLWolverhampton Wanderers</v>
      </c>
      <c r="B8" s="1">
        <f>IFERROR(__xludf.DUMMYFUNCTION("""COMPUTED_VALUE"""),38.0)</f>
        <v>38</v>
      </c>
      <c r="C8" s="1">
        <f>IFERROR(__xludf.DUMMYFUNCTION("""COMPUTED_VALUE"""),15.0)</f>
        <v>15</v>
      </c>
      <c r="D8" s="1">
        <f>IFERROR(__xludf.DUMMYFUNCTION("""COMPUTED_VALUE"""),14.0)</f>
        <v>14</v>
      </c>
      <c r="E8" s="1">
        <f>IFERROR(__xludf.DUMMYFUNCTION("""COMPUTED_VALUE"""),9.0)</f>
        <v>9</v>
      </c>
      <c r="F8" s="1">
        <f>IFERROR(__xludf.DUMMYFUNCTION("""COMPUTED_VALUE"""),51.0)</f>
        <v>51</v>
      </c>
      <c r="G8" s="1">
        <f>IFERROR(__xludf.DUMMYFUNCTION("""COMPUTED_VALUE"""),40.0)</f>
        <v>40</v>
      </c>
      <c r="H8" s="1" t="str">
        <f>IFERROR(__xludf.DUMMYFUNCTION("""COMPUTED_VALUE"""),"+11")</f>
        <v>+11</v>
      </c>
      <c r="I8" s="1">
        <f>IFERROR(__xludf.DUMMYFUNCTION("""COMPUTED_VALUE"""),59.0)</f>
        <v>59</v>
      </c>
    </row>
    <row r="9">
      <c r="A9" s="1" t="str">
        <f>IFERROR(__xludf.DUMMYFUNCTION("""COMPUTED_VALUE"""),"8ARSArsenal")</f>
        <v>8ARSArsenal</v>
      </c>
      <c r="B9" s="1">
        <f>IFERROR(__xludf.DUMMYFUNCTION("""COMPUTED_VALUE"""),38.0)</f>
        <v>38</v>
      </c>
      <c r="C9" s="1">
        <f>IFERROR(__xludf.DUMMYFUNCTION("""COMPUTED_VALUE"""),14.0)</f>
        <v>14</v>
      </c>
      <c r="D9" s="1">
        <f>IFERROR(__xludf.DUMMYFUNCTION("""COMPUTED_VALUE"""),14.0)</f>
        <v>14</v>
      </c>
      <c r="E9" s="1">
        <f>IFERROR(__xludf.DUMMYFUNCTION("""COMPUTED_VALUE"""),10.0)</f>
        <v>10</v>
      </c>
      <c r="F9" s="1">
        <f>IFERROR(__xludf.DUMMYFUNCTION("""COMPUTED_VALUE"""),56.0)</f>
        <v>56</v>
      </c>
      <c r="G9" s="1">
        <f>IFERROR(__xludf.DUMMYFUNCTION("""COMPUTED_VALUE"""),48.0)</f>
        <v>48</v>
      </c>
      <c r="H9" s="1" t="str">
        <f>IFERROR(__xludf.DUMMYFUNCTION("""COMPUTED_VALUE"""),"+8")</f>
        <v>+8</v>
      </c>
      <c r="I9" s="1">
        <f>IFERROR(__xludf.DUMMYFUNCTION("""COMPUTED_VALUE"""),56.0)</f>
        <v>56</v>
      </c>
    </row>
    <row r="10">
      <c r="A10" s="1" t="str">
        <f>IFERROR(__xludf.DUMMYFUNCTION("""COMPUTED_VALUE"""),"9SHUSheffield United")</f>
        <v>9SHUSheffield United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IFERROR(__xludf.DUMMYFUNCTION("""COMPUTED_VALUE"""),12.0)</f>
        <v>12</v>
      </c>
      <c r="E10" s="1">
        <f>IFERROR(__xludf.DUMMYFUNCTION("""COMPUTED_VALUE"""),12.0)</f>
        <v>12</v>
      </c>
      <c r="F10" s="1">
        <f>IFERROR(__xludf.DUMMYFUNCTION("""COMPUTED_VALUE"""),39.0)</f>
        <v>39</v>
      </c>
      <c r="G10" s="1">
        <f>IFERROR(__xludf.DUMMYFUNCTION("""COMPUTED_VALUE"""),39.0)</f>
        <v>39</v>
      </c>
      <c r="H10" s="1">
        <f>IFERROR(__xludf.DUMMYFUNCTION("""COMPUTED_VALUE"""),0.0)</f>
        <v>0</v>
      </c>
      <c r="I10" s="1">
        <f>IFERROR(__xludf.DUMMYFUNCTION("""COMPUTED_VALUE"""),54.0)</f>
        <v>54</v>
      </c>
    </row>
    <row r="11">
      <c r="A11" s="1" t="str">
        <f>IFERROR(__xludf.DUMMYFUNCTION("""COMPUTED_VALUE"""),"10BURBurnley")</f>
        <v>10BURBurnley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IFERROR(__xludf.DUMMYFUNCTION("""COMPUTED_VALUE"""),9.0)</f>
        <v>9</v>
      </c>
      <c r="E11" s="1">
        <f>IFERROR(__xludf.DUMMYFUNCTION("""COMPUTED_VALUE"""),14.0)</f>
        <v>14</v>
      </c>
      <c r="F11" s="1">
        <f>IFERROR(__xludf.DUMMYFUNCTION("""COMPUTED_VALUE"""),43.0)</f>
        <v>43</v>
      </c>
      <c r="G11" s="1">
        <f>IFERROR(__xludf.DUMMYFUNCTION("""COMPUTED_VALUE"""),50.0)</f>
        <v>50</v>
      </c>
      <c r="H11" s="1">
        <f>IFERROR(__xludf.DUMMYFUNCTION("""COMPUTED_VALUE"""),-7.0)</f>
        <v>-7</v>
      </c>
      <c r="I11" s="1">
        <f>IFERROR(__xludf.DUMMYFUNCTION("""COMPUTED_VALUE"""),54.0)</f>
        <v>54</v>
      </c>
    </row>
    <row r="12">
      <c r="A12" s="1" t="str">
        <f>IFERROR(__xludf.DUMMYFUNCTION("""COMPUTED_VALUE"""),"11SOUSouthampton")</f>
        <v>11SOUSouthampton</v>
      </c>
      <c r="B12" s="1">
        <f>IFERROR(__xludf.DUMMYFUNCTION("""COMPUTED_VALUE"""),38.0)</f>
        <v>38</v>
      </c>
      <c r="C12" s="1">
        <f>IFERROR(__xludf.DUMMYFUNCTION("""COMPUTED_VALUE"""),15.0)</f>
        <v>15</v>
      </c>
      <c r="D12" s="1">
        <f>IFERROR(__xludf.DUMMYFUNCTION("""COMPUTED_VALUE"""),7.0)</f>
        <v>7</v>
      </c>
      <c r="E12" s="1">
        <f>IFERROR(__xludf.DUMMYFUNCTION("""COMPUTED_VALUE"""),16.0)</f>
        <v>16</v>
      </c>
      <c r="F12" s="1">
        <f>IFERROR(__xludf.DUMMYFUNCTION("""COMPUTED_VALUE"""),51.0)</f>
        <v>51</v>
      </c>
      <c r="G12" s="1">
        <f>IFERROR(__xludf.DUMMYFUNCTION("""COMPUTED_VALUE"""),60.0)</f>
        <v>60</v>
      </c>
      <c r="H12" s="1">
        <f>IFERROR(__xludf.DUMMYFUNCTION("""COMPUTED_VALUE"""),-9.0)</f>
        <v>-9</v>
      </c>
      <c r="I12" s="1">
        <f>IFERROR(__xludf.DUMMYFUNCTION("""COMPUTED_VALUE"""),52.0)</f>
        <v>52</v>
      </c>
    </row>
    <row r="13">
      <c r="A13" s="1" t="str">
        <f>IFERROR(__xludf.DUMMYFUNCTION("""COMPUTED_VALUE"""),"12EVEEverton")</f>
        <v>12EVEEverton</v>
      </c>
      <c r="B13" s="1">
        <f>IFERROR(__xludf.DUMMYFUNCTION("""COMPUTED_VALUE"""),38.0)</f>
        <v>38</v>
      </c>
      <c r="C13" s="1">
        <f>IFERROR(__xludf.DUMMYFUNCTION("""COMPUTED_VALUE"""),13.0)</f>
        <v>13</v>
      </c>
      <c r="D13" s="1">
        <f>IFERROR(__xludf.DUMMYFUNCTION("""COMPUTED_VALUE"""),10.0)</f>
        <v>10</v>
      </c>
      <c r="E13" s="1">
        <f>IFERROR(__xludf.DUMMYFUNCTION("""COMPUTED_VALUE"""),15.0)</f>
        <v>15</v>
      </c>
      <c r="F13" s="1">
        <f>IFERROR(__xludf.DUMMYFUNCTION("""COMPUTED_VALUE"""),44.0)</f>
        <v>44</v>
      </c>
      <c r="G13" s="1">
        <f>IFERROR(__xludf.DUMMYFUNCTION("""COMPUTED_VALUE"""),56.0)</f>
        <v>56</v>
      </c>
      <c r="H13" s="1">
        <f>IFERROR(__xludf.DUMMYFUNCTION("""COMPUTED_VALUE"""),-12.0)</f>
        <v>-12</v>
      </c>
      <c r="I13" s="1">
        <f>IFERROR(__xludf.DUMMYFUNCTION("""COMPUTED_VALUE"""),49.0)</f>
        <v>49</v>
      </c>
    </row>
    <row r="14">
      <c r="A14" s="1" t="str">
        <f>IFERROR(__xludf.DUMMYFUNCTION("""COMPUTED_VALUE"""),"13NEWNewcastle United")</f>
        <v>13NEWNewcastle United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IFERROR(__xludf.DUMMYFUNCTION("""COMPUTED_VALUE"""),38.0)</f>
        <v>38</v>
      </c>
      <c r="G14" s="1">
        <f>IFERROR(__xludf.DUMMYFUNCTION("""COMPUTED_VALUE"""),58.0)</f>
        <v>58</v>
      </c>
      <c r="H14" s="1">
        <f>IFERROR(__xludf.DUMMYFUNCTION("""COMPUTED_VALUE"""),-20.0)</f>
        <v>-20</v>
      </c>
      <c r="I14" s="1">
        <f>IFERROR(__xludf.DUMMYFUNCTION("""COMPUTED_VALUE"""),44.0)</f>
        <v>44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IFERROR(__xludf.DUMMYFUNCTION("""COMPUTED_VALUE"""),10.0)</f>
        <v>10</v>
      </c>
      <c r="E15" s="1">
        <f>IFERROR(__xludf.DUMMYFUNCTION("""COMPUTED_VALUE"""),17.0)</f>
        <v>17</v>
      </c>
      <c r="F15" s="1">
        <f>IFERROR(__xludf.DUMMYFUNCTION("""COMPUTED_VALUE"""),31.0)</f>
        <v>31</v>
      </c>
      <c r="G15" s="1">
        <f>IFERROR(__xludf.DUMMYFUNCTION("""COMPUTED_VALUE"""),50.0)</f>
        <v>50</v>
      </c>
      <c r="H15" s="1">
        <f>IFERROR(__xludf.DUMMYFUNCTION("""COMPUTED_VALUE"""),-19.0)</f>
        <v>-19</v>
      </c>
      <c r="I15" s="1">
        <f>IFERROR(__xludf.DUMMYFUNCTION("""COMPUTED_VALUE"""),43.0)</f>
        <v>43</v>
      </c>
    </row>
    <row r="16">
      <c r="A16" s="1" t="str">
        <f>IFERROR(__xludf.DUMMYFUNCTION("""COMPUTED_VALUE"""),"15BHABrighton &amp; Hove Albion")</f>
        <v>15BHABrighton &amp; Hove Albion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IFERROR(__xludf.DUMMYFUNCTION("""COMPUTED_VALUE"""),14.0)</f>
        <v>14</v>
      </c>
      <c r="E16" s="1">
        <f>IFERROR(__xludf.DUMMYFUNCTION("""COMPUTED_VALUE"""),15.0)</f>
        <v>15</v>
      </c>
      <c r="F16" s="1">
        <f>IFERROR(__xludf.DUMMYFUNCTION("""COMPUTED_VALUE"""),39.0)</f>
        <v>39</v>
      </c>
      <c r="G16" s="1">
        <f>IFERROR(__xludf.DUMMYFUNCTION("""COMPUTED_VALUE"""),54.0)</f>
        <v>54</v>
      </c>
      <c r="H16" s="1">
        <f>IFERROR(__xludf.DUMMYFUNCTION("""COMPUTED_VALUE"""),-15.0)</f>
        <v>-15</v>
      </c>
      <c r="I16" s="1">
        <f>IFERROR(__xludf.DUMMYFUNCTION("""COMPUTED_VALUE"""),41.0)</f>
        <v>41</v>
      </c>
    </row>
    <row r="17">
      <c r="A17" s="1" t="str">
        <f>IFERROR(__xludf.DUMMYFUNCTION("""COMPUTED_VALUE"""),"16WHUWest Ham United")</f>
        <v>16WHUWest Ham United</v>
      </c>
      <c r="B17" s="1">
        <f>IFERROR(__xludf.DUMMYFUNCTION("""COMPUTED_VALUE"""),38.0)</f>
        <v>38</v>
      </c>
      <c r="C17" s="1">
        <f>IFERROR(__xludf.DUMMYFUNCTION("""COMPUTED_VALUE"""),10.0)</f>
        <v>10</v>
      </c>
      <c r="D17" s="1">
        <f>IFERROR(__xludf.DUMMYFUNCTION("""COMPUTED_VALUE"""),9.0)</f>
        <v>9</v>
      </c>
      <c r="E17" s="1">
        <f>IFERROR(__xludf.DUMMYFUNCTION("""COMPUTED_VALUE"""),19.0)</f>
        <v>19</v>
      </c>
      <c r="F17" s="1">
        <f>IFERROR(__xludf.DUMMYFUNCTION("""COMPUTED_VALUE"""),49.0)</f>
        <v>49</v>
      </c>
      <c r="G17" s="1">
        <f>IFERROR(__xludf.DUMMYFUNCTION("""COMPUTED_VALUE"""),62.0)</f>
        <v>62</v>
      </c>
      <c r="H17" s="1">
        <f>IFERROR(__xludf.DUMMYFUNCTION("""COMPUTED_VALUE"""),-13.0)</f>
        <v>-13</v>
      </c>
      <c r="I17" s="1">
        <f>IFERROR(__xludf.DUMMYFUNCTION("""COMPUTED_VALUE"""),39.0)</f>
        <v>39</v>
      </c>
    </row>
    <row r="18">
      <c r="A18" s="1" t="str">
        <f>IFERROR(__xludf.DUMMYFUNCTION("""COMPUTED_VALUE"""),"17AVLAston Villa")</f>
        <v>17AVLAston Villa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IFERROR(__xludf.DUMMYFUNCTION("""COMPUTED_VALUE"""),8.0)</f>
        <v>8</v>
      </c>
      <c r="E18" s="1">
        <f>IFERROR(__xludf.DUMMYFUNCTION("""COMPUTED_VALUE"""),21.0)</f>
        <v>21</v>
      </c>
      <c r="F18" s="1">
        <f>IFERROR(__xludf.DUMMYFUNCTION("""COMPUTED_VALUE"""),41.0)</f>
        <v>41</v>
      </c>
      <c r="G18" s="1">
        <f>IFERROR(__xludf.DUMMYFUNCTION("""COMPUTED_VALUE"""),67.0)</f>
        <v>67</v>
      </c>
      <c r="H18" s="1">
        <f>IFERROR(__xludf.DUMMYFUNCTION("""COMPUTED_VALUE"""),-26.0)</f>
        <v>-26</v>
      </c>
      <c r="I18" s="1">
        <f>IFERROR(__xludf.DUMMYFUNCTION("""COMPUTED_VALUE"""),35.0)</f>
        <v>35</v>
      </c>
    </row>
    <row r="19">
      <c r="A19" s="1" t="str">
        <f>IFERROR(__xludf.DUMMYFUNCTION("""COMPUTED_VALUE"""),"18BOUAFC Bournemouth")</f>
        <v>18BOUAFC Bournemouth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IFERROR(__xludf.DUMMYFUNCTION("""COMPUTED_VALUE"""),7.0)</f>
        <v>7</v>
      </c>
      <c r="E19" s="1">
        <f>IFERROR(__xludf.DUMMYFUNCTION("""COMPUTED_VALUE"""),22.0)</f>
        <v>22</v>
      </c>
      <c r="F19" s="1">
        <f>IFERROR(__xludf.DUMMYFUNCTION("""COMPUTED_VALUE"""),40.0)</f>
        <v>40</v>
      </c>
      <c r="G19" s="1">
        <f>IFERROR(__xludf.DUMMYFUNCTION("""COMPUTED_VALUE"""),65.0)</f>
        <v>65</v>
      </c>
      <c r="H19" s="1">
        <f>IFERROR(__xludf.DUMMYFUNCTION("""COMPUTED_VALUE"""),-25.0)</f>
        <v>-25</v>
      </c>
      <c r="I19" s="1">
        <f>IFERROR(__xludf.DUMMYFUNCTION("""COMPUTED_VALUE"""),34.0)</f>
        <v>34</v>
      </c>
    </row>
    <row r="20">
      <c r="A20" s="1" t="str">
        <f>IFERROR(__xludf.DUMMYFUNCTION("""COMPUTED_VALUE"""),"19WATWatford")</f>
        <v>19WATWatford</v>
      </c>
      <c r="B20" s="1">
        <f>IFERROR(__xludf.DUMMYFUNCTION("""COMPUTED_VALUE"""),38.0)</f>
        <v>38</v>
      </c>
      <c r="C20" s="1">
        <f>IFERROR(__xludf.DUMMYFUNCTION("""COMPUTED_VALUE"""),8.0)</f>
        <v>8</v>
      </c>
      <c r="D20" s="1">
        <f>IFERROR(__xludf.DUMMYFUNCTION("""COMPUTED_VALUE"""),10.0)</f>
        <v>10</v>
      </c>
      <c r="E20" s="1">
        <f>IFERROR(__xludf.DUMMYFUNCTION("""COMPUTED_VALUE"""),20.0)</f>
        <v>20</v>
      </c>
      <c r="F20" s="1">
        <f>IFERROR(__xludf.DUMMYFUNCTION("""COMPUTED_VALUE"""),36.0)</f>
        <v>36</v>
      </c>
      <c r="G20" s="1">
        <f>IFERROR(__xludf.DUMMYFUNCTION("""COMPUTED_VALUE"""),64.0)</f>
        <v>64</v>
      </c>
      <c r="H20" s="1">
        <f>IFERROR(__xludf.DUMMYFUNCTION("""COMPUTED_VALUE"""),-28.0)</f>
        <v>-28</v>
      </c>
      <c r="I20" s="1">
        <f>IFERROR(__xludf.DUMMYFUNCTION("""COMPUTED_VALUE"""),34.0)</f>
        <v>34</v>
      </c>
    </row>
    <row r="21">
      <c r="A21" s="1" t="str">
        <f>IFERROR(__xludf.DUMMYFUNCTION("""COMPUTED_VALUE"""),"20NORNorwich City")</f>
        <v>20NORNorwich City</v>
      </c>
      <c r="B21" s="1">
        <f>IFERROR(__xludf.DUMMYFUNCTION("""COMPUTED_VALUE"""),38.0)</f>
        <v>38</v>
      </c>
      <c r="C21" s="1">
        <f>IFERROR(__xludf.DUMMYFUNCTION("""COMPUTED_VALUE"""),5.0)</f>
        <v>5</v>
      </c>
      <c r="D21" s="1">
        <f>IFERROR(__xludf.DUMMYFUNCTION("""COMPUTED_VALUE"""),6.0)</f>
        <v>6</v>
      </c>
      <c r="E21" s="1">
        <f>IFERROR(__xludf.DUMMYFUNCTION("""COMPUTED_VALUE"""),27.0)</f>
        <v>27</v>
      </c>
      <c r="F21" s="1">
        <f>IFERROR(__xludf.DUMMYFUNCTION("""COMPUTED_VALUE"""),26.0)</f>
        <v>26</v>
      </c>
      <c r="G21" s="1">
        <f>IFERROR(__xludf.DUMMYFUNCTION("""COMPUTED_VALUE"""),75.0)</f>
        <v>75</v>
      </c>
      <c r="H21" s="1">
        <f>IFERROR(__xludf.DUMMYFUNCTION("""COMPUTED_VALUE"""),-49.0)</f>
        <v>-49</v>
      </c>
      <c r="I21" s="1">
        <f>IFERROR(__xludf.DUMMYFUNCTION("""COMPUTED_VALUE"""),21.0)</f>
        <v>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IFERROR(__xludf.DUMMYFUNCTION("IMPORTHTML(""https://www.espn.com/soccer/standings/_/league/ENG.1/season/2018"",""table"",1)"),"2018-2019")</f>
        <v>2018-2019</v>
      </c>
      <c r="B1" s="1" t="str">
        <f>IFERROR(__xludf.DUMMYFUNCTION("IMPORTHTML(""https://www.espn.com/soccer/standings/_/league/ENG.1/season/2018"",""table"",2)"),"GP")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IFERROR(__xludf.DUMMYFUNCTION("""COMPUTED_VALUE"""),32.0)</f>
        <v>32</v>
      </c>
      <c r="D2" s="1">
        <f>IFERROR(__xludf.DUMMYFUNCTION("""COMPUTED_VALUE"""),2.0)</f>
        <v>2</v>
      </c>
      <c r="E2" s="1">
        <f>IFERROR(__xludf.DUMMYFUNCTION("""COMPUTED_VALUE"""),4.0)</f>
        <v>4</v>
      </c>
      <c r="F2" s="1">
        <f>IFERROR(__xludf.DUMMYFUNCTION("""COMPUTED_VALUE"""),95.0)</f>
        <v>95</v>
      </c>
      <c r="G2" s="1">
        <f>IFERROR(__xludf.DUMMYFUNCTION("""COMPUTED_VALUE"""),23.0)</f>
        <v>23</v>
      </c>
      <c r="H2" s="1" t="str">
        <f>IFERROR(__xludf.DUMMYFUNCTION("""COMPUTED_VALUE"""),"+72")</f>
        <v>+72</v>
      </c>
      <c r="I2" s="1">
        <f>IFERROR(__xludf.DUMMYFUNCTION("""COMPUTED_VALUE"""),98.0)</f>
        <v>98</v>
      </c>
    </row>
    <row r="3">
      <c r="A3" s="1" t="str">
        <f>IFERROR(__xludf.DUMMYFUNCTION("""COMPUTED_VALUE"""),"2LIVLiverpool")</f>
        <v>2LIVLiverpool</v>
      </c>
      <c r="B3" s="1">
        <f>IFERROR(__xludf.DUMMYFUNCTION("""COMPUTED_VALUE"""),38.0)</f>
        <v>38</v>
      </c>
      <c r="C3" s="1">
        <f>IFERROR(__xludf.DUMMYFUNCTION("""COMPUTED_VALUE"""),30.0)</f>
        <v>30</v>
      </c>
      <c r="D3" s="1">
        <f>IFERROR(__xludf.DUMMYFUNCTION("""COMPUTED_VALUE"""),7.0)</f>
        <v>7</v>
      </c>
      <c r="E3" s="1">
        <f>IFERROR(__xludf.DUMMYFUNCTION("""COMPUTED_VALUE"""),1.0)</f>
        <v>1</v>
      </c>
      <c r="F3" s="1">
        <f>IFERROR(__xludf.DUMMYFUNCTION("""COMPUTED_VALUE"""),89.0)</f>
        <v>89</v>
      </c>
      <c r="G3" s="1">
        <f>IFERROR(__xludf.DUMMYFUNCTION("""COMPUTED_VALUE"""),22.0)</f>
        <v>22</v>
      </c>
      <c r="H3" s="1" t="str">
        <f>IFERROR(__xludf.DUMMYFUNCTION("""COMPUTED_VALUE"""),"+67")</f>
        <v>+67</v>
      </c>
      <c r="I3" s="1">
        <f>IFERROR(__xludf.DUMMYFUNCTION("""COMPUTED_VALUE"""),97.0)</f>
        <v>97</v>
      </c>
    </row>
    <row r="4">
      <c r="A4" s="1" t="str">
        <f>IFERROR(__xludf.DUMMYFUNCTION("""COMPUTED_VALUE"""),"3CHEChelsea")</f>
        <v>3CHEChelsea</v>
      </c>
      <c r="B4" s="1">
        <f>IFERROR(__xludf.DUMMYFUNCTION("""COMPUTED_VALUE"""),38.0)</f>
        <v>38</v>
      </c>
      <c r="C4" s="1">
        <f>IFERROR(__xludf.DUMMYFUNCTION("""COMPUTED_VALUE"""),21.0)</f>
        <v>21</v>
      </c>
      <c r="D4" s="1">
        <f>IFERROR(__xludf.DUMMYFUNCTION("""COMPUTED_VALUE"""),9.0)</f>
        <v>9</v>
      </c>
      <c r="E4" s="1">
        <f>IFERROR(__xludf.DUMMYFUNCTION("""COMPUTED_VALUE"""),8.0)</f>
        <v>8</v>
      </c>
      <c r="F4" s="1">
        <f>IFERROR(__xludf.DUMMYFUNCTION("""COMPUTED_VALUE"""),63.0)</f>
        <v>63</v>
      </c>
      <c r="G4" s="1">
        <f>IFERROR(__xludf.DUMMYFUNCTION("""COMPUTED_VALUE"""),39.0)</f>
        <v>39</v>
      </c>
      <c r="H4" s="1" t="str">
        <f>IFERROR(__xludf.DUMMYFUNCTION("""COMPUTED_VALUE"""),"+24")</f>
        <v>+24</v>
      </c>
      <c r="I4" s="1">
        <f>IFERROR(__xludf.DUMMYFUNCTION("""COMPUTED_VALUE"""),72.0)</f>
        <v>72</v>
      </c>
    </row>
    <row r="5">
      <c r="A5" s="1" t="str">
        <f>IFERROR(__xludf.DUMMYFUNCTION("""COMPUTED_VALUE"""),"4TOTTottenham Hotspur")</f>
        <v>4TOTTottenham Hotspur</v>
      </c>
      <c r="B5" s="1">
        <f>IFERROR(__xludf.DUMMYFUNCTION("""COMPUTED_VALUE"""),38.0)</f>
        <v>38</v>
      </c>
      <c r="C5" s="1">
        <f>IFERROR(__xludf.DUMMYFUNCTION("""COMPUTED_VALUE"""),23.0)</f>
        <v>23</v>
      </c>
      <c r="D5" s="1">
        <f>IFERROR(__xludf.DUMMYFUNCTION("""COMPUTED_VALUE"""),2.0)</f>
        <v>2</v>
      </c>
      <c r="E5" s="1">
        <f>IFERROR(__xludf.DUMMYFUNCTION("""COMPUTED_VALUE"""),13.0)</f>
        <v>13</v>
      </c>
      <c r="F5" s="1">
        <f>IFERROR(__xludf.DUMMYFUNCTION("""COMPUTED_VALUE"""),67.0)</f>
        <v>67</v>
      </c>
      <c r="G5" s="1">
        <f>IFERROR(__xludf.DUMMYFUNCTION("""COMPUTED_VALUE"""),39.0)</f>
        <v>39</v>
      </c>
      <c r="H5" s="1" t="str">
        <f>IFERROR(__xludf.DUMMYFUNCTION("""COMPUTED_VALUE"""),"+28")</f>
        <v>+28</v>
      </c>
      <c r="I5" s="1">
        <f>IFERROR(__xludf.DUMMYFUNCTION("""COMPUTED_VALUE"""),71.0)</f>
        <v>71</v>
      </c>
    </row>
    <row r="6">
      <c r="A6" s="1" t="str">
        <f>IFERROR(__xludf.DUMMYFUNCTION("""COMPUTED_VALUE"""),"5ARSArsenal")</f>
        <v>5ARSArsenal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IFERROR(__xludf.DUMMYFUNCTION("""COMPUTED_VALUE"""),7.0)</f>
        <v>7</v>
      </c>
      <c r="E6" s="1">
        <f>IFERROR(__xludf.DUMMYFUNCTION("""COMPUTED_VALUE"""),10.0)</f>
        <v>10</v>
      </c>
      <c r="F6" s="1">
        <f>IFERROR(__xludf.DUMMYFUNCTION("""COMPUTED_VALUE"""),73.0)</f>
        <v>73</v>
      </c>
      <c r="G6" s="1">
        <f>IFERROR(__xludf.DUMMYFUNCTION("""COMPUTED_VALUE"""),51.0)</f>
        <v>51</v>
      </c>
      <c r="H6" s="1" t="str">
        <f>IFERROR(__xludf.DUMMYFUNCTION("""COMPUTED_VALUE"""),"+22")</f>
        <v>+22</v>
      </c>
      <c r="I6" s="1">
        <f>IFERROR(__xludf.DUMMYFUNCTION("""COMPUTED_VALUE"""),70.0)</f>
        <v>70</v>
      </c>
    </row>
    <row r="7">
      <c r="A7" s="1" t="str">
        <f>IFERROR(__xludf.DUMMYFUNCTION("""COMPUTED_VALUE"""),"6MANManchester United")</f>
        <v>6MANManchester United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IFERROR(__xludf.DUMMYFUNCTION("""COMPUTED_VALUE"""),9.0)</f>
        <v>9</v>
      </c>
      <c r="E7" s="1">
        <f>IFERROR(__xludf.DUMMYFUNCTION("""COMPUTED_VALUE"""),10.0)</f>
        <v>10</v>
      </c>
      <c r="F7" s="1">
        <f>IFERROR(__xludf.DUMMYFUNCTION("""COMPUTED_VALUE"""),65.0)</f>
        <v>65</v>
      </c>
      <c r="G7" s="1">
        <f>IFERROR(__xludf.DUMMYFUNCTION("""COMPUTED_VALUE"""),54.0)</f>
        <v>54</v>
      </c>
      <c r="H7" s="1" t="str">
        <f>IFERROR(__xludf.DUMMYFUNCTION("""COMPUTED_VALUE"""),"+11")</f>
        <v>+11</v>
      </c>
      <c r="I7" s="1">
        <f>IFERROR(__xludf.DUMMYFUNCTION("""COMPUTED_VALUE"""),66.0)</f>
        <v>66</v>
      </c>
    </row>
    <row r="8">
      <c r="A8" s="1" t="str">
        <f>IFERROR(__xludf.DUMMYFUNCTION("""COMPUTED_VALUE"""),"7WOLWolverhampton Wanderers")</f>
        <v>7WOLWolverhampton Wanderers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IFERROR(__xludf.DUMMYFUNCTION("""COMPUTED_VALUE"""),9.0)</f>
        <v>9</v>
      </c>
      <c r="E8" s="1">
        <f>IFERROR(__xludf.DUMMYFUNCTION("""COMPUTED_VALUE"""),13.0)</f>
        <v>13</v>
      </c>
      <c r="F8" s="1">
        <f>IFERROR(__xludf.DUMMYFUNCTION("""COMPUTED_VALUE"""),47.0)</f>
        <v>47</v>
      </c>
      <c r="G8" s="1">
        <f>IFERROR(__xludf.DUMMYFUNCTION("""COMPUTED_VALUE"""),46.0)</f>
        <v>46</v>
      </c>
      <c r="H8" s="1" t="str">
        <f>IFERROR(__xludf.DUMMYFUNCTION("""COMPUTED_VALUE"""),"+1")</f>
        <v>+1</v>
      </c>
      <c r="I8" s="1">
        <f>IFERROR(__xludf.DUMMYFUNCTION("""COMPUTED_VALUE"""),57.0)</f>
        <v>57</v>
      </c>
    </row>
    <row r="9">
      <c r="A9" s="1" t="str">
        <f>IFERROR(__xludf.DUMMYFUNCTION("""COMPUTED_VALUE"""),"8EVEEverton")</f>
        <v>8EVEEverton</v>
      </c>
      <c r="B9" s="1">
        <f>IFERROR(__xludf.DUMMYFUNCTION("""COMPUTED_VALUE"""),38.0)</f>
        <v>38</v>
      </c>
      <c r="C9" s="1">
        <f>IFERROR(__xludf.DUMMYFUNCTION("""COMPUTED_VALUE"""),15.0)</f>
        <v>15</v>
      </c>
      <c r="D9" s="1">
        <f>IFERROR(__xludf.DUMMYFUNCTION("""COMPUTED_VALUE"""),9.0)</f>
        <v>9</v>
      </c>
      <c r="E9" s="1">
        <f>IFERROR(__xludf.DUMMYFUNCTION("""COMPUTED_VALUE"""),14.0)</f>
        <v>14</v>
      </c>
      <c r="F9" s="1">
        <f>IFERROR(__xludf.DUMMYFUNCTION("""COMPUTED_VALUE"""),54.0)</f>
        <v>54</v>
      </c>
      <c r="G9" s="1">
        <f>IFERROR(__xludf.DUMMYFUNCTION("""COMPUTED_VALUE"""),46.0)</f>
        <v>46</v>
      </c>
      <c r="H9" s="1" t="str">
        <f>IFERROR(__xludf.DUMMYFUNCTION("""COMPUTED_VALUE"""),"+8")</f>
        <v>+8</v>
      </c>
      <c r="I9" s="1">
        <f>IFERROR(__xludf.DUMMYFUNCTION("""COMPUTED_VALUE"""),54.0)</f>
        <v>54</v>
      </c>
    </row>
    <row r="10">
      <c r="A10" s="1" t="str">
        <f>IFERROR(__xludf.DUMMYFUNCTION("""COMPUTED_VALUE"""),"9LEILeicester City")</f>
        <v>9LEILeicester City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IFERROR(__xludf.DUMMYFUNCTION("""COMPUTED_VALUE"""),7.0)</f>
        <v>7</v>
      </c>
      <c r="E10" s="1">
        <f>IFERROR(__xludf.DUMMYFUNCTION("""COMPUTED_VALUE"""),16.0)</f>
        <v>16</v>
      </c>
      <c r="F10" s="1">
        <f>IFERROR(__xludf.DUMMYFUNCTION("""COMPUTED_VALUE"""),51.0)</f>
        <v>51</v>
      </c>
      <c r="G10" s="1">
        <f>IFERROR(__xludf.DUMMYFUNCTION("""COMPUTED_VALUE"""),48.0)</f>
        <v>48</v>
      </c>
      <c r="H10" s="1" t="str">
        <f>IFERROR(__xludf.DUMMYFUNCTION("""COMPUTED_VALUE"""),"+3")</f>
        <v>+3</v>
      </c>
      <c r="I10" s="1">
        <f>IFERROR(__xludf.DUMMYFUNCTION("""COMPUTED_VALUE"""),52.0)</f>
        <v>52</v>
      </c>
    </row>
    <row r="11">
      <c r="A11" s="1" t="str">
        <f>IFERROR(__xludf.DUMMYFUNCTION("""COMPUTED_VALUE"""),"10WHUWest Ham United")</f>
        <v>10WHUWest Ham United</v>
      </c>
      <c r="B11" s="1">
        <f>IFERROR(__xludf.DUMMYFUNCTION("""COMPUTED_VALUE"""),38.0)</f>
        <v>38</v>
      </c>
      <c r="C11" s="1">
        <f>IFERROR(__xludf.DUMMYFUNCTION("""COMPUTED_VALUE"""),15.0)</f>
        <v>15</v>
      </c>
      <c r="D11" s="1">
        <f>IFERROR(__xludf.DUMMYFUNCTION("""COMPUTED_VALUE"""),7.0)</f>
        <v>7</v>
      </c>
      <c r="E11" s="1">
        <f>IFERROR(__xludf.DUMMYFUNCTION("""COMPUTED_VALUE"""),16.0)</f>
        <v>16</v>
      </c>
      <c r="F11" s="1">
        <f>IFERROR(__xludf.DUMMYFUNCTION("""COMPUTED_VALUE"""),52.0)</f>
        <v>52</v>
      </c>
      <c r="G11" s="1">
        <f>IFERROR(__xludf.DUMMYFUNCTION("""COMPUTED_VALUE"""),55.0)</f>
        <v>55</v>
      </c>
      <c r="H11" s="1">
        <f>IFERROR(__xludf.DUMMYFUNCTION("""COMPUTED_VALUE"""),-3.0)</f>
        <v>-3</v>
      </c>
      <c r="I11" s="1">
        <f>IFERROR(__xludf.DUMMYFUNCTION("""COMPUTED_VALUE"""),52.0)</f>
        <v>52</v>
      </c>
    </row>
    <row r="12">
      <c r="A12" s="1" t="str">
        <f>IFERROR(__xludf.DUMMYFUNCTION("""COMPUTED_VALUE"""),"11WATWatford")</f>
        <v>11WATWatford</v>
      </c>
      <c r="B12" s="1">
        <f>IFERROR(__xludf.DUMMYFUNCTION("""COMPUTED_VALUE"""),38.0)</f>
        <v>38</v>
      </c>
      <c r="C12" s="1">
        <f>IFERROR(__xludf.DUMMYFUNCTION("""COMPUTED_VALUE"""),14.0)</f>
        <v>14</v>
      </c>
      <c r="D12" s="1">
        <f>IFERROR(__xludf.DUMMYFUNCTION("""COMPUTED_VALUE"""),8.0)</f>
        <v>8</v>
      </c>
      <c r="E12" s="1">
        <f>IFERROR(__xludf.DUMMYFUNCTION("""COMPUTED_VALUE"""),16.0)</f>
        <v>16</v>
      </c>
      <c r="F12" s="1">
        <f>IFERROR(__xludf.DUMMYFUNCTION("""COMPUTED_VALUE"""),52.0)</f>
        <v>52</v>
      </c>
      <c r="G12" s="1">
        <f>IFERROR(__xludf.DUMMYFUNCTION("""COMPUTED_VALUE"""),59.0)</f>
        <v>59</v>
      </c>
      <c r="H12" s="1">
        <f>IFERROR(__xludf.DUMMYFUNCTION("""COMPUTED_VALUE"""),-7.0)</f>
        <v>-7</v>
      </c>
      <c r="I12" s="1">
        <f>IFERROR(__xludf.DUMMYFUNCTION("""COMPUTED_VALUE"""),50.0)</f>
        <v>50</v>
      </c>
    </row>
    <row r="13">
      <c r="A13" s="1" t="str">
        <f>IFERROR(__xludf.DUMMYFUNCTION("""COMPUTED_VALUE"""),"12CRYCrystal Palace")</f>
        <v>12CRYCrystal Palace</v>
      </c>
      <c r="B13" s="1">
        <f>IFERROR(__xludf.DUMMYFUNCTION("""COMPUTED_VALUE"""),38.0)</f>
        <v>38</v>
      </c>
      <c r="C13" s="1">
        <f>IFERROR(__xludf.DUMMYFUNCTION("""COMPUTED_VALUE"""),14.0)</f>
        <v>14</v>
      </c>
      <c r="D13" s="1">
        <f>IFERROR(__xludf.DUMMYFUNCTION("""COMPUTED_VALUE"""),7.0)</f>
        <v>7</v>
      </c>
      <c r="E13" s="1">
        <f>IFERROR(__xludf.DUMMYFUNCTION("""COMPUTED_VALUE"""),17.0)</f>
        <v>17</v>
      </c>
      <c r="F13" s="1">
        <f>IFERROR(__xludf.DUMMYFUNCTION("""COMPUTED_VALUE"""),51.0)</f>
        <v>51</v>
      </c>
      <c r="G13" s="1">
        <f>IFERROR(__xludf.DUMMYFUNCTION("""COMPUTED_VALUE"""),53.0)</f>
        <v>53</v>
      </c>
      <c r="H13" s="1">
        <f>IFERROR(__xludf.DUMMYFUNCTION("""COMPUTED_VALUE"""),-2.0)</f>
        <v>-2</v>
      </c>
      <c r="I13" s="1">
        <f>IFERROR(__xludf.DUMMYFUNCTION("""COMPUTED_VALUE"""),49.0)</f>
        <v>49</v>
      </c>
    </row>
    <row r="14">
      <c r="A14" s="1" t="str">
        <f>IFERROR(__xludf.DUMMYFUNCTION("""COMPUTED_VALUE"""),"13NEWNewcastle United")</f>
        <v>13NEWNewcastle United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IFERROR(__xludf.DUMMYFUNCTION("""COMPUTED_VALUE"""),42.0)</f>
        <v>42</v>
      </c>
      <c r="G14" s="1">
        <f>IFERROR(__xludf.DUMMYFUNCTION("""COMPUTED_VALUE"""),48.0)</f>
        <v>48</v>
      </c>
      <c r="H14" s="1">
        <f>IFERROR(__xludf.DUMMYFUNCTION("""COMPUTED_VALUE"""),-6.0)</f>
        <v>-6</v>
      </c>
      <c r="I14" s="1">
        <f>IFERROR(__xludf.DUMMYFUNCTION("""COMPUTED_VALUE"""),45.0)</f>
        <v>45</v>
      </c>
    </row>
    <row r="15">
      <c r="A15" s="1" t="str">
        <f>IFERROR(__xludf.DUMMYFUNCTION("""COMPUTED_VALUE"""),"14BOUAFC Bournemouth")</f>
        <v>14BOUAFC Bournemouth</v>
      </c>
      <c r="B15" s="1">
        <f>IFERROR(__xludf.DUMMYFUNCTION("""COMPUTED_VALUE"""),38.0)</f>
        <v>38</v>
      </c>
      <c r="C15" s="1">
        <f>IFERROR(__xludf.DUMMYFUNCTION("""COMPUTED_VALUE"""),13.0)</f>
        <v>13</v>
      </c>
      <c r="D15" s="1">
        <f>IFERROR(__xludf.DUMMYFUNCTION("""COMPUTED_VALUE"""),6.0)</f>
        <v>6</v>
      </c>
      <c r="E15" s="1">
        <f>IFERROR(__xludf.DUMMYFUNCTION("""COMPUTED_VALUE"""),19.0)</f>
        <v>19</v>
      </c>
      <c r="F15" s="1">
        <f>IFERROR(__xludf.DUMMYFUNCTION("""COMPUTED_VALUE"""),56.0)</f>
        <v>56</v>
      </c>
      <c r="G15" s="1">
        <f>IFERROR(__xludf.DUMMYFUNCTION("""COMPUTED_VALUE"""),70.0)</f>
        <v>70</v>
      </c>
      <c r="H15" s="1">
        <f>IFERROR(__xludf.DUMMYFUNCTION("""COMPUTED_VALUE"""),-14.0)</f>
        <v>-14</v>
      </c>
      <c r="I15" s="1">
        <f>IFERROR(__xludf.DUMMYFUNCTION("""COMPUTED_VALUE"""),45.0)</f>
        <v>45</v>
      </c>
    </row>
    <row r="16">
      <c r="A16" s="1" t="str">
        <f>IFERROR(__xludf.DUMMYFUNCTION("""COMPUTED_VALUE"""),"15BURBurnley")</f>
        <v>15BURBurnley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IFERROR(__xludf.DUMMYFUNCTION("""COMPUTED_VALUE"""),7.0)</f>
        <v>7</v>
      </c>
      <c r="E16" s="1">
        <f>IFERROR(__xludf.DUMMYFUNCTION("""COMPUTED_VALUE"""),20.0)</f>
        <v>20</v>
      </c>
      <c r="F16" s="1">
        <f>IFERROR(__xludf.DUMMYFUNCTION("""COMPUTED_VALUE"""),45.0)</f>
        <v>45</v>
      </c>
      <c r="G16" s="1">
        <f>IFERROR(__xludf.DUMMYFUNCTION("""COMPUTED_VALUE"""),68.0)</f>
        <v>68</v>
      </c>
      <c r="H16" s="1">
        <f>IFERROR(__xludf.DUMMYFUNCTION("""COMPUTED_VALUE"""),-23.0)</f>
        <v>-23</v>
      </c>
      <c r="I16" s="1">
        <f>IFERROR(__xludf.DUMMYFUNCTION("""COMPUTED_VALUE"""),40.0)</f>
        <v>40</v>
      </c>
    </row>
    <row r="17">
      <c r="A17" s="1" t="str">
        <f>IFERROR(__xludf.DUMMYFUNCTION("""COMPUTED_VALUE"""),"16SOUSouthampton")</f>
        <v>16SOUSouthampton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IFERROR(__xludf.DUMMYFUNCTION("""COMPUTED_VALUE"""),12.0)</f>
        <v>12</v>
      </c>
      <c r="E17" s="1">
        <f>IFERROR(__xludf.DUMMYFUNCTION("""COMPUTED_VALUE"""),17.0)</f>
        <v>17</v>
      </c>
      <c r="F17" s="1">
        <f>IFERROR(__xludf.DUMMYFUNCTION("""COMPUTED_VALUE"""),45.0)</f>
        <v>45</v>
      </c>
      <c r="G17" s="1">
        <f>IFERROR(__xludf.DUMMYFUNCTION("""COMPUTED_VALUE"""),65.0)</f>
        <v>65</v>
      </c>
      <c r="H17" s="1">
        <f>IFERROR(__xludf.DUMMYFUNCTION("""COMPUTED_VALUE"""),-20.0)</f>
        <v>-20</v>
      </c>
      <c r="I17" s="1">
        <f>IFERROR(__xludf.DUMMYFUNCTION("""COMPUTED_VALUE"""),39.0)</f>
        <v>39</v>
      </c>
    </row>
    <row r="18">
      <c r="A18" s="1" t="str">
        <f>IFERROR(__xludf.DUMMYFUNCTION("""COMPUTED_VALUE"""),"17BHABrighton &amp; Hove Albion")</f>
        <v>17BHABrighton &amp; Hove Albion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IFERROR(__xludf.DUMMYFUNCTION("""COMPUTED_VALUE"""),9.0)</f>
        <v>9</v>
      </c>
      <c r="E18" s="1">
        <f>IFERROR(__xludf.DUMMYFUNCTION("""COMPUTED_VALUE"""),20.0)</f>
        <v>20</v>
      </c>
      <c r="F18" s="1">
        <f>IFERROR(__xludf.DUMMYFUNCTION("""COMPUTED_VALUE"""),35.0)</f>
        <v>35</v>
      </c>
      <c r="G18" s="1">
        <f>IFERROR(__xludf.DUMMYFUNCTION("""COMPUTED_VALUE"""),60.0)</f>
        <v>60</v>
      </c>
      <c r="H18" s="1">
        <f>IFERROR(__xludf.DUMMYFUNCTION("""COMPUTED_VALUE"""),-25.0)</f>
        <v>-25</v>
      </c>
      <c r="I18" s="1">
        <f>IFERROR(__xludf.DUMMYFUNCTION("""COMPUTED_VALUE"""),36.0)</f>
        <v>36</v>
      </c>
    </row>
    <row r="19">
      <c r="A19" s="1" t="str">
        <f>IFERROR(__xludf.DUMMYFUNCTION("""COMPUTED_VALUE"""),"18CARCardiff City")</f>
        <v>18CARCardiff City</v>
      </c>
      <c r="B19" s="1">
        <f>IFERROR(__xludf.DUMMYFUNCTION("""COMPUTED_VALUE"""),38.0)</f>
        <v>38</v>
      </c>
      <c r="C19" s="1">
        <f>IFERROR(__xludf.DUMMYFUNCTION("""COMPUTED_VALUE"""),10.0)</f>
        <v>10</v>
      </c>
      <c r="D19" s="1">
        <f>IFERROR(__xludf.DUMMYFUNCTION("""COMPUTED_VALUE"""),4.0)</f>
        <v>4</v>
      </c>
      <c r="E19" s="1">
        <f>IFERROR(__xludf.DUMMYFUNCTION("""COMPUTED_VALUE"""),24.0)</f>
        <v>24</v>
      </c>
      <c r="F19" s="1">
        <f>IFERROR(__xludf.DUMMYFUNCTION("""COMPUTED_VALUE"""),34.0)</f>
        <v>34</v>
      </c>
      <c r="G19" s="1">
        <f>IFERROR(__xludf.DUMMYFUNCTION("""COMPUTED_VALUE"""),69.0)</f>
        <v>69</v>
      </c>
      <c r="H19" s="1">
        <f>IFERROR(__xludf.DUMMYFUNCTION("""COMPUTED_VALUE"""),-35.0)</f>
        <v>-35</v>
      </c>
      <c r="I19" s="1">
        <f>IFERROR(__xludf.DUMMYFUNCTION("""COMPUTED_VALUE"""),34.0)</f>
        <v>34</v>
      </c>
    </row>
    <row r="20">
      <c r="A20" s="1" t="str">
        <f>IFERROR(__xludf.DUMMYFUNCTION("""COMPUTED_VALUE"""),"19FULFulham")</f>
        <v>19FULFulham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IFERROR(__xludf.DUMMYFUNCTION("""COMPUTED_VALUE"""),5.0)</f>
        <v>5</v>
      </c>
      <c r="E20" s="1">
        <f>IFERROR(__xludf.DUMMYFUNCTION("""COMPUTED_VALUE"""),26.0)</f>
        <v>26</v>
      </c>
      <c r="F20" s="1">
        <f>IFERROR(__xludf.DUMMYFUNCTION("""COMPUTED_VALUE"""),34.0)</f>
        <v>34</v>
      </c>
      <c r="G20" s="1">
        <f>IFERROR(__xludf.DUMMYFUNCTION("""COMPUTED_VALUE"""),81.0)</f>
        <v>81</v>
      </c>
      <c r="H20" s="1">
        <f>IFERROR(__xludf.DUMMYFUNCTION("""COMPUTED_VALUE"""),-47.0)</f>
        <v>-47</v>
      </c>
      <c r="I20" s="1">
        <f>IFERROR(__xludf.DUMMYFUNCTION("""COMPUTED_VALUE"""),26.0)</f>
        <v>26</v>
      </c>
    </row>
    <row r="21">
      <c r="A21" s="1" t="str">
        <f>IFERROR(__xludf.DUMMYFUNCTION("""COMPUTED_VALUE"""),"20HUDHuddersfield Town")</f>
        <v>20HUDHuddersfield Town</v>
      </c>
      <c r="B21" s="1">
        <f>IFERROR(__xludf.DUMMYFUNCTION("""COMPUTED_VALUE"""),38.0)</f>
        <v>38</v>
      </c>
      <c r="C21" s="1">
        <f>IFERROR(__xludf.DUMMYFUNCTION("""COMPUTED_VALUE"""),3.0)</f>
        <v>3</v>
      </c>
      <c r="D21" s="1">
        <f>IFERROR(__xludf.DUMMYFUNCTION("""COMPUTED_VALUE"""),7.0)</f>
        <v>7</v>
      </c>
      <c r="E21" s="1">
        <f>IFERROR(__xludf.DUMMYFUNCTION("""COMPUTED_VALUE"""),28.0)</f>
        <v>28</v>
      </c>
      <c r="F21" s="1">
        <f>IFERROR(__xludf.DUMMYFUNCTION("""COMPUTED_VALUE"""),22.0)</f>
        <v>22</v>
      </c>
      <c r="G21" s="1">
        <f>IFERROR(__xludf.DUMMYFUNCTION("""COMPUTED_VALUE"""),76.0)</f>
        <v>76</v>
      </c>
      <c r="H21" s="1">
        <f>IFERROR(__xludf.DUMMYFUNCTION("""COMPUTED_VALUE"""),-54.0)</f>
        <v>-54</v>
      </c>
      <c r="I21" s="1">
        <f>IFERROR(__xludf.DUMMYFUNCTION("""COMPUTED_VALUE"""),16.0)</f>
        <v>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IFERROR(__xludf.DUMMYFUNCTION("IMPORTHTML(""https://www.espn.com/soccer/standings/_/league/ENG.1/season/2017"",""table"",1)"),"2017-2018")</f>
        <v>2017-2018</v>
      </c>
      <c r="B1" s="1" t="str">
        <f>IFERROR(__xludf.DUMMYFUNCTION("IMPORTHTML(""https://www.espn.com/soccer/standings/_/league/ENG.1/season/2017"",""table"",2)"),"GP")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IFERROR(__xludf.DUMMYFUNCTION("""COMPUTED_VALUE"""),"1MNCManchester City")</f>
        <v>1MNCManchester City</v>
      </c>
      <c r="B2" s="1">
        <f>IFERROR(__xludf.DUMMYFUNCTION("""COMPUTED_VALUE"""),38.0)</f>
        <v>38</v>
      </c>
      <c r="C2" s="1">
        <f>IFERROR(__xludf.DUMMYFUNCTION("""COMPUTED_VALUE"""),32.0)</f>
        <v>32</v>
      </c>
      <c r="D2" s="1">
        <f>IFERROR(__xludf.DUMMYFUNCTION("""COMPUTED_VALUE"""),4.0)</f>
        <v>4</v>
      </c>
      <c r="E2" s="1">
        <f>IFERROR(__xludf.DUMMYFUNCTION("""COMPUTED_VALUE"""),2.0)</f>
        <v>2</v>
      </c>
      <c r="F2" s="1">
        <f>IFERROR(__xludf.DUMMYFUNCTION("""COMPUTED_VALUE"""),106.0)</f>
        <v>106</v>
      </c>
      <c r="G2" s="1">
        <f>IFERROR(__xludf.DUMMYFUNCTION("""COMPUTED_VALUE"""),27.0)</f>
        <v>27</v>
      </c>
      <c r="H2" s="1" t="str">
        <f>IFERROR(__xludf.DUMMYFUNCTION("""COMPUTED_VALUE"""),"+79")</f>
        <v>+79</v>
      </c>
      <c r="I2" s="1">
        <f>IFERROR(__xludf.DUMMYFUNCTION("""COMPUTED_VALUE"""),100.0)</f>
        <v>100</v>
      </c>
    </row>
    <row r="3">
      <c r="A3" s="1" t="str">
        <f>IFERROR(__xludf.DUMMYFUNCTION("""COMPUTED_VALUE"""),"2MANManchester United")</f>
        <v>2MANManchester United</v>
      </c>
      <c r="B3" s="1">
        <f>IFERROR(__xludf.DUMMYFUNCTION("""COMPUTED_VALUE"""),38.0)</f>
        <v>38</v>
      </c>
      <c r="C3" s="1">
        <f>IFERROR(__xludf.DUMMYFUNCTION("""COMPUTED_VALUE"""),25.0)</f>
        <v>25</v>
      </c>
      <c r="D3" s="1">
        <f>IFERROR(__xludf.DUMMYFUNCTION("""COMPUTED_VALUE"""),6.0)</f>
        <v>6</v>
      </c>
      <c r="E3" s="1">
        <f>IFERROR(__xludf.DUMMYFUNCTION("""COMPUTED_VALUE"""),7.0)</f>
        <v>7</v>
      </c>
      <c r="F3" s="1">
        <f>IFERROR(__xludf.DUMMYFUNCTION("""COMPUTED_VALUE"""),68.0)</f>
        <v>68</v>
      </c>
      <c r="G3" s="1">
        <f>IFERROR(__xludf.DUMMYFUNCTION("""COMPUTED_VALUE"""),28.0)</f>
        <v>28</v>
      </c>
      <c r="H3" s="1" t="str">
        <f>IFERROR(__xludf.DUMMYFUNCTION("""COMPUTED_VALUE"""),"+40")</f>
        <v>+40</v>
      </c>
      <c r="I3" s="1">
        <f>IFERROR(__xludf.DUMMYFUNCTION("""COMPUTED_VALUE"""),81.0)</f>
        <v>81</v>
      </c>
    </row>
    <row r="4">
      <c r="A4" s="1" t="str">
        <f>IFERROR(__xludf.DUMMYFUNCTION("""COMPUTED_VALUE"""),"3TOTTottenham Hotspur")</f>
        <v>3TOTTottenham Hotspur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IFERROR(__xludf.DUMMYFUNCTION("""COMPUTED_VALUE"""),8.0)</f>
        <v>8</v>
      </c>
      <c r="E4" s="1">
        <f>IFERROR(__xludf.DUMMYFUNCTION("""COMPUTED_VALUE"""),7.0)</f>
        <v>7</v>
      </c>
      <c r="F4" s="1">
        <f>IFERROR(__xludf.DUMMYFUNCTION("""COMPUTED_VALUE"""),74.0)</f>
        <v>74</v>
      </c>
      <c r="G4" s="1">
        <f>IFERROR(__xludf.DUMMYFUNCTION("""COMPUTED_VALUE"""),36.0)</f>
        <v>36</v>
      </c>
      <c r="H4" s="1" t="str">
        <f>IFERROR(__xludf.DUMMYFUNCTION("""COMPUTED_VALUE"""),"+38")</f>
        <v>+38</v>
      </c>
      <c r="I4" s="1">
        <f>IFERROR(__xludf.DUMMYFUNCTION("""COMPUTED_VALUE"""),77.0)</f>
        <v>77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IFERROR(__xludf.DUMMYFUNCTION("""COMPUTED_VALUE"""),21.0)</f>
        <v>21</v>
      </c>
      <c r="D5" s="1">
        <f>IFERROR(__xludf.DUMMYFUNCTION("""COMPUTED_VALUE"""),12.0)</f>
        <v>12</v>
      </c>
      <c r="E5" s="1">
        <f>IFERROR(__xludf.DUMMYFUNCTION("""COMPUTED_VALUE"""),5.0)</f>
        <v>5</v>
      </c>
      <c r="F5" s="1">
        <f>IFERROR(__xludf.DUMMYFUNCTION("""COMPUTED_VALUE"""),84.0)</f>
        <v>84</v>
      </c>
      <c r="G5" s="1">
        <f>IFERROR(__xludf.DUMMYFUNCTION("""COMPUTED_VALUE"""),38.0)</f>
        <v>38</v>
      </c>
      <c r="H5" s="1" t="str">
        <f>IFERROR(__xludf.DUMMYFUNCTION("""COMPUTED_VALUE"""),"+46")</f>
        <v>+46</v>
      </c>
      <c r="I5" s="1">
        <f>IFERROR(__xludf.DUMMYFUNCTION("""COMPUTED_VALUE"""),75.0)</f>
        <v>75</v>
      </c>
    </row>
    <row r="6">
      <c r="A6" s="1" t="str">
        <f>IFERROR(__xludf.DUMMYFUNCTION("""COMPUTED_VALUE"""),"5CHEChelsea")</f>
        <v>5CHEChelsea</v>
      </c>
      <c r="B6" s="1">
        <f>IFERROR(__xludf.DUMMYFUNCTION("""COMPUTED_VALUE"""),38.0)</f>
        <v>38</v>
      </c>
      <c r="C6" s="1">
        <f>IFERROR(__xludf.DUMMYFUNCTION("""COMPUTED_VALUE"""),21.0)</f>
        <v>21</v>
      </c>
      <c r="D6" s="1">
        <f>IFERROR(__xludf.DUMMYFUNCTION("""COMPUTED_VALUE"""),7.0)</f>
        <v>7</v>
      </c>
      <c r="E6" s="1">
        <f>IFERROR(__xludf.DUMMYFUNCTION("""COMPUTED_VALUE"""),10.0)</f>
        <v>10</v>
      </c>
      <c r="F6" s="1">
        <f>IFERROR(__xludf.DUMMYFUNCTION("""COMPUTED_VALUE"""),62.0)</f>
        <v>62</v>
      </c>
      <c r="G6" s="1">
        <f>IFERROR(__xludf.DUMMYFUNCTION("""COMPUTED_VALUE"""),38.0)</f>
        <v>38</v>
      </c>
      <c r="H6" s="1" t="str">
        <f>IFERROR(__xludf.DUMMYFUNCTION("""COMPUTED_VALUE"""),"+24")</f>
        <v>+24</v>
      </c>
      <c r="I6" s="1">
        <f>IFERROR(__xludf.DUMMYFUNCTION("""COMPUTED_VALUE"""),70.0)</f>
        <v>70</v>
      </c>
    </row>
    <row r="7">
      <c r="A7" s="1" t="str">
        <f>IFERROR(__xludf.DUMMYFUNCTION("""COMPUTED_VALUE"""),"6ARSArsenal")</f>
        <v>6ARSArsenal</v>
      </c>
      <c r="B7" s="1">
        <f>IFERROR(__xludf.DUMMYFUNCTION("""COMPUTED_VALUE"""),38.0)</f>
        <v>38</v>
      </c>
      <c r="C7" s="1">
        <f>IFERROR(__xludf.DUMMYFUNCTION("""COMPUTED_VALUE"""),19.0)</f>
        <v>19</v>
      </c>
      <c r="D7" s="1">
        <f>IFERROR(__xludf.DUMMYFUNCTION("""COMPUTED_VALUE"""),6.0)</f>
        <v>6</v>
      </c>
      <c r="E7" s="1">
        <f>IFERROR(__xludf.DUMMYFUNCTION("""COMPUTED_VALUE"""),13.0)</f>
        <v>13</v>
      </c>
      <c r="F7" s="1">
        <f>IFERROR(__xludf.DUMMYFUNCTION("""COMPUTED_VALUE"""),74.0)</f>
        <v>74</v>
      </c>
      <c r="G7" s="1">
        <f>IFERROR(__xludf.DUMMYFUNCTION("""COMPUTED_VALUE"""),51.0)</f>
        <v>51</v>
      </c>
      <c r="H7" s="1" t="str">
        <f>IFERROR(__xludf.DUMMYFUNCTION("""COMPUTED_VALUE"""),"+23")</f>
        <v>+23</v>
      </c>
      <c r="I7" s="1">
        <f>IFERROR(__xludf.DUMMYFUNCTION("""COMPUTED_VALUE"""),63.0)</f>
        <v>63</v>
      </c>
    </row>
    <row r="8">
      <c r="A8" s="1" t="str">
        <f>IFERROR(__xludf.DUMMYFUNCTION("""COMPUTED_VALUE"""),"7BURBurnley")</f>
        <v>7BURBurnley</v>
      </c>
      <c r="B8" s="1">
        <f>IFERROR(__xludf.DUMMYFUNCTION("""COMPUTED_VALUE"""),38.0)</f>
        <v>38</v>
      </c>
      <c r="C8" s="1">
        <f>IFERROR(__xludf.DUMMYFUNCTION("""COMPUTED_VALUE"""),14.0)</f>
        <v>14</v>
      </c>
      <c r="D8" s="1">
        <f>IFERROR(__xludf.DUMMYFUNCTION("""COMPUTED_VALUE"""),12.0)</f>
        <v>12</v>
      </c>
      <c r="E8" s="1">
        <f>IFERROR(__xludf.DUMMYFUNCTION("""COMPUTED_VALUE"""),12.0)</f>
        <v>12</v>
      </c>
      <c r="F8" s="1">
        <f>IFERROR(__xludf.DUMMYFUNCTION("""COMPUTED_VALUE"""),36.0)</f>
        <v>36</v>
      </c>
      <c r="G8" s="1">
        <f>IFERROR(__xludf.DUMMYFUNCTION("""COMPUTED_VALUE"""),39.0)</f>
        <v>39</v>
      </c>
      <c r="H8" s="1">
        <f>IFERROR(__xludf.DUMMYFUNCTION("""COMPUTED_VALUE"""),-3.0)</f>
        <v>-3</v>
      </c>
      <c r="I8" s="1">
        <f>IFERROR(__xludf.DUMMYFUNCTION("""COMPUTED_VALUE"""),54.0)</f>
        <v>54</v>
      </c>
    </row>
    <row r="9">
      <c r="A9" s="1" t="str">
        <f>IFERROR(__xludf.DUMMYFUNCTION("""COMPUTED_VALUE"""),"8EVEEverton")</f>
        <v>8EVEEverton</v>
      </c>
      <c r="B9" s="1">
        <f>IFERROR(__xludf.DUMMYFUNCTION("""COMPUTED_VALUE"""),38.0)</f>
        <v>38</v>
      </c>
      <c r="C9" s="1">
        <f>IFERROR(__xludf.DUMMYFUNCTION("""COMPUTED_VALUE"""),13.0)</f>
        <v>13</v>
      </c>
      <c r="D9" s="1">
        <f>IFERROR(__xludf.DUMMYFUNCTION("""COMPUTED_VALUE"""),10.0)</f>
        <v>10</v>
      </c>
      <c r="E9" s="1">
        <f>IFERROR(__xludf.DUMMYFUNCTION("""COMPUTED_VALUE"""),15.0)</f>
        <v>15</v>
      </c>
      <c r="F9" s="1">
        <f>IFERROR(__xludf.DUMMYFUNCTION("""COMPUTED_VALUE"""),44.0)</f>
        <v>44</v>
      </c>
      <c r="G9" s="1">
        <f>IFERROR(__xludf.DUMMYFUNCTION("""COMPUTED_VALUE"""),58.0)</f>
        <v>58</v>
      </c>
      <c r="H9" s="1">
        <f>IFERROR(__xludf.DUMMYFUNCTION("""COMPUTED_VALUE"""),-14.0)</f>
        <v>-14</v>
      </c>
      <c r="I9" s="1">
        <f>IFERROR(__xludf.DUMMYFUNCTION("""COMPUTED_VALUE"""),49.0)</f>
        <v>49</v>
      </c>
    </row>
    <row r="10">
      <c r="A10" s="1" t="str">
        <f>IFERROR(__xludf.DUMMYFUNCTION("""COMPUTED_VALUE"""),"9LEILeicester City")</f>
        <v>9LEILeicester City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IFERROR(__xludf.DUMMYFUNCTION("""COMPUTED_VALUE"""),11.0)</f>
        <v>11</v>
      </c>
      <c r="E10" s="1">
        <f>IFERROR(__xludf.DUMMYFUNCTION("""COMPUTED_VALUE"""),15.0)</f>
        <v>15</v>
      </c>
      <c r="F10" s="1">
        <f>IFERROR(__xludf.DUMMYFUNCTION("""COMPUTED_VALUE"""),56.0)</f>
        <v>56</v>
      </c>
      <c r="G10" s="1">
        <f>IFERROR(__xludf.DUMMYFUNCTION("""COMPUTED_VALUE"""),60.0)</f>
        <v>60</v>
      </c>
      <c r="H10" s="1">
        <f>IFERROR(__xludf.DUMMYFUNCTION("""COMPUTED_VALUE"""),-4.0)</f>
        <v>-4</v>
      </c>
      <c r="I10" s="1">
        <f>IFERROR(__xludf.DUMMYFUNCTION("""COMPUTED_VALUE"""),47.0)</f>
        <v>47</v>
      </c>
    </row>
    <row r="11">
      <c r="A11" s="1" t="str">
        <f>IFERROR(__xludf.DUMMYFUNCTION("""COMPUTED_VALUE"""),"10NEWNewcastle United")</f>
        <v>10NEWNewcastle United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IFERROR(__xludf.DUMMYFUNCTION("""COMPUTED_VALUE"""),8.0)</f>
        <v>8</v>
      </c>
      <c r="E11" s="1">
        <f>IFERROR(__xludf.DUMMYFUNCTION("""COMPUTED_VALUE"""),18.0)</f>
        <v>18</v>
      </c>
      <c r="F11" s="1">
        <f>IFERROR(__xludf.DUMMYFUNCTION("""COMPUTED_VALUE"""),39.0)</f>
        <v>39</v>
      </c>
      <c r="G11" s="1">
        <f>IFERROR(__xludf.DUMMYFUNCTION("""COMPUTED_VALUE"""),47.0)</f>
        <v>47</v>
      </c>
      <c r="H11" s="1">
        <f>IFERROR(__xludf.DUMMYFUNCTION("""COMPUTED_VALUE"""),-8.0)</f>
        <v>-8</v>
      </c>
      <c r="I11" s="1">
        <f>IFERROR(__xludf.DUMMYFUNCTION("""COMPUTED_VALUE"""),44.0)</f>
        <v>44</v>
      </c>
    </row>
    <row r="12">
      <c r="A12" s="1" t="str">
        <f>IFERROR(__xludf.DUMMYFUNCTION("""COMPUTED_VALUE"""),"11CRYCrystal Palace")</f>
        <v>11CRYCrystal Palace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IFERROR(__xludf.DUMMYFUNCTION("""COMPUTED_VALUE"""),11.0)</f>
        <v>11</v>
      </c>
      <c r="E12" s="1">
        <f>IFERROR(__xludf.DUMMYFUNCTION("""COMPUTED_VALUE"""),16.0)</f>
        <v>16</v>
      </c>
      <c r="F12" s="1">
        <f>IFERROR(__xludf.DUMMYFUNCTION("""COMPUTED_VALUE"""),45.0)</f>
        <v>45</v>
      </c>
      <c r="G12" s="1">
        <f>IFERROR(__xludf.DUMMYFUNCTION("""COMPUTED_VALUE"""),55.0)</f>
        <v>55</v>
      </c>
      <c r="H12" s="1">
        <f>IFERROR(__xludf.DUMMYFUNCTION("""COMPUTED_VALUE"""),-10.0)</f>
        <v>-10</v>
      </c>
      <c r="I12" s="1">
        <f>IFERROR(__xludf.DUMMYFUNCTION("""COMPUTED_VALUE"""),44.0)</f>
        <v>44</v>
      </c>
    </row>
    <row r="13">
      <c r="A13" s="1" t="str">
        <f>IFERROR(__xludf.DUMMYFUNCTION("""COMPUTED_VALUE"""),"12BOUAFC Bournemouth")</f>
        <v>12BOUAFC Bournemouth</v>
      </c>
      <c r="B13" s="1">
        <f>IFERROR(__xludf.DUMMYFUNCTION("""COMPUTED_VALUE"""),38.0)</f>
        <v>38</v>
      </c>
      <c r="C13" s="1">
        <f>IFERROR(__xludf.DUMMYFUNCTION("""COMPUTED_VALUE"""),11.0)</f>
        <v>11</v>
      </c>
      <c r="D13" s="1">
        <f>IFERROR(__xludf.DUMMYFUNCTION("""COMPUTED_VALUE"""),11.0)</f>
        <v>11</v>
      </c>
      <c r="E13" s="1">
        <f>IFERROR(__xludf.DUMMYFUNCTION("""COMPUTED_VALUE"""),16.0)</f>
        <v>16</v>
      </c>
      <c r="F13" s="1">
        <f>IFERROR(__xludf.DUMMYFUNCTION("""COMPUTED_VALUE"""),45.0)</f>
        <v>45</v>
      </c>
      <c r="G13" s="1">
        <f>IFERROR(__xludf.DUMMYFUNCTION("""COMPUTED_VALUE"""),61.0)</f>
        <v>61</v>
      </c>
      <c r="H13" s="1">
        <f>IFERROR(__xludf.DUMMYFUNCTION("""COMPUTED_VALUE"""),-16.0)</f>
        <v>-16</v>
      </c>
      <c r="I13" s="1">
        <f>IFERROR(__xludf.DUMMYFUNCTION("""COMPUTED_VALUE"""),44.0)</f>
        <v>44</v>
      </c>
    </row>
    <row r="14">
      <c r="A14" s="1" t="str">
        <f>IFERROR(__xludf.DUMMYFUNCTION("""COMPUTED_VALUE"""),"13WHUWest Ham United")</f>
        <v>13WHUWest Ham United</v>
      </c>
      <c r="B14" s="1">
        <f>IFERROR(__xludf.DUMMYFUNCTION("""COMPUTED_VALUE"""),38.0)</f>
        <v>38</v>
      </c>
      <c r="C14" s="1">
        <f>IFERROR(__xludf.DUMMYFUNCTION("""COMPUTED_VALUE"""),10.0)</f>
        <v>10</v>
      </c>
      <c r="D14" s="1">
        <f>IFERROR(__xludf.DUMMYFUNCTION("""COMPUTED_VALUE"""),12.0)</f>
        <v>12</v>
      </c>
      <c r="E14" s="1">
        <f>IFERROR(__xludf.DUMMYFUNCTION("""COMPUTED_VALUE"""),16.0)</f>
        <v>16</v>
      </c>
      <c r="F14" s="1">
        <f>IFERROR(__xludf.DUMMYFUNCTION("""COMPUTED_VALUE"""),48.0)</f>
        <v>48</v>
      </c>
      <c r="G14" s="1">
        <f>IFERROR(__xludf.DUMMYFUNCTION("""COMPUTED_VALUE"""),68.0)</f>
        <v>68</v>
      </c>
      <c r="H14" s="1">
        <f>IFERROR(__xludf.DUMMYFUNCTION("""COMPUTED_VALUE"""),-20.0)</f>
        <v>-20</v>
      </c>
      <c r="I14" s="1">
        <f>IFERROR(__xludf.DUMMYFUNCTION("""COMPUTED_VALUE"""),42.0)</f>
        <v>42</v>
      </c>
    </row>
    <row r="15">
      <c r="A15" s="1" t="str">
        <f>IFERROR(__xludf.DUMMYFUNCTION("""COMPUTED_VALUE"""),"14WATWatford")</f>
        <v>14WATWatford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IFERROR(__xludf.DUMMYFUNCTION("""COMPUTED_VALUE"""),8.0)</f>
        <v>8</v>
      </c>
      <c r="E15" s="1">
        <f>IFERROR(__xludf.DUMMYFUNCTION("""COMPUTED_VALUE"""),19.0)</f>
        <v>19</v>
      </c>
      <c r="F15" s="1">
        <f>IFERROR(__xludf.DUMMYFUNCTION("""COMPUTED_VALUE"""),44.0)</f>
        <v>44</v>
      </c>
      <c r="G15" s="1">
        <f>IFERROR(__xludf.DUMMYFUNCTION("""COMPUTED_VALUE"""),64.0)</f>
        <v>64</v>
      </c>
      <c r="H15" s="1">
        <f>IFERROR(__xludf.DUMMYFUNCTION("""COMPUTED_VALUE"""),-20.0)</f>
        <v>-20</v>
      </c>
      <c r="I15" s="1">
        <f>IFERROR(__xludf.DUMMYFUNCTION("""COMPUTED_VALUE"""),41.0)</f>
        <v>41</v>
      </c>
    </row>
    <row r="16">
      <c r="A16" s="1" t="str">
        <f>IFERROR(__xludf.DUMMYFUNCTION("""COMPUTED_VALUE"""),"15BHABrighton &amp; Hove Albion")</f>
        <v>15BHABrighton &amp; Hove Albion</v>
      </c>
      <c r="B16" s="1">
        <f>IFERROR(__xludf.DUMMYFUNCTION("""COMPUTED_VALUE"""),38.0)</f>
        <v>38</v>
      </c>
      <c r="C16" s="1">
        <f>IFERROR(__xludf.DUMMYFUNCTION("""COMPUTED_VALUE"""),9.0)</f>
        <v>9</v>
      </c>
      <c r="D16" s="1">
        <f>IFERROR(__xludf.DUMMYFUNCTION("""COMPUTED_VALUE"""),13.0)</f>
        <v>13</v>
      </c>
      <c r="E16" s="1">
        <f>IFERROR(__xludf.DUMMYFUNCTION("""COMPUTED_VALUE"""),16.0)</f>
        <v>16</v>
      </c>
      <c r="F16" s="1">
        <f>IFERROR(__xludf.DUMMYFUNCTION("""COMPUTED_VALUE"""),34.0)</f>
        <v>34</v>
      </c>
      <c r="G16" s="1">
        <f>IFERROR(__xludf.DUMMYFUNCTION("""COMPUTED_VALUE"""),54.0)</f>
        <v>54</v>
      </c>
      <c r="H16" s="1">
        <f>IFERROR(__xludf.DUMMYFUNCTION("""COMPUTED_VALUE"""),-20.0)</f>
        <v>-20</v>
      </c>
      <c r="I16" s="1">
        <f>IFERROR(__xludf.DUMMYFUNCTION("""COMPUTED_VALUE"""),40.0)</f>
        <v>40</v>
      </c>
    </row>
    <row r="17">
      <c r="A17" s="1" t="str">
        <f>IFERROR(__xludf.DUMMYFUNCTION("""COMPUTED_VALUE"""),"16HUDHuddersfield Town")</f>
        <v>16HUDHuddersfield Town</v>
      </c>
      <c r="B17" s="1">
        <f>IFERROR(__xludf.DUMMYFUNCTION("""COMPUTED_VALUE"""),38.0)</f>
        <v>38</v>
      </c>
      <c r="C17" s="1">
        <f>IFERROR(__xludf.DUMMYFUNCTION("""COMPUTED_VALUE"""),9.0)</f>
        <v>9</v>
      </c>
      <c r="D17" s="1">
        <f>IFERROR(__xludf.DUMMYFUNCTION("""COMPUTED_VALUE"""),10.0)</f>
        <v>10</v>
      </c>
      <c r="E17" s="1">
        <f>IFERROR(__xludf.DUMMYFUNCTION("""COMPUTED_VALUE"""),19.0)</f>
        <v>19</v>
      </c>
      <c r="F17" s="1">
        <f>IFERROR(__xludf.DUMMYFUNCTION("""COMPUTED_VALUE"""),28.0)</f>
        <v>28</v>
      </c>
      <c r="G17" s="1">
        <f>IFERROR(__xludf.DUMMYFUNCTION("""COMPUTED_VALUE"""),58.0)</f>
        <v>58</v>
      </c>
      <c r="H17" s="1">
        <f>IFERROR(__xludf.DUMMYFUNCTION("""COMPUTED_VALUE"""),-30.0)</f>
        <v>-30</v>
      </c>
      <c r="I17" s="1">
        <f>IFERROR(__xludf.DUMMYFUNCTION("""COMPUTED_VALUE"""),37.0)</f>
        <v>37</v>
      </c>
    </row>
    <row r="18">
      <c r="A18" s="1" t="str">
        <f>IFERROR(__xludf.DUMMYFUNCTION("""COMPUTED_VALUE"""),"17SOUSouthampton")</f>
        <v>17SOUSouthampton</v>
      </c>
      <c r="B18" s="1">
        <f>IFERROR(__xludf.DUMMYFUNCTION("""COMPUTED_VALUE"""),38.0)</f>
        <v>38</v>
      </c>
      <c r="C18" s="1">
        <f>IFERROR(__xludf.DUMMYFUNCTION("""COMPUTED_VALUE"""),7.0)</f>
        <v>7</v>
      </c>
      <c r="D18" s="1">
        <f>IFERROR(__xludf.DUMMYFUNCTION("""COMPUTED_VALUE"""),15.0)</f>
        <v>15</v>
      </c>
      <c r="E18" s="1">
        <f>IFERROR(__xludf.DUMMYFUNCTION("""COMPUTED_VALUE"""),16.0)</f>
        <v>16</v>
      </c>
      <c r="F18" s="1">
        <f>IFERROR(__xludf.DUMMYFUNCTION("""COMPUTED_VALUE"""),37.0)</f>
        <v>37</v>
      </c>
      <c r="G18" s="1">
        <f>IFERROR(__xludf.DUMMYFUNCTION("""COMPUTED_VALUE"""),56.0)</f>
        <v>56</v>
      </c>
      <c r="H18" s="1">
        <f>IFERROR(__xludf.DUMMYFUNCTION("""COMPUTED_VALUE"""),-19.0)</f>
        <v>-19</v>
      </c>
      <c r="I18" s="1">
        <f>IFERROR(__xludf.DUMMYFUNCTION("""COMPUTED_VALUE"""),36.0)</f>
        <v>36</v>
      </c>
    </row>
    <row r="19">
      <c r="A19" s="1" t="str">
        <f>IFERROR(__xludf.DUMMYFUNCTION("""COMPUTED_VALUE"""),"18SWASwansea City")</f>
        <v>18SWASwansea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IFERROR(__xludf.DUMMYFUNCTION("""COMPUTED_VALUE"""),9.0)</f>
        <v>9</v>
      </c>
      <c r="E19" s="1">
        <f>IFERROR(__xludf.DUMMYFUNCTION("""COMPUTED_VALUE"""),21.0)</f>
        <v>21</v>
      </c>
      <c r="F19" s="1">
        <f>IFERROR(__xludf.DUMMYFUNCTION("""COMPUTED_VALUE"""),28.0)</f>
        <v>28</v>
      </c>
      <c r="G19" s="1">
        <f>IFERROR(__xludf.DUMMYFUNCTION("""COMPUTED_VALUE"""),56.0)</f>
        <v>56</v>
      </c>
      <c r="H19" s="1">
        <f>IFERROR(__xludf.DUMMYFUNCTION("""COMPUTED_VALUE"""),-28.0)</f>
        <v>-28</v>
      </c>
      <c r="I19" s="1">
        <f>IFERROR(__xludf.DUMMYFUNCTION("""COMPUTED_VALUE"""),33.0)</f>
        <v>33</v>
      </c>
    </row>
    <row r="20">
      <c r="A20" s="1" t="str">
        <f>IFERROR(__xludf.DUMMYFUNCTION("""COMPUTED_VALUE"""),"19STKStoke City")</f>
        <v>19STKStoke City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IFERROR(__xludf.DUMMYFUNCTION("""COMPUTED_VALUE"""),12.0)</f>
        <v>12</v>
      </c>
      <c r="E20" s="1">
        <f>IFERROR(__xludf.DUMMYFUNCTION("""COMPUTED_VALUE"""),19.0)</f>
        <v>19</v>
      </c>
      <c r="F20" s="1">
        <f>IFERROR(__xludf.DUMMYFUNCTION("""COMPUTED_VALUE"""),35.0)</f>
        <v>35</v>
      </c>
      <c r="G20" s="1">
        <f>IFERROR(__xludf.DUMMYFUNCTION("""COMPUTED_VALUE"""),68.0)</f>
        <v>68</v>
      </c>
      <c r="H20" s="1">
        <f>IFERROR(__xludf.DUMMYFUNCTION("""COMPUTED_VALUE"""),-33.0)</f>
        <v>-33</v>
      </c>
      <c r="I20" s="1">
        <f>IFERROR(__xludf.DUMMYFUNCTION("""COMPUTED_VALUE"""),33.0)</f>
        <v>33</v>
      </c>
    </row>
    <row r="21">
      <c r="A21" s="1" t="str">
        <f>IFERROR(__xludf.DUMMYFUNCTION("""COMPUTED_VALUE"""),"20WBAWest Bromwich Albion")</f>
        <v>20WBAWest Bromwich Albion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IFERROR(__xludf.DUMMYFUNCTION("""COMPUTED_VALUE"""),13.0)</f>
        <v>13</v>
      </c>
      <c r="E21" s="1">
        <f>IFERROR(__xludf.DUMMYFUNCTION("""COMPUTED_VALUE"""),19.0)</f>
        <v>19</v>
      </c>
      <c r="F21" s="1">
        <f>IFERROR(__xludf.DUMMYFUNCTION("""COMPUTED_VALUE"""),31.0)</f>
        <v>31</v>
      </c>
      <c r="G21" s="1">
        <f>IFERROR(__xludf.DUMMYFUNCTION("""COMPUTED_VALUE"""),56.0)</f>
        <v>56</v>
      </c>
      <c r="H21" s="1">
        <f>IFERROR(__xludf.DUMMYFUNCTION("""COMPUTED_VALUE"""),-25.0)</f>
        <v>-25</v>
      </c>
      <c r="I21" s="1">
        <f>IFERROR(__xludf.DUMMYFUNCTION("""COMPUTED_VALUE"""),31.0)</f>
        <v>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IFERROR(__xludf.DUMMYFUNCTION("IMPORTHTML(""https://www.espn.com/soccer/standings/_/league/ENG.1/season/2016"",""table"",1)"),"2016-2017")</f>
        <v>2016-2017</v>
      </c>
      <c r="B1" s="1" t="str">
        <f>IFERROR(__xludf.DUMMYFUNCTION("IMPORTHTML(""https://www.espn.com/soccer/standings/_/league/ENG.1/season/2016"",""table"",2)"),"GP")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IFERROR(__xludf.DUMMYFUNCTION("""COMPUTED_VALUE"""),30.0)</f>
        <v>30</v>
      </c>
      <c r="D2" s="1">
        <f>IFERROR(__xludf.DUMMYFUNCTION("""COMPUTED_VALUE"""),3.0)</f>
        <v>3</v>
      </c>
      <c r="E2" s="1">
        <f>IFERROR(__xludf.DUMMYFUNCTION("""COMPUTED_VALUE"""),5.0)</f>
        <v>5</v>
      </c>
      <c r="F2" s="1">
        <f>IFERROR(__xludf.DUMMYFUNCTION("""COMPUTED_VALUE"""),85.0)</f>
        <v>85</v>
      </c>
      <c r="G2" s="1">
        <f>IFERROR(__xludf.DUMMYFUNCTION("""COMPUTED_VALUE"""),33.0)</f>
        <v>33</v>
      </c>
      <c r="H2" s="1" t="str">
        <f>IFERROR(__xludf.DUMMYFUNCTION("""COMPUTED_VALUE"""),"+52")</f>
        <v>+52</v>
      </c>
      <c r="I2" s="1">
        <f>IFERROR(__xludf.DUMMYFUNCTION("""COMPUTED_VALUE"""),93.0)</f>
        <v>93</v>
      </c>
    </row>
    <row r="3">
      <c r="A3" s="1" t="str">
        <f>IFERROR(__xludf.DUMMYFUNCTION("""COMPUTED_VALUE"""),"2TOTTottenham Hotspur")</f>
        <v>2TOTTottenham Hotspur</v>
      </c>
      <c r="B3" s="1">
        <f>IFERROR(__xludf.DUMMYFUNCTION("""COMPUTED_VALUE"""),38.0)</f>
        <v>38</v>
      </c>
      <c r="C3" s="1">
        <f>IFERROR(__xludf.DUMMYFUNCTION("""COMPUTED_VALUE"""),26.0)</f>
        <v>26</v>
      </c>
      <c r="D3" s="1">
        <f>IFERROR(__xludf.DUMMYFUNCTION("""COMPUTED_VALUE"""),8.0)</f>
        <v>8</v>
      </c>
      <c r="E3" s="1">
        <f>IFERROR(__xludf.DUMMYFUNCTION("""COMPUTED_VALUE"""),4.0)</f>
        <v>4</v>
      </c>
      <c r="F3" s="1">
        <f>IFERROR(__xludf.DUMMYFUNCTION("""COMPUTED_VALUE"""),86.0)</f>
        <v>86</v>
      </c>
      <c r="G3" s="1">
        <f>IFERROR(__xludf.DUMMYFUNCTION("""COMPUTED_VALUE"""),26.0)</f>
        <v>26</v>
      </c>
      <c r="H3" s="1" t="str">
        <f>IFERROR(__xludf.DUMMYFUNCTION("""COMPUTED_VALUE"""),"+60")</f>
        <v>+60</v>
      </c>
      <c r="I3" s="1">
        <f>IFERROR(__xludf.DUMMYFUNCTION("""COMPUTED_VALUE"""),86.0)</f>
        <v>86</v>
      </c>
    </row>
    <row r="4">
      <c r="A4" s="1" t="str">
        <f>IFERROR(__xludf.DUMMYFUNCTION("""COMPUTED_VALUE"""),"3MNCManchester City")</f>
        <v>3MNCManchester City</v>
      </c>
      <c r="B4" s="1">
        <f>IFERROR(__xludf.DUMMYFUNCTION("""COMPUTED_VALUE"""),38.0)</f>
        <v>38</v>
      </c>
      <c r="C4" s="1">
        <f>IFERROR(__xludf.DUMMYFUNCTION("""COMPUTED_VALUE"""),23.0)</f>
        <v>23</v>
      </c>
      <c r="D4" s="1">
        <f>IFERROR(__xludf.DUMMYFUNCTION("""COMPUTED_VALUE"""),9.0)</f>
        <v>9</v>
      </c>
      <c r="E4" s="1">
        <f>IFERROR(__xludf.DUMMYFUNCTION("""COMPUTED_VALUE"""),6.0)</f>
        <v>6</v>
      </c>
      <c r="F4" s="1">
        <f>IFERROR(__xludf.DUMMYFUNCTION("""COMPUTED_VALUE"""),80.0)</f>
        <v>80</v>
      </c>
      <c r="G4" s="1">
        <f>IFERROR(__xludf.DUMMYFUNCTION("""COMPUTED_VALUE"""),39.0)</f>
        <v>39</v>
      </c>
      <c r="H4" s="1" t="str">
        <f>IFERROR(__xludf.DUMMYFUNCTION("""COMPUTED_VALUE"""),"+41")</f>
        <v>+41</v>
      </c>
      <c r="I4" s="1">
        <f>IFERROR(__xludf.DUMMYFUNCTION("""COMPUTED_VALUE"""),78.0)</f>
        <v>78</v>
      </c>
    </row>
    <row r="5">
      <c r="A5" s="1" t="str">
        <f>IFERROR(__xludf.DUMMYFUNCTION("""COMPUTED_VALUE"""),"4LIVLiverpool")</f>
        <v>4LIVLiverpool</v>
      </c>
      <c r="B5" s="1">
        <f>IFERROR(__xludf.DUMMYFUNCTION("""COMPUTED_VALUE"""),38.0)</f>
        <v>38</v>
      </c>
      <c r="C5" s="1">
        <f>IFERROR(__xludf.DUMMYFUNCTION("""COMPUTED_VALUE"""),22.0)</f>
        <v>22</v>
      </c>
      <c r="D5" s="1">
        <f>IFERROR(__xludf.DUMMYFUNCTION("""COMPUTED_VALUE"""),10.0)</f>
        <v>10</v>
      </c>
      <c r="E5" s="1">
        <f>IFERROR(__xludf.DUMMYFUNCTION("""COMPUTED_VALUE"""),6.0)</f>
        <v>6</v>
      </c>
      <c r="F5" s="1">
        <f>IFERROR(__xludf.DUMMYFUNCTION("""COMPUTED_VALUE"""),78.0)</f>
        <v>78</v>
      </c>
      <c r="G5" s="1">
        <f>IFERROR(__xludf.DUMMYFUNCTION("""COMPUTED_VALUE"""),42.0)</f>
        <v>42</v>
      </c>
      <c r="H5" s="1" t="str">
        <f>IFERROR(__xludf.DUMMYFUNCTION("""COMPUTED_VALUE"""),"+36")</f>
        <v>+36</v>
      </c>
      <c r="I5" s="1">
        <f>IFERROR(__xludf.DUMMYFUNCTION("""COMPUTED_VALUE"""),76.0)</f>
        <v>76</v>
      </c>
    </row>
    <row r="6">
      <c r="A6" s="1" t="str">
        <f>IFERROR(__xludf.DUMMYFUNCTION("""COMPUTED_VALUE"""),"5ARSArsenal")</f>
        <v>5ARSArsenal</v>
      </c>
      <c r="B6" s="1">
        <f>IFERROR(__xludf.DUMMYFUNCTION("""COMPUTED_VALUE"""),38.0)</f>
        <v>38</v>
      </c>
      <c r="C6" s="1">
        <f>IFERROR(__xludf.DUMMYFUNCTION("""COMPUTED_VALUE"""),23.0)</f>
        <v>23</v>
      </c>
      <c r="D6" s="1">
        <f>IFERROR(__xludf.DUMMYFUNCTION("""COMPUTED_VALUE"""),6.0)</f>
        <v>6</v>
      </c>
      <c r="E6" s="1">
        <f>IFERROR(__xludf.DUMMYFUNCTION("""COMPUTED_VALUE"""),9.0)</f>
        <v>9</v>
      </c>
      <c r="F6" s="1">
        <f>IFERROR(__xludf.DUMMYFUNCTION("""COMPUTED_VALUE"""),77.0)</f>
        <v>77</v>
      </c>
      <c r="G6" s="1">
        <f>IFERROR(__xludf.DUMMYFUNCTION("""COMPUTED_VALUE"""),44.0)</f>
        <v>44</v>
      </c>
      <c r="H6" s="1" t="str">
        <f>IFERROR(__xludf.DUMMYFUNCTION("""COMPUTED_VALUE"""),"+33")</f>
        <v>+33</v>
      </c>
      <c r="I6" s="1">
        <f>IFERROR(__xludf.DUMMYFUNCTION("""COMPUTED_VALUE"""),75.0)</f>
        <v>75</v>
      </c>
    </row>
    <row r="7">
      <c r="A7" s="1" t="str">
        <f>IFERROR(__xludf.DUMMYFUNCTION("""COMPUTED_VALUE"""),"6MANManchester United")</f>
        <v>6MANManchester United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IFERROR(__xludf.DUMMYFUNCTION("""COMPUTED_VALUE"""),15.0)</f>
        <v>15</v>
      </c>
      <c r="E7" s="1">
        <f>IFERROR(__xludf.DUMMYFUNCTION("""COMPUTED_VALUE"""),5.0)</f>
        <v>5</v>
      </c>
      <c r="F7" s="1">
        <f>IFERROR(__xludf.DUMMYFUNCTION("""COMPUTED_VALUE"""),54.0)</f>
        <v>54</v>
      </c>
      <c r="G7" s="1">
        <f>IFERROR(__xludf.DUMMYFUNCTION("""COMPUTED_VALUE"""),29.0)</f>
        <v>29</v>
      </c>
      <c r="H7" s="1" t="str">
        <f>IFERROR(__xludf.DUMMYFUNCTION("""COMPUTED_VALUE"""),"+25")</f>
        <v>+25</v>
      </c>
      <c r="I7" s="1">
        <f>IFERROR(__xludf.DUMMYFUNCTION("""COMPUTED_VALUE"""),69.0)</f>
        <v>69</v>
      </c>
    </row>
    <row r="8">
      <c r="A8" s="1" t="str">
        <f>IFERROR(__xludf.DUMMYFUNCTION("""COMPUTED_VALUE"""),"7EVEEverton")</f>
        <v>7EVEEverton</v>
      </c>
      <c r="B8" s="1">
        <f>IFERROR(__xludf.DUMMYFUNCTION("""COMPUTED_VALUE"""),38.0)</f>
        <v>38</v>
      </c>
      <c r="C8" s="1">
        <f>IFERROR(__xludf.DUMMYFUNCTION("""COMPUTED_VALUE"""),17.0)</f>
        <v>17</v>
      </c>
      <c r="D8" s="1">
        <f>IFERROR(__xludf.DUMMYFUNCTION("""COMPUTED_VALUE"""),10.0)</f>
        <v>10</v>
      </c>
      <c r="E8" s="1">
        <f>IFERROR(__xludf.DUMMYFUNCTION("""COMPUTED_VALUE"""),11.0)</f>
        <v>11</v>
      </c>
      <c r="F8" s="1">
        <f>IFERROR(__xludf.DUMMYFUNCTION("""COMPUTED_VALUE"""),62.0)</f>
        <v>62</v>
      </c>
      <c r="G8" s="1">
        <f>IFERROR(__xludf.DUMMYFUNCTION("""COMPUTED_VALUE"""),44.0)</f>
        <v>44</v>
      </c>
      <c r="H8" s="1" t="str">
        <f>IFERROR(__xludf.DUMMYFUNCTION("""COMPUTED_VALUE"""),"+18")</f>
        <v>+18</v>
      </c>
      <c r="I8" s="1">
        <f>IFERROR(__xludf.DUMMYFUNCTION("""COMPUTED_VALUE"""),61.0)</f>
        <v>61</v>
      </c>
    </row>
    <row r="9">
      <c r="A9" s="1" t="str">
        <f>IFERROR(__xludf.DUMMYFUNCTION("""COMPUTED_VALUE"""),"8SOUSouthampton")</f>
        <v>8SOUSouthampton</v>
      </c>
      <c r="B9" s="1">
        <f>IFERROR(__xludf.DUMMYFUNCTION("""COMPUTED_VALUE"""),38.0)</f>
        <v>38</v>
      </c>
      <c r="C9" s="1">
        <f>IFERROR(__xludf.DUMMYFUNCTION("""COMPUTED_VALUE"""),12.0)</f>
        <v>12</v>
      </c>
      <c r="D9" s="1">
        <f>IFERROR(__xludf.DUMMYFUNCTION("""COMPUTED_VALUE"""),10.0)</f>
        <v>10</v>
      </c>
      <c r="E9" s="1">
        <f>IFERROR(__xludf.DUMMYFUNCTION("""COMPUTED_VALUE"""),16.0)</f>
        <v>16</v>
      </c>
      <c r="F9" s="1">
        <f>IFERROR(__xludf.DUMMYFUNCTION("""COMPUTED_VALUE"""),41.0)</f>
        <v>41</v>
      </c>
      <c r="G9" s="1">
        <f>IFERROR(__xludf.DUMMYFUNCTION("""COMPUTED_VALUE"""),48.0)</f>
        <v>48</v>
      </c>
      <c r="H9" s="1">
        <f>IFERROR(__xludf.DUMMYFUNCTION("""COMPUTED_VALUE"""),-7.0)</f>
        <v>-7</v>
      </c>
      <c r="I9" s="1">
        <f>IFERROR(__xludf.DUMMYFUNCTION("""COMPUTED_VALUE"""),46.0)</f>
        <v>46</v>
      </c>
    </row>
    <row r="10">
      <c r="A10" s="1" t="str">
        <f>IFERROR(__xludf.DUMMYFUNCTION("""COMPUTED_VALUE"""),"9BOUAFC Bournemouth")</f>
        <v>9BOUAFC Bournemouth</v>
      </c>
      <c r="B10" s="1">
        <f>IFERROR(__xludf.DUMMYFUNCTION("""COMPUTED_VALUE"""),38.0)</f>
        <v>38</v>
      </c>
      <c r="C10" s="1">
        <f>IFERROR(__xludf.DUMMYFUNCTION("""COMPUTED_VALUE"""),12.0)</f>
        <v>12</v>
      </c>
      <c r="D10" s="1">
        <f>IFERROR(__xludf.DUMMYFUNCTION("""COMPUTED_VALUE"""),10.0)</f>
        <v>10</v>
      </c>
      <c r="E10" s="1">
        <f>IFERROR(__xludf.DUMMYFUNCTION("""COMPUTED_VALUE"""),16.0)</f>
        <v>16</v>
      </c>
      <c r="F10" s="1">
        <f>IFERROR(__xludf.DUMMYFUNCTION("""COMPUTED_VALUE"""),55.0)</f>
        <v>55</v>
      </c>
      <c r="G10" s="1">
        <f>IFERROR(__xludf.DUMMYFUNCTION("""COMPUTED_VALUE"""),67.0)</f>
        <v>67</v>
      </c>
      <c r="H10" s="1">
        <f>IFERROR(__xludf.DUMMYFUNCTION("""COMPUTED_VALUE"""),-12.0)</f>
        <v>-12</v>
      </c>
      <c r="I10" s="1">
        <f>IFERROR(__xludf.DUMMYFUNCTION("""COMPUTED_VALUE"""),46.0)</f>
        <v>46</v>
      </c>
    </row>
    <row r="11">
      <c r="A11" s="1" t="str">
        <f>IFERROR(__xludf.DUMMYFUNCTION("""COMPUTED_VALUE"""),"10WBAWest Bromwich Albion")</f>
        <v>10WBAWest Bromwich Albion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IFERROR(__xludf.DUMMYFUNCTION("""COMPUTED_VALUE"""),9.0)</f>
        <v>9</v>
      </c>
      <c r="E11" s="1">
        <f>IFERROR(__xludf.DUMMYFUNCTION("""COMPUTED_VALUE"""),17.0)</f>
        <v>17</v>
      </c>
      <c r="F11" s="1">
        <f>IFERROR(__xludf.DUMMYFUNCTION("""COMPUTED_VALUE"""),43.0)</f>
        <v>43</v>
      </c>
      <c r="G11" s="1">
        <f>IFERROR(__xludf.DUMMYFUNCTION("""COMPUTED_VALUE"""),51.0)</f>
        <v>51</v>
      </c>
      <c r="H11" s="1">
        <f>IFERROR(__xludf.DUMMYFUNCTION("""COMPUTED_VALUE"""),-8.0)</f>
        <v>-8</v>
      </c>
      <c r="I11" s="1">
        <f>IFERROR(__xludf.DUMMYFUNCTION("""COMPUTED_VALUE"""),45.0)</f>
        <v>45</v>
      </c>
    </row>
    <row r="12">
      <c r="A12" s="1" t="str">
        <f>IFERROR(__xludf.DUMMYFUNCTION("""COMPUTED_VALUE"""),"11WHUWest Ham United")</f>
        <v>11WHUWest Ham United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IFERROR(__xludf.DUMMYFUNCTION("""COMPUTED_VALUE"""),9.0)</f>
        <v>9</v>
      </c>
      <c r="E12" s="1">
        <f>IFERROR(__xludf.DUMMYFUNCTION("""COMPUTED_VALUE"""),17.0)</f>
        <v>17</v>
      </c>
      <c r="F12" s="1">
        <f>IFERROR(__xludf.DUMMYFUNCTION("""COMPUTED_VALUE"""),47.0)</f>
        <v>47</v>
      </c>
      <c r="G12" s="1">
        <f>IFERROR(__xludf.DUMMYFUNCTION("""COMPUTED_VALUE"""),64.0)</f>
        <v>64</v>
      </c>
      <c r="H12" s="1">
        <f>IFERROR(__xludf.DUMMYFUNCTION("""COMPUTED_VALUE"""),-17.0)</f>
        <v>-17</v>
      </c>
      <c r="I12" s="1">
        <f>IFERROR(__xludf.DUMMYFUNCTION("""COMPUTED_VALUE"""),45.0)</f>
        <v>45</v>
      </c>
    </row>
    <row r="13">
      <c r="A13" s="1" t="str">
        <f>IFERROR(__xludf.DUMMYFUNCTION("""COMPUTED_VALUE"""),"12LEILeicester City")</f>
        <v>12LEILeicester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IFERROR(__xludf.DUMMYFUNCTION("""COMPUTED_VALUE"""),8.0)</f>
        <v>8</v>
      </c>
      <c r="E13" s="1">
        <f>IFERROR(__xludf.DUMMYFUNCTION("""COMPUTED_VALUE"""),18.0)</f>
        <v>18</v>
      </c>
      <c r="F13" s="1">
        <f>IFERROR(__xludf.DUMMYFUNCTION("""COMPUTED_VALUE"""),48.0)</f>
        <v>48</v>
      </c>
      <c r="G13" s="1">
        <f>IFERROR(__xludf.DUMMYFUNCTION("""COMPUTED_VALUE"""),63.0)</f>
        <v>63</v>
      </c>
      <c r="H13" s="1">
        <f>IFERROR(__xludf.DUMMYFUNCTION("""COMPUTED_VALUE"""),-15.0)</f>
        <v>-15</v>
      </c>
      <c r="I13" s="1">
        <f>IFERROR(__xludf.DUMMYFUNCTION("""COMPUTED_VALUE"""),44.0)</f>
        <v>44</v>
      </c>
    </row>
    <row r="14">
      <c r="A14" s="1" t="str">
        <f>IFERROR(__xludf.DUMMYFUNCTION("""COMPUTED_VALUE"""),"13STKStoke City")</f>
        <v>13STKStoke City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IFERROR(__xludf.DUMMYFUNCTION("""COMPUTED_VALUE"""),41.0)</f>
        <v>41</v>
      </c>
      <c r="G14" s="1">
        <f>IFERROR(__xludf.DUMMYFUNCTION("""COMPUTED_VALUE"""),56.0)</f>
        <v>56</v>
      </c>
      <c r="H14" s="1">
        <f>IFERROR(__xludf.DUMMYFUNCTION("""COMPUTED_VALUE"""),-15.0)</f>
        <v>-15</v>
      </c>
      <c r="I14" s="1">
        <f>IFERROR(__xludf.DUMMYFUNCTION("""COMPUTED_VALUE"""),44.0)</f>
        <v>44</v>
      </c>
    </row>
    <row r="15">
      <c r="A15" s="1" t="str">
        <f>IFERROR(__xludf.DUMMYFUNCTION("""COMPUTED_VALUE"""),"14CRYCrystal Palace")</f>
        <v>14CRYCrystal Palace</v>
      </c>
      <c r="B15" s="1">
        <f>IFERROR(__xludf.DUMMYFUNCTION("""COMPUTED_VALUE"""),38.0)</f>
        <v>38</v>
      </c>
      <c r="C15" s="1">
        <f>IFERROR(__xludf.DUMMYFUNCTION("""COMPUTED_VALUE"""),12.0)</f>
        <v>12</v>
      </c>
      <c r="D15" s="1">
        <f>IFERROR(__xludf.DUMMYFUNCTION("""COMPUTED_VALUE"""),5.0)</f>
        <v>5</v>
      </c>
      <c r="E15" s="1">
        <f>IFERROR(__xludf.DUMMYFUNCTION("""COMPUTED_VALUE"""),21.0)</f>
        <v>21</v>
      </c>
      <c r="F15" s="1">
        <f>IFERROR(__xludf.DUMMYFUNCTION("""COMPUTED_VALUE"""),50.0)</f>
        <v>50</v>
      </c>
      <c r="G15" s="1">
        <f>IFERROR(__xludf.DUMMYFUNCTION("""COMPUTED_VALUE"""),63.0)</f>
        <v>63</v>
      </c>
      <c r="H15" s="1">
        <f>IFERROR(__xludf.DUMMYFUNCTION("""COMPUTED_VALUE"""),-13.0)</f>
        <v>-13</v>
      </c>
      <c r="I15" s="1">
        <f>IFERROR(__xludf.DUMMYFUNCTION("""COMPUTED_VALUE"""),41.0)</f>
        <v>41</v>
      </c>
    </row>
    <row r="16">
      <c r="A16" s="1" t="str">
        <f>IFERROR(__xludf.DUMMYFUNCTION("""COMPUTED_VALUE"""),"15SWASwansea City")</f>
        <v>15SWASwansea City</v>
      </c>
      <c r="B16" s="1">
        <f>IFERROR(__xludf.DUMMYFUNCTION("""COMPUTED_VALUE"""),38.0)</f>
        <v>38</v>
      </c>
      <c r="C16" s="1">
        <f>IFERROR(__xludf.DUMMYFUNCTION("""COMPUTED_VALUE"""),12.0)</f>
        <v>12</v>
      </c>
      <c r="D16" s="1">
        <f>IFERROR(__xludf.DUMMYFUNCTION("""COMPUTED_VALUE"""),5.0)</f>
        <v>5</v>
      </c>
      <c r="E16" s="1">
        <f>IFERROR(__xludf.DUMMYFUNCTION("""COMPUTED_VALUE"""),21.0)</f>
        <v>21</v>
      </c>
      <c r="F16" s="1">
        <f>IFERROR(__xludf.DUMMYFUNCTION("""COMPUTED_VALUE"""),45.0)</f>
        <v>45</v>
      </c>
      <c r="G16" s="1">
        <f>IFERROR(__xludf.DUMMYFUNCTION("""COMPUTED_VALUE"""),70.0)</f>
        <v>70</v>
      </c>
      <c r="H16" s="1">
        <f>IFERROR(__xludf.DUMMYFUNCTION("""COMPUTED_VALUE"""),-25.0)</f>
        <v>-25</v>
      </c>
      <c r="I16" s="1">
        <f>IFERROR(__xludf.DUMMYFUNCTION("""COMPUTED_VALUE"""),41.0)</f>
        <v>41</v>
      </c>
    </row>
    <row r="17">
      <c r="A17" s="1" t="str">
        <f>IFERROR(__xludf.DUMMYFUNCTION("""COMPUTED_VALUE"""),"16BURBurnley")</f>
        <v>16BURBurnley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IFERROR(__xludf.DUMMYFUNCTION("""COMPUTED_VALUE"""),7.0)</f>
        <v>7</v>
      </c>
      <c r="E17" s="1">
        <f>IFERROR(__xludf.DUMMYFUNCTION("""COMPUTED_VALUE"""),20.0)</f>
        <v>20</v>
      </c>
      <c r="F17" s="1">
        <f>IFERROR(__xludf.DUMMYFUNCTION("""COMPUTED_VALUE"""),39.0)</f>
        <v>39</v>
      </c>
      <c r="G17" s="1">
        <f>IFERROR(__xludf.DUMMYFUNCTION("""COMPUTED_VALUE"""),55.0)</f>
        <v>55</v>
      </c>
      <c r="H17" s="1">
        <f>IFERROR(__xludf.DUMMYFUNCTION("""COMPUTED_VALUE"""),-16.0)</f>
        <v>-16</v>
      </c>
      <c r="I17" s="1">
        <f>IFERROR(__xludf.DUMMYFUNCTION("""COMPUTED_VALUE"""),40.0)</f>
        <v>40</v>
      </c>
    </row>
    <row r="18">
      <c r="A18" s="1" t="str">
        <f>IFERROR(__xludf.DUMMYFUNCTION("""COMPUTED_VALUE"""),"17WATWatford")</f>
        <v>17WATWatford</v>
      </c>
      <c r="B18" s="1">
        <f>IFERROR(__xludf.DUMMYFUNCTION("""COMPUTED_VALUE"""),38.0)</f>
        <v>38</v>
      </c>
      <c r="C18" s="1">
        <f>IFERROR(__xludf.DUMMYFUNCTION("""COMPUTED_VALUE"""),11.0)</f>
        <v>11</v>
      </c>
      <c r="D18" s="1">
        <f>IFERROR(__xludf.DUMMYFUNCTION("""COMPUTED_VALUE"""),7.0)</f>
        <v>7</v>
      </c>
      <c r="E18" s="1">
        <f>IFERROR(__xludf.DUMMYFUNCTION("""COMPUTED_VALUE"""),20.0)</f>
        <v>20</v>
      </c>
      <c r="F18" s="1">
        <f>IFERROR(__xludf.DUMMYFUNCTION("""COMPUTED_VALUE"""),40.0)</f>
        <v>40</v>
      </c>
      <c r="G18" s="1">
        <f>IFERROR(__xludf.DUMMYFUNCTION("""COMPUTED_VALUE"""),68.0)</f>
        <v>68</v>
      </c>
      <c r="H18" s="1">
        <f>IFERROR(__xludf.DUMMYFUNCTION("""COMPUTED_VALUE"""),-28.0)</f>
        <v>-28</v>
      </c>
      <c r="I18" s="1">
        <f>IFERROR(__xludf.DUMMYFUNCTION("""COMPUTED_VALUE"""),40.0)</f>
        <v>40</v>
      </c>
    </row>
    <row r="19">
      <c r="A19" s="1" t="str">
        <f>IFERROR(__xludf.DUMMYFUNCTION("""COMPUTED_VALUE"""),"18HULHull City")</f>
        <v>18HULHull City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IFERROR(__xludf.DUMMYFUNCTION("""COMPUTED_VALUE"""),7.0)</f>
        <v>7</v>
      </c>
      <c r="E19" s="1">
        <f>IFERROR(__xludf.DUMMYFUNCTION("""COMPUTED_VALUE"""),22.0)</f>
        <v>22</v>
      </c>
      <c r="F19" s="1">
        <f>IFERROR(__xludf.DUMMYFUNCTION("""COMPUTED_VALUE"""),37.0)</f>
        <v>37</v>
      </c>
      <c r="G19" s="1">
        <f>IFERROR(__xludf.DUMMYFUNCTION("""COMPUTED_VALUE"""),80.0)</f>
        <v>80</v>
      </c>
      <c r="H19" s="1">
        <f>IFERROR(__xludf.DUMMYFUNCTION("""COMPUTED_VALUE"""),-43.0)</f>
        <v>-43</v>
      </c>
      <c r="I19" s="1">
        <f>IFERROR(__xludf.DUMMYFUNCTION("""COMPUTED_VALUE"""),34.0)</f>
        <v>34</v>
      </c>
    </row>
    <row r="20">
      <c r="A20" s="1" t="str">
        <f>IFERROR(__xludf.DUMMYFUNCTION("""COMPUTED_VALUE"""),"19MIDMiddlesbrough")</f>
        <v>19MIDMiddlesbrough</v>
      </c>
      <c r="B20" s="1">
        <f>IFERROR(__xludf.DUMMYFUNCTION("""COMPUTED_VALUE"""),38.0)</f>
        <v>38</v>
      </c>
      <c r="C20" s="1">
        <f>IFERROR(__xludf.DUMMYFUNCTION("""COMPUTED_VALUE"""),5.0)</f>
        <v>5</v>
      </c>
      <c r="D20" s="1">
        <f>IFERROR(__xludf.DUMMYFUNCTION("""COMPUTED_VALUE"""),13.0)</f>
        <v>13</v>
      </c>
      <c r="E20" s="1">
        <f>IFERROR(__xludf.DUMMYFUNCTION("""COMPUTED_VALUE"""),20.0)</f>
        <v>20</v>
      </c>
      <c r="F20" s="1">
        <f>IFERROR(__xludf.DUMMYFUNCTION("""COMPUTED_VALUE"""),27.0)</f>
        <v>27</v>
      </c>
      <c r="G20" s="1">
        <f>IFERROR(__xludf.DUMMYFUNCTION("""COMPUTED_VALUE"""),53.0)</f>
        <v>53</v>
      </c>
      <c r="H20" s="1">
        <f>IFERROR(__xludf.DUMMYFUNCTION("""COMPUTED_VALUE"""),-26.0)</f>
        <v>-26</v>
      </c>
      <c r="I20" s="1">
        <f>IFERROR(__xludf.DUMMYFUNCTION("""COMPUTED_VALUE"""),28.0)</f>
        <v>28</v>
      </c>
    </row>
    <row r="21">
      <c r="A21" s="1" t="str">
        <f>IFERROR(__xludf.DUMMYFUNCTION("""COMPUTED_VALUE"""),"20SUNSunderland")</f>
        <v>20SUNSunderland</v>
      </c>
      <c r="B21" s="1">
        <f>IFERROR(__xludf.DUMMYFUNCTION("""COMPUTED_VALUE"""),38.0)</f>
        <v>38</v>
      </c>
      <c r="C21" s="1">
        <f>IFERROR(__xludf.DUMMYFUNCTION("""COMPUTED_VALUE"""),6.0)</f>
        <v>6</v>
      </c>
      <c r="D21" s="1">
        <f>IFERROR(__xludf.DUMMYFUNCTION("""COMPUTED_VALUE"""),6.0)</f>
        <v>6</v>
      </c>
      <c r="E21" s="1">
        <f>IFERROR(__xludf.DUMMYFUNCTION("""COMPUTED_VALUE"""),26.0)</f>
        <v>26</v>
      </c>
      <c r="F21" s="1">
        <f>IFERROR(__xludf.DUMMYFUNCTION("""COMPUTED_VALUE"""),29.0)</f>
        <v>29</v>
      </c>
      <c r="G21" s="1">
        <f>IFERROR(__xludf.DUMMYFUNCTION("""COMPUTED_VALUE"""),69.0)</f>
        <v>69</v>
      </c>
      <c r="H21" s="1">
        <f>IFERROR(__xludf.DUMMYFUNCTION("""COMPUTED_VALUE"""),-40.0)</f>
        <v>-40</v>
      </c>
      <c r="I21" s="1">
        <f>IFERROR(__xludf.DUMMYFUNCTION("""COMPUTED_VALUE"""),24.0)</f>
        <v>24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IFERROR(__xludf.DUMMYFUNCTION("IMPORTHTML(""https://www.espn.com/soccer/standings/_/league/ENG.1/season/2015"",""table"",1)"),"2015-2016")</f>
        <v>2015-2016</v>
      </c>
      <c r="B1" s="1" t="str">
        <f>IFERROR(__xludf.DUMMYFUNCTION("IMPORTHTML(""https://www.espn.com/soccer/standings/_/league/ENG.1/season/2015"",""table"",2)"),"GP")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IFERROR(__xludf.DUMMYFUNCTION("""COMPUTED_VALUE"""),"1LEILeicester City")</f>
        <v>1LEILeicester City</v>
      </c>
      <c r="B2" s="1">
        <f>IFERROR(__xludf.DUMMYFUNCTION("""COMPUTED_VALUE"""),38.0)</f>
        <v>38</v>
      </c>
      <c r="C2" s="1">
        <f>IFERROR(__xludf.DUMMYFUNCTION("""COMPUTED_VALUE"""),23.0)</f>
        <v>23</v>
      </c>
      <c r="D2" s="1">
        <f>IFERROR(__xludf.DUMMYFUNCTION("""COMPUTED_VALUE"""),12.0)</f>
        <v>12</v>
      </c>
      <c r="E2" s="1">
        <f>IFERROR(__xludf.DUMMYFUNCTION("""COMPUTED_VALUE"""),3.0)</f>
        <v>3</v>
      </c>
      <c r="F2" s="1">
        <f>IFERROR(__xludf.DUMMYFUNCTION("""COMPUTED_VALUE"""),68.0)</f>
        <v>68</v>
      </c>
      <c r="G2" s="1">
        <f>IFERROR(__xludf.DUMMYFUNCTION("""COMPUTED_VALUE"""),36.0)</f>
        <v>36</v>
      </c>
      <c r="H2" s="1" t="str">
        <f>IFERROR(__xludf.DUMMYFUNCTION("""COMPUTED_VALUE"""),"+32")</f>
        <v>+32</v>
      </c>
      <c r="I2" s="1">
        <f>IFERROR(__xludf.DUMMYFUNCTION("""COMPUTED_VALUE"""),81.0)</f>
        <v>81</v>
      </c>
    </row>
    <row r="3">
      <c r="A3" s="1" t="str">
        <f>IFERROR(__xludf.DUMMYFUNCTION("""COMPUTED_VALUE"""),"2ARSArsenal")</f>
        <v>2ARSArsenal</v>
      </c>
      <c r="B3" s="1">
        <f>IFERROR(__xludf.DUMMYFUNCTION("""COMPUTED_VALUE"""),38.0)</f>
        <v>38</v>
      </c>
      <c r="C3" s="1">
        <f>IFERROR(__xludf.DUMMYFUNCTION("""COMPUTED_VALUE"""),20.0)</f>
        <v>20</v>
      </c>
      <c r="D3" s="1">
        <f>IFERROR(__xludf.DUMMYFUNCTION("""COMPUTED_VALUE"""),11.0)</f>
        <v>11</v>
      </c>
      <c r="E3" s="1">
        <f>IFERROR(__xludf.DUMMYFUNCTION("""COMPUTED_VALUE"""),7.0)</f>
        <v>7</v>
      </c>
      <c r="F3" s="1">
        <f>IFERROR(__xludf.DUMMYFUNCTION("""COMPUTED_VALUE"""),65.0)</f>
        <v>65</v>
      </c>
      <c r="G3" s="1">
        <f>IFERROR(__xludf.DUMMYFUNCTION("""COMPUTED_VALUE"""),36.0)</f>
        <v>36</v>
      </c>
      <c r="H3" s="1" t="str">
        <f>IFERROR(__xludf.DUMMYFUNCTION("""COMPUTED_VALUE"""),"+29")</f>
        <v>+29</v>
      </c>
      <c r="I3" s="1">
        <f>IFERROR(__xludf.DUMMYFUNCTION("""COMPUTED_VALUE"""),71.0)</f>
        <v>71</v>
      </c>
    </row>
    <row r="4">
      <c r="A4" s="1" t="str">
        <f>IFERROR(__xludf.DUMMYFUNCTION("""COMPUTED_VALUE"""),"3TOTTottenham Hotspur")</f>
        <v>3TOTTottenham Hotspur</v>
      </c>
      <c r="B4" s="1">
        <f>IFERROR(__xludf.DUMMYFUNCTION("""COMPUTED_VALUE"""),38.0)</f>
        <v>38</v>
      </c>
      <c r="C4" s="1">
        <f>IFERROR(__xludf.DUMMYFUNCTION("""COMPUTED_VALUE"""),19.0)</f>
        <v>19</v>
      </c>
      <c r="D4" s="1">
        <f>IFERROR(__xludf.DUMMYFUNCTION("""COMPUTED_VALUE"""),13.0)</f>
        <v>13</v>
      </c>
      <c r="E4" s="1">
        <f>IFERROR(__xludf.DUMMYFUNCTION("""COMPUTED_VALUE"""),6.0)</f>
        <v>6</v>
      </c>
      <c r="F4" s="1">
        <f>IFERROR(__xludf.DUMMYFUNCTION("""COMPUTED_VALUE"""),69.0)</f>
        <v>69</v>
      </c>
      <c r="G4" s="1">
        <f>IFERROR(__xludf.DUMMYFUNCTION("""COMPUTED_VALUE"""),35.0)</f>
        <v>35</v>
      </c>
      <c r="H4" s="1" t="str">
        <f>IFERROR(__xludf.DUMMYFUNCTION("""COMPUTED_VALUE"""),"+34")</f>
        <v>+34</v>
      </c>
      <c r="I4" s="1">
        <f>IFERROR(__xludf.DUMMYFUNCTION("""COMPUTED_VALUE"""),70.0)</f>
        <v>70</v>
      </c>
    </row>
    <row r="5">
      <c r="A5" s="1" t="str">
        <f>IFERROR(__xludf.DUMMYFUNCTION("""COMPUTED_VALUE"""),"4MNCManchester City")</f>
        <v>4MNCManchester City</v>
      </c>
      <c r="B5" s="1">
        <f>IFERROR(__xludf.DUMMYFUNCTION("""COMPUTED_VALUE"""),38.0)</f>
        <v>38</v>
      </c>
      <c r="C5" s="1">
        <f>IFERROR(__xludf.DUMMYFUNCTION("""COMPUTED_VALUE"""),19.0)</f>
        <v>19</v>
      </c>
      <c r="D5" s="1">
        <f>IFERROR(__xludf.DUMMYFUNCTION("""COMPUTED_VALUE"""),9.0)</f>
        <v>9</v>
      </c>
      <c r="E5" s="1">
        <f>IFERROR(__xludf.DUMMYFUNCTION("""COMPUTED_VALUE"""),10.0)</f>
        <v>10</v>
      </c>
      <c r="F5" s="1">
        <f>IFERROR(__xludf.DUMMYFUNCTION("""COMPUTED_VALUE"""),71.0)</f>
        <v>71</v>
      </c>
      <c r="G5" s="1">
        <f>IFERROR(__xludf.DUMMYFUNCTION("""COMPUTED_VALUE"""),41.0)</f>
        <v>41</v>
      </c>
      <c r="H5" s="1" t="str">
        <f>IFERROR(__xludf.DUMMYFUNCTION("""COMPUTED_VALUE"""),"+30")</f>
        <v>+30</v>
      </c>
      <c r="I5" s="1">
        <f>IFERROR(__xludf.DUMMYFUNCTION("""COMPUTED_VALUE"""),66.0)</f>
        <v>66</v>
      </c>
    </row>
    <row r="6">
      <c r="A6" s="1" t="str">
        <f>IFERROR(__xludf.DUMMYFUNCTION("""COMPUTED_VALUE"""),"5MANManchester United")</f>
        <v>5MANManchester United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IFERROR(__xludf.DUMMYFUNCTION("""COMPUTED_VALUE"""),9.0)</f>
        <v>9</v>
      </c>
      <c r="E6" s="1">
        <f>IFERROR(__xludf.DUMMYFUNCTION("""COMPUTED_VALUE"""),10.0)</f>
        <v>10</v>
      </c>
      <c r="F6" s="1">
        <f>IFERROR(__xludf.DUMMYFUNCTION("""COMPUTED_VALUE"""),49.0)</f>
        <v>49</v>
      </c>
      <c r="G6" s="1">
        <f>IFERROR(__xludf.DUMMYFUNCTION("""COMPUTED_VALUE"""),35.0)</f>
        <v>35</v>
      </c>
      <c r="H6" s="1" t="str">
        <f>IFERROR(__xludf.DUMMYFUNCTION("""COMPUTED_VALUE"""),"+14")</f>
        <v>+14</v>
      </c>
      <c r="I6" s="1">
        <f>IFERROR(__xludf.DUMMYFUNCTION("""COMPUTED_VALUE"""),66.0)</f>
        <v>66</v>
      </c>
    </row>
    <row r="7">
      <c r="A7" s="1" t="str">
        <f>IFERROR(__xludf.DUMMYFUNCTION("""COMPUTED_VALUE"""),"6SOUSouthampton")</f>
        <v>6SOUSouthampton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IFERROR(__xludf.DUMMYFUNCTION("""COMPUTED_VALUE"""),9.0)</f>
        <v>9</v>
      </c>
      <c r="E7" s="1">
        <f>IFERROR(__xludf.DUMMYFUNCTION("""COMPUTED_VALUE"""),11.0)</f>
        <v>11</v>
      </c>
      <c r="F7" s="1">
        <f>IFERROR(__xludf.DUMMYFUNCTION("""COMPUTED_VALUE"""),59.0)</f>
        <v>59</v>
      </c>
      <c r="G7" s="1">
        <f>IFERROR(__xludf.DUMMYFUNCTION("""COMPUTED_VALUE"""),41.0)</f>
        <v>41</v>
      </c>
      <c r="H7" s="1" t="str">
        <f>IFERROR(__xludf.DUMMYFUNCTION("""COMPUTED_VALUE"""),"+18")</f>
        <v>+18</v>
      </c>
      <c r="I7" s="1">
        <f>IFERROR(__xludf.DUMMYFUNCTION("""COMPUTED_VALUE"""),63.0)</f>
        <v>63</v>
      </c>
    </row>
    <row r="8">
      <c r="A8" s="1" t="str">
        <f>IFERROR(__xludf.DUMMYFUNCTION("""COMPUTED_VALUE"""),"7WHUWest Ham United")</f>
        <v>7WHUWest Ham United</v>
      </c>
      <c r="B8" s="1">
        <f>IFERROR(__xludf.DUMMYFUNCTION("""COMPUTED_VALUE"""),38.0)</f>
        <v>38</v>
      </c>
      <c r="C8" s="1">
        <f>IFERROR(__xludf.DUMMYFUNCTION("""COMPUTED_VALUE"""),16.0)</f>
        <v>16</v>
      </c>
      <c r="D8" s="1">
        <f>IFERROR(__xludf.DUMMYFUNCTION("""COMPUTED_VALUE"""),14.0)</f>
        <v>14</v>
      </c>
      <c r="E8" s="1">
        <f>IFERROR(__xludf.DUMMYFUNCTION("""COMPUTED_VALUE"""),8.0)</f>
        <v>8</v>
      </c>
      <c r="F8" s="1">
        <f>IFERROR(__xludf.DUMMYFUNCTION("""COMPUTED_VALUE"""),65.0)</f>
        <v>65</v>
      </c>
      <c r="G8" s="1">
        <f>IFERROR(__xludf.DUMMYFUNCTION("""COMPUTED_VALUE"""),51.0)</f>
        <v>51</v>
      </c>
      <c r="H8" s="1" t="str">
        <f>IFERROR(__xludf.DUMMYFUNCTION("""COMPUTED_VALUE"""),"+14")</f>
        <v>+14</v>
      </c>
      <c r="I8" s="1">
        <f>IFERROR(__xludf.DUMMYFUNCTION("""COMPUTED_VALUE"""),62.0)</f>
        <v>62</v>
      </c>
    </row>
    <row r="9">
      <c r="A9" s="1" t="str">
        <f>IFERROR(__xludf.DUMMYFUNCTION("""COMPUTED_VALUE"""),"8LIVLiverpool")</f>
        <v>8LIVLiverpool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IFERROR(__xludf.DUMMYFUNCTION("""COMPUTED_VALUE"""),12.0)</f>
        <v>12</v>
      </c>
      <c r="E9" s="1">
        <f>IFERROR(__xludf.DUMMYFUNCTION("""COMPUTED_VALUE"""),10.0)</f>
        <v>10</v>
      </c>
      <c r="F9" s="1">
        <f>IFERROR(__xludf.DUMMYFUNCTION("""COMPUTED_VALUE"""),63.0)</f>
        <v>63</v>
      </c>
      <c r="G9" s="1">
        <f>IFERROR(__xludf.DUMMYFUNCTION("""COMPUTED_VALUE"""),50.0)</f>
        <v>50</v>
      </c>
      <c r="H9" s="1" t="str">
        <f>IFERROR(__xludf.DUMMYFUNCTION("""COMPUTED_VALUE"""),"+13")</f>
        <v>+13</v>
      </c>
      <c r="I9" s="1">
        <f>IFERROR(__xludf.DUMMYFUNCTION("""COMPUTED_VALUE"""),60.0)</f>
        <v>60</v>
      </c>
    </row>
    <row r="10">
      <c r="A10" s="1" t="str">
        <f>IFERROR(__xludf.DUMMYFUNCTION("""COMPUTED_VALUE"""),"9STKStoke City")</f>
        <v>9STKStoke City</v>
      </c>
      <c r="B10" s="1">
        <f>IFERROR(__xludf.DUMMYFUNCTION("""COMPUTED_VALUE"""),38.0)</f>
        <v>38</v>
      </c>
      <c r="C10" s="1">
        <f>IFERROR(__xludf.DUMMYFUNCTION("""COMPUTED_VALUE"""),14.0)</f>
        <v>14</v>
      </c>
      <c r="D10" s="1">
        <f>IFERROR(__xludf.DUMMYFUNCTION("""COMPUTED_VALUE"""),9.0)</f>
        <v>9</v>
      </c>
      <c r="E10" s="1">
        <f>IFERROR(__xludf.DUMMYFUNCTION("""COMPUTED_VALUE"""),15.0)</f>
        <v>15</v>
      </c>
      <c r="F10" s="1">
        <f>IFERROR(__xludf.DUMMYFUNCTION("""COMPUTED_VALUE"""),41.0)</f>
        <v>41</v>
      </c>
      <c r="G10" s="1">
        <f>IFERROR(__xludf.DUMMYFUNCTION("""COMPUTED_VALUE"""),55.0)</f>
        <v>55</v>
      </c>
      <c r="H10" s="1">
        <f>IFERROR(__xludf.DUMMYFUNCTION("""COMPUTED_VALUE"""),-14.0)</f>
        <v>-14</v>
      </c>
      <c r="I10" s="1">
        <f>IFERROR(__xludf.DUMMYFUNCTION("""COMPUTED_VALUE"""),51.0)</f>
        <v>51</v>
      </c>
    </row>
    <row r="11">
      <c r="A11" s="1" t="str">
        <f>IFERROR(__xludf.DUMMYFUNCTION("""COMPUTED_VALUE"""),"10CHEChelsea")</f>
        <v>10CHEChelsea</v>
      </c>
      <c r="B11" s="1">
        <f>IFERROR(__xludf.DUMMYFUNCTION("""COMPUTED_VALUE"""),38.0)</f>
        <v>38</v>
      </c>
      <c r="C11" s="1">
        <f>IFERROR(__xludf.DUMMYFUNCTION("""COMPUTED_VALUE"""),12.0)</f>
        <v>12</v>
      </c>
      <c r="D11" s="1">
        <f>IFERROR(__xludf.DUMMYFUNCTION("""COMPUTED_VALUE"""),14.0)</f>
        <v>14</v>
      </c>
      <c r="E11" s="1">
        <f>IFERROR(__xludf.DUMMYFUNCTION("""COMPUTED_VALUE"""),12.0)</f>
        <v>12</v>
      </c>
      <c r="F11" s="1">
        <f>IFERROR(__xludf.DUMMYFUNCTION("""COMPUTED_VALUE"""),59.0)</f>
        <v>59</v>
      </c>
      <c r="G11" s="1">
        <f>IFERROR(__xludf.DUMMYFUNCTION("""COMPUTED_VALUE"""),53.0)</f>
        <v>53</v>
      </c>
      <c r="H11" s="1" t="str">
        <f>IFERROR(__xludf.DUMMYFUNCTION("""COMPUTED_VALUE"""),"+6")</f>
        <v>+6</v>
      </c>
      <c r="I11" s="1">
        <f>IFERROR(__xludf.DUMMYFUNCTION("""COMPUTED_VALUE"""),50.0)</f>
        <v>50</v>
      </c>
    </row>
    <row r="12">
      <c r="A12" s="1" t="str">
        <f>IFERROR(__xludf.DUMMYFUNCTION("""COMPUTED_VALUE"""),"11EVEEverton")</f>
        <v>11EVEEverton</v>
      </c>
      <c r="B12" s="1">
        <f>IFERROR(__xludf.DUMMYFUNCTION("""COMPUTED_VALUE"""),38.0)</f>
        <v>38</v>
      </c>
      <c r="C12" s="1">
        <f>IFERROR(__xludf.DUMMYFUNCTION("""COMPUTED_VALUE"""),11.0)</f>
        <v>11</v>
      </c>
      <c r="D12" s="1">
        <f>IFERROR(__xludf.DUMMYFUNCTION("""COMPUTED_VALUE"""),14.0)</f>
        <v>14</v>
      </c>
      <c r="E12" s="1">
        <f>IFERROR(__xludf.DUMMYFUNCTION("""COMPUTED_VALUE"""),13.0)</f>
        <v>13</v>
      </c>
      <c r="F12" s="1">
        <f>IFERROR(__xludf.DUMMYFUNCTION("""COMPUTED_VALUE"""),59.0)</f>
        <v>59</v>
      </c>
      <c r="G12" s="1">
        <f>IFERROR(__xludf.DUMMYFUNCTION("""COMPUTED_VALUE"""),55.0)</f>
        <v>55</v>
      </c>
      <c r="H12" s="1" t="str">
        <f>IFERROR(__xludf.DUMMYFUNCTION("""COMPUTED_VALUE"""),"+4")</f>
        <v>+4</v>
      </c>
      <c r="I12" s="1">
        <f>IFERROR(__xludf.DUMMYFUNCTION("""COMPUTED_VALUE"""),47.0)</f>
        <v>47</v>
      </c>
    </row>
    <row r="13">
      <c r="A13" s="1" t="str">
        <f>IFERROR(__xludf.DUMMYFUNCTION("""COMPUTED_VALUE"""),"12SWASwansea City")</f>
        <v>12SWASwansea City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IFERROR(__xludf.DUMMYFUNCTION("""COMPUTED_VALUE"""),42.0)</f>
        <v>42</v>
      </c>
      <c r="G13" s="1">
        <f>IFERROR(__xludf.DUMMYFUNCTION("""COMPUTED_VALUE"""),52.0)</f>
        <v>52</v>
      </c>
      <c r="H13" s="1">
        <f>IFERROR(__xludf.DUMMYFUNCTION("""COMPUTED_VALUE"""),-10.0)</f>
        <v>-10</v>
      </c>
      <c r="I13" s="1">
        <f>IFERROR(__xludf.DUMMYFUNCTION("""COMPUTED_VALUE"""),47.0)</f>
        <v>47</v>
      </c>
    </row>
    <row r="14">
      <c r="A14" s="1" t="str">
        <f>IFERROR(__xludf.DUMMYFUNCTION("""COMPUTED_VALUE"""),"13WATWatford")</f>
        <v>13WATWatford</v>
      </c>
      <c r="B14" s="1">
        <f>IFERROR(__xludf.DUMMYFUNCTION("""COMPUTED_VALUE"""),38.0)</f>
        <v>38</v>
      </c>
      <c r="C14" s="1">
        <f>IFERROR(__xludf.DUMMYFUNCTION("""COMPUTED_VALUE"""),12.0)</f>
        <v>12</v>
      </c>
      <c r="D14" s="1">
        <f>IFERROR(__xludf.DUMMYFUNCTION("""COMPUTED_VALUE"""),9.0)</f>
        <v>9</v>
      </c>
      <c r="E14" s="1">
        <f>IFERROR(__xludf.DUMMYFUNCTION("""COMPUTED_VALUE"""),17.0)</f>
        <v>17</v>
      </c>
      <c r="F14" s="1">
        <f>IFERROR(__xludf.DUMMYFUNCTION("""COMPUTED_VALUE"""),40.0)</f>
        <v>40</v>
      </c>
      <c r="G14" s="1">
        <f>IFERROR(__xludf.DUMMYFUNCTION("""COMPUTED_VALUE"""),50.0)</f>
        <v>50</v>
      </c>
      <c r="H14" s="1">
        <f>IFERROR(__xludf.DUMMYFUNCTION("""COMPUTED_VALUE"""),-10.0)</f>
        <v>-10</v>
      </c>
      <c r="I14" s="1">
        <f>IFERROR(__xludf.DUMMYFUNCTION("""COMPUTED_VALUE"""),45.0)</f>
        <v>45</v>
      </c>
    </row>
    <row r="15">
      <c r="A15" s="1" t="str">
        <f>IFERROR(__xludf.DUMMYFUNCTION("""COMPUTED_VALUE"""),"14WBAWest Bromwich Albion")</f>
        <v>14WBAWest Bromwich Albion</v>
      </c>
      <c r="B15" s="1">
        <f>IFERROR(__xludf.DUMMYFUNCTION("""COMPUTED_VALUE"""),38.0)</f>
        <v>38</v>
      </c>
      <c r="C15" s="1">
        <f>IFERROR(__xludf.DUMMYFUNCTION("""COMPUTED_VALUE"""),10.0)</f>
        <v>10</v>
      </c>
      <c r="D15" s="1">
        <f>IFERROR(__xludf.DUMMYFUNCTION("""COMPUTED_VALUE"""),13.0)</f>
        <v>13</v>
      </c>
      <c r="E15" s="1">
        <f>IFERROR(__xludf.DUMMYFUNCTION("""COMPUTED_VALUE"""),15.0)</f>
        <v>15</v>
      </c>
      <c r="F15" s="1">
        <f>IFERROR(__xludf.DUMMYFUNCTION("""COMPUTED_VALUE"""),34.0)</f>
        <v>34</v>
      </c>
      <c r="G15" s="1">
        <f>IFERROR(__xludf.DUMMYFUNCTION("""COMPUTED_VALUE"""),48.0)</f>
        <v>48</v>
      </c>
      <c r="H15" s="1">
        <f>IFERROR(__xludf.DUMMYFUNCTION("""COMPUTED_VALUE"""),-14.0)</f>
        <v>-14</v>
      </c>
      <c r="I15" s="1">
        <f>IFERROR(__xludf.DUMMYFUNCTION("""COMPUTED_VALUE"""),43.0)</f>
        <v>43</v>
      </c>
    </row>
    <row r="16">
      <c r="A16" s="1" t="str">
        <f>IFERROR(__xludf.DUMMYFUNCTION("""COMPUTED_VALUE"""),"15CRYCrystal Palace")</f>
        <v>15CRYCrystal Palace</v>
      </c>
      <c r="B16" s="1">
        <f>IFERROR(__xludf.DUMMYFUNCTION("""COMPUTED_VALUE"""),38.0)</f>
        <v>38</v>
      </c>
      <c r="C16" s="1">
        <f>IFERROR(__xludf.DUMMYFUNCTION("""COMPUTED_VALUE"""),11.0)</f>
        <v>11</v>
      </c>
      <c r="D16" s="1">
        <f>IFERROR(__xludf.DUMMYFUNCTION("""COMPUTED_VALUE"""),9.0)</f>
        <v>9</v>
      </c>
      <c r="E16" s="1">
        <f>IFERROR(__xludf.DUMMYFUNCTION("""COMPUTED_VALUE"""),18.0)</f>
        <v>18</v>
      </c>
      <c r="F16" s="1">
        <f>IFERROR(__xludf.DUMMYFUNCTION("""COMPUTED_VALUE"""),39.0)</f>
        <v>39</v>
      </c>
      <c r="G16" s="1">
        <f>IFERROR(__xludf.DUMMYFUNCTION("""COMPUTED_VALUE"""),51.0)</f>
        <v>51</v>
      </c>
      <c r="H16" s="1">
        <f>IFERROR(__xludf.DUMMYFUNCTION("""COMPUTED_VALUE"""),-12.0)</f>
        <v>-12</v>
      </c>
      <c r="I16" s="1">
        <f>IFERROR(__xludf.DUMMYFUNCTION("""COMPUTED_VALUE"""),42.0)</f>
        <v>42</v>
      </c>
    </row>
    <row r="17">
      <c r="A17" s="1" t="str">
        <f>IFERROR(__xludf.DUMMYFUNCTION("""COMPUTED_VALUE"""),"16BOUAFC Bournemouth")</f>
        <v>16BOUAFC Bournemouth</v>
      </c>
      <c r="B17" s="1">
        <f>IFERROR(__xludf.DUMMYFUNCTION("""COMPUTED_VALUE"""),38.0)</f>
        <v>38</v>
      </c>
      <c r="C17" s="1">
        <f>IFERROR(__xludf.DUMMYFUNCTION("""COMPUTED_VALUE"""),11.0)</f>
        <v>11</v>
      </c>
      <c r="D17" s="1">
        <f>IFERROR(__xludf.DUMMYFUNCTION("""COMPUTED_VALUE"""),9.0)</f>
        <v>9</v>
      </c>
      <c r="E17" s="1">
        <f>IFERROR(__xludf.DUMMYFUNCTION("""COMPUTED_VALUE"""),18.0)</f>
        <v>18</v>
      </c>
      <c r="F17" s="1">
        <f>IFERROR(__xludf.DUMMYFUNCTION("""COMPUTED_VALUE"""),45.0)</f>
        <v>45</v>
      </c>
      <c r="G17" s="1">
        <f>IFERROR(__xludf.DUMMYFUNCTION("""COMPUTED_VALUE"""),67.0)</f>
        <v>67</v>
      </c>
      <c r="H17" s="1">
        <f>IFERROR(__xludf.DUMMYFUNCTION("""COMPUTED_VALUE"""),-22.0)</f>
        <v>-22</v>
      </c>
      <c r="I17" s="1">
        <f>IFERROR(__xludf.DUMMYFUNCTION("""COMPUTED_VALUE"""),42.0)</f>
        <v>42</v>
      </c>
    </row>
    <row r="18">
      <c r="A18" s="1" t="str">
        <f>IFERROR(__xludf.DUMMYFUNCTION("""COMPUTED_VALUE"""),"17SUNSunderland")</f>
        <v>17SUNSunderland</v>
      </c>
      <c r="B18" s="1">
        <f>IFERROR(__xludf.DUMMYFUNCTION("""COMPUTED_VALUE"""),38.0)</f>
        <v>38</v>
      </c>
      <c r="C18" s="1">
        <f>IFERROR(__xludf.DUMMYFUNCTION("""COMPUTED_VALUE"""),9.0)</f>
        <v>9</v>
      </c>
      <c r="D18" s="1">
        <f>IFERROR(__xludf.DUMMYFUNCTION("""COMPUTED_VALUE"""),12.0)</f>
        <v>12</v>
      </c>
      <c r="E18" s="1">
        <f>IFERROR(__xludf.DUMMYFUNCTION("""COMPUTED_VALUE"""),17.0)</f>
        <v>17</v>
      </c>
      <c r="F18" s="1">
        <f>IFERROR(__xludf.DUMMYFUNCTION("""COMPUTED_VALUE"""),48.0)</f>
        <v>48</v>
      </c>
      <c r="G18" s="1">
        <f>IFERROR(__xludf.DUMMYFUNCTION("""COMPUTED_VALUE"""),62.0)</f>
        <v>62</v>
      </c>
      <c r="H18" s="1">
        <f>IFERROR(__xludf.DUMMYFUNCTION("""COMPUTED_VALUE"""),-14.0)</f>
        <v>-14</v>
      </c>
      <c r="I18" s="1">
        <f>IFERROR(__xludf.DUMMYFUNCTION("""COMPUTED_VALUE"""),39.0)</f>
        <v>39</v>
      </c>
    </row>
    <row r="19">
      <c r="A19" s="1" t="str">
        <f>IFERROR(__xludf.DUMMYFUNCTION("""COMPUTED_VALUE"""),"18NEWNewcastle United")</f>
        <v>18NEWNewcastle United</v>
      </c>
      <c r="B19" s="1">
        <f>IFERROR(__xludf.DUMMYFUNCTION("""COMPUTED_VALUE"""),38.0)</f>
        <v>38</v>
      </c>
      <c r="C19" s="1">
        <f>IFERROR(__xludf.DUMMYFUNCTION("""COMPUTED_VALUE"""),9.0)</f>
        <v>9</v>
      </c>
      <c r="D19" s="1">
        <f>IFERROR(__xludf.DUMMYFUNCTION("""COMPUTED_VALUE"""),10.0)</f>
        <v>10</v>
      </c>
      <c r="E19" s="1">
        <f>IFERROR(__xludf.DUMMYFUNCTION("""COMPUTED_VALUE"""),19.0)</f>
        <v>19</v>
      </c>
      <c r="F19" s="1">
        <f>IFERROR(__xludf.DUMMYFUNCTION("""COMPUTED_VALUE"""),44.0)</f>
        <v>44</v>
      </c>
      <c r="G19" s="1">
        <f>IFERROR(__xludf.DUMMYFUNCTION("""COMPUTED_VALUE"""),65.0)</f>
        <v>65</v>
      </c>
      <c r="H19" s="1">
        <f>IFERROR(__xludf.DUMMYFUNCTION("""COMPUTED_VALUE"""),-21.0)</f>
        <v>-21</v>
      </c>
      <c r="I19" s="1">
        <f>IFERROR(__xludf.DUMMYFUNCTION("""COMPUTED_VALUE"""),37.0)</f>
        <v>37</v>
      </c>
    </row>
    <row r="20">
      <c r="A20" s="1" t="str">
        <f>IFERROR(__xludf.DUMMYFUNCTION("""COMPUTED_VALUE"""),"19NORNorwich City")</f>
        <v>19NORNorwich City</v>
      </c>
      <c r="B20" s="1">
        <f>IFERROR(__xludf.DUMMYFUNCTION("""COMPUTED_VALUE"""),38.0)</f>
        <v>38</v>
      </c>
      <c r="C20" s="1">
        <f>IFERROR(__xludf.DUMMYFUNCTION("""COMPUTED_VALUE"""),9.0)</f>
        <v>9</v>
      </c>
      <c r="D20" s="1">
        <f>IFERROR(__xludf.DUMMYFUNCTION("""COMPUTED_VALUE"""),7.0)</f>
        <v>7</v>
      </c>
      <c r="E20" s="1">
        <f>IFERROR(__xludf.DUMMYFUNCTION("""COMPUTED_VALUE"""),22.0)</f>
        <v>22</v>
      </c>
      <c r="F20" s="1">
        <f>IFERROR(__xludf.DUMMYFUNCTION("""COMPUTED_VALUE"""),39.0)</f>
        <v>39</v>
      </c>
      <c r="G20" s="1">
        <f>IFERROR(__xludf.DUMMYFUNCTION("""COMPUTED_VALUE"""),67.0)</f>
        <v>67</v>
      </c>
      <c r="H20" s="1">
        <f>IFERROR(__xludf.DUMMYFUNCTION("""COMPUTED_VALUE"""),-28.0)</f>
        <v>-28</v>
      </c>
      <c r="I20" s="1">
        <f>IFERROR(__xludf.DUMMYFUNCTION("""COMPUTED_VALUE"""),34.0)</f>
        <v>34</v>
      </c>
    </row>
    <row r="21">
      <c r="A21" s="1" t="str">
        <f>IFERROR(__xludf.DUMMYFUNCTION("""COMPUTED_VALUE"""),"20AVLAston Villa")</f>
        <v>20AVLAston Villa</v>
      </c>
      <c r="B21" s="1">
        <f>IFERROR(__xludf.DUMMYFUNCTION("""COMPUTED_VALUE"""),38.0)</f>
        <v>38</v>
      </c>
      <c r="C21" s="1">
        <f>IFERROR(__xludf.DUMMYFUNCTION("""COMPUTED_VALUE"""),3.0)</f>
        <v>3</v>
      </c>
      <c r="D21" s="1">
        <f>IFERROR(__xludf.DUMMYFUNCTION("""COMPUTED_VALUE"""),8.0)</f>
        <v>8</v>
      </c>
      <c r="E21" s="1">
        <f>IFERROR(__xludf.DUMMYFUNCTION("""COMPUTED_VALUE"""),27.0)</f>
        <v>27</v>
      </c>
      <c r="F21" s="1">
        <f>IFERROR(__xludf.DUMMYFUNCTION("""COMPUTED_VALUE"""),27.0)</f>
        <v>27</v>
      </c>
      <c r="G21" s="1">
        <f>IFERROR(__xludf.DUMMYFUNCTION("""COMPUTED_VALUE"""),76.0)</f>
        <v>76</v>
      </c>
      <c r="H21" s="1">
        <f>IFERROR(__xludf.DUMMYFUNCTION("""COMPUTED_VALUE"""),-49.0)</f>
        <v>-49</v>
      </c>
      <c r="I21" s="1">
        <f>IFERROR(__xludf.DUMMYFUNCTION("""COMPUTED_VALUE"""),17.0)</f>
        <v>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tr">
        <f>IFERROR(__xludf.DUMMYFUNCTION("IMPORTHTML(""https://www.espn.com/soccer/standings/_/league/ENG.1/season/2014"",""table"",1)"),"2014-2015")</f>
        <v>2014-2015</v>
      </c>
      <c r="B1" s="1" t="str">
        <f>IFERROR(__xludf.DUMMYFUNCTION("IMPORTHTML(""https://www.espn.com/soccer/standings/_/league/ENG.1/season/2014"",""table"",2)"),"GP")</f>
        <v>GP</v>
      </c>
      <c r="C1" s="1" t="str">
        <f>IFERROR(__xludf.DUMMYFUNCTION("""COMPUTED_VALUE"""),"W")</f>
        <v>W</v>
      </c>
      <c r="D1" s="1" t="str">
        <f>IFERROR(__xludf.DUMMYFUNCTION("""COMPUTED_VALUE"""),"D")</f>
        <v>D</v>
      </c>
      <c r="E1" s="1" t="str">
        <f>IFERROR(__xludf.DUMMYFUNCTION("""COMPUTED_VALUE"""),"L")</f>
        <v>L</v>
      </c>
      <c r="F1" s="1" t="str">
        <f>IFERROR(__xludf.DUMMYFUNCTION("""COMPUTED_VALUE"""),"F")</f>
        <v>F</v>
      </c>
      <c r="G1" s="1" t="str">
        <f>IFERROR(__xludf.DUMMYFUNCTION("""COMPUTED_VALUE"""),"A")</f>
        <v>A</v>
      </c>
      <c r="H1" s="1" t="str">
        <f>IFERROR(__xludf.DUMMYFUNCTION("""COMPUTED_VALUE"""),"GD")</f>
        <v>GD</v>
      </c>
      <c r="I1" s="1" t="str">
        <f>IFERROR(__xludf.DUMMYFUNCTION("""COMPUTED_VALUE"""),"P")</f>
        <v>P</v>
      </c>
    </row>
    <row r="2">
      <c r="A2" s="1" t="str">
        <f>IFERROR(__xludf.DUMMYFUNCTION("""COMPUTED_VALUE"""),"1CHEChelsea")</f>
        <v>1CHEChelsea</v>
      </c>
      <c r="B2" s="1">
        <f>IFERROR(__xludf.DUMMYFUNCTION("""COMPUTED_VALUE"""),38.0)</f>
        <v>38</v>
      </c>
      <c r="C2" s="1">
        <f>IFERROR(__xludf.DUMMYFUNCTION("""COMPUTED_VALUE"""),26.0)</f>
        <v>26</v>
      </c>
      <c r="D2" s="1">
        <f>IFERROR(__xludf.DUMMYFUNCTION("""COMPUTED_VALUE"""),9.0)</f>
        <v>9</v>
      </c>
      <c r="E2" s="1">
        <f>IFERROR(__xludf.DUMMYFUNCTION("""COMPUTED_VALUE"""),3.0)</f>
        <v>3</v>
      </c>
      <c r="F2" s="1">
        <f>IFERROR(__xludf.DUMMYFUNCTION("""COMPUTED_VALUE"""),73.0)</f>
        <v>73</v>
      </c>
      <c r="G2" s="1">
        <f>IFERROR(__xludf.DUMMYFUNCTION("""COMPUTED_VALUE"""),32.0)</f>
        <v>32</v>
      </c>
      <c r="H2" s="1" t="str">
        <f>IFERROR(__xludf.DUMMYFUNCTION("""COMPUTED_VALUE"""),"+41")</f>
        <v>+41</v>
      </c>
      <c r="I2" s="1">
        <f>IFERROR(__xludf.DUMMYFUNCTION("""COMPUTED_VALUE"""),87.0)</f>
        <v>87</v>
      </c>
    </row>
    <row r="3">
      <c r="A3" s="1" t="str">
        <f>IFERROR(__xludf.DUMMYFUNCTION("""COMPUTED_VALUE"""),"2MNCManchester City")</f>
        <v>2MNCManchester City</v>
      </c>
      <c r="B3" s="1">
        <f>IFERROR(__xludf.DUMMYFUNCTION("""COMPUTED_VALUE"""),38.0)</f>
        <v>38</v>
      </c>
      <c r="C3" s="1">
        <f>IFERROR(__xludf.DUMMYFUNCTION("""COMPUTED_VALUE"""),24.0)</f>
        <v>24</v>
      </c>
      <c r="D3" s="1">
        <f>IFERROR(__xludf.DUMMYFUNCTION("""COMPUTED_VALUE"""),7.0)</f>
        <v>7</v>
      </c>
      <c r="E3" s="1">
        <f>IFERROR(__xludf.DUMMYFUNCTION("""COMPUTED_VALUE"""),7.0)</f>
        <v>7</v>
      </c>
      <c r="F3" s="1">
        <f>IFERROR(__xludf.DUMMYFUNCTION("""COMPUTED_VALUE"""),83.0)</f>
        <v>83</v>
      </c>
      <c r="G3" s="1">
        <f>IFERROR(__xludf.DUMMYFUNCTION("""COMPUTED_VALUE"""),38.0)</f>
        <v>38</v>
      </c>
      <c r="H3" s="1" t="str">
        <f>IFERROR(__xludf.DUMMYFUNCTION("""COMPUTED_VALUE"""),"+45")</f>
        <v>+45</v>
      </c>
      <c r="I3" s="1">
        <f>IFERROR(__xludf.DUMMYFUNCTION("""COMPUTED_VALUE"""),79.0)</f>
        <v>79</v>
      </c>
    </row>
    <row r="4">
      <c r="A4" s="1" t="str">
        <f>IFERROR(__xludf.DUMMYFUNCTION("""COMPUTED_VALUE"""),"3ARSArsenal")</f>
        <v>3ARSArsenal</v>
      </c>
      <c r="B4" s="1">
        <f>IFERROR(__xludf.DUMMYFUNCTION("""COMPUTED_VALUE"""),38.0)</f>
        <v>38</v>
      </c>
      <c r="C4" s="1">
        <f>IFERROR(__xludf.DUMMYFUNCTION("""COMPUTED_VALUE"""),22.0)</f>
        <v>22</v>
      </c>
      <c r="D4" s="1">
        <f>IFERROR(__xludf.DUMMYFUNCTION("""COMPUTED_VALUE"""),9.0)</f>
        <v>9</v>
      </c>
      <c r="E4" s="1">
        <f>IFERROR(__xludf.DUMMYFUNCTION("""COMPUTED_VALUE"""),7.0)</f>
        <v>7</v>
      </c>
      <c r="F4" s="1">
        <f>IFERROR(__xludf.DUMMYFUNCTION("""COMPUTED_VALUE"""),71.0)</f>
        <v>71</v>
      </c>
      <c r="G4" s="1">
        <f>IFERROR(__xludf.DUMMYFUNCTION("""COMPUTED_VALUE"""),36.0)</f>
        <v>36</v>
      </c>
      <c r="H4" s="1" t="str">
        <f>IFERROR(__xludf.DUMMYFUNCTION("""COMPUTED_VALUE"""),"+35")</f>
        <v>+35</v>
      </c>
      <c r="I4" s="1">
        <f>IFERROR(__xludf.DUMMYFUNCTION("""COMPUTED_VALUE"""),75.0)</f>
        <v>75</v>
      </c>
    </row>
    <row r="5">
      <c r="A5" s="1" t="str">
        <f>IFERROR(__xludf.DUMMYFUNCTION("""COMPUTED_VALUE"""),"4MANManchester United")</f>
        <v>4MANManchester United</v>
      </c>
      <c r="B5" s="1">
        <f>IFERROR(__xludf.DUMMYFUNCTION("""COMPUTED_VALUE"""),38.0)</f>
        <v>38</v>
      </c>
      <c r="C5" s="1">
        <f>IFERROR(__xludf.DUMMYFUNCTION("""COMPUTED_VALUE"""),20.0)</f>
        <v>20</v>
      </c>
      <c r="D5" s="1">
        <f>IFERROR(__xludf.DUMMYFUNCTION("""COMPUTED_VALUE"""),10.0)</f>
        <v>10</v>
      </c>
      <c r="E5" s="1">
        <f>IFERROR(__xludf.DUMMYFUNCTION("""COMPUTED_VALUE"""),8.0)</f>
        <v>8</v>
      </c>
      <c r="F5" s="1">
        <f>IFERROR(__xludf.DUMMYFUNCTION("""COMPUTED_VALUE"""),62.0)</f>
        <v>62</v>
      </c>
      <c r="G5" s="1">
        <f>IFERROR(__xludf.DUMMYFUNCTION("""COMPUTED_VALUE"""),37.0)</f>
        <v>37</v>
      </c>
      <c r="H5" s="1" t="str">
        <f>IFERROR(__xludf.DUMMYFUNCTION("""COMPUTED_VALUE"""),"+25")</f>
        <v>+25</v>
      </c>
      <c r="I5" s="1">
        <f>IFERROR(__xludf.DUMMYFUNCTION("""COMPUTED_VALUE"""),70.0)</f>
        <v>70</v>
      </c>
    </row>
    <row r="6">
      <c r="A6" s="1" t="str">
        <f>IFERROR(__xludf.DUMMYFUNCTION("""COMPUTED_VALUE"""),"5TOTTottenham Hotspur")</f>
        <v>5TOTTottenham Hotspur</v>
      </c>
      <c r="B6" s="1">
        <f>IFERROR(__xludf.DUMMYFUNCTION("""COMPUTED_VALUE"""),38.0)</f>
        <v>38</v>
      </c>
      <c r="C6" s="1">
        <f>IFERROR(__xludf.DUMMYFUNCTION("""COMPUTED_VALUE"""),19.0)</f>
        <v>19</v>
      </c>
      <c r="D6" s="1">
        <f>IFERROR(__xludf.DUMMYFUNCTION("""COMPUTED_VALUE"""),7.0)</f>
        <v>7</v>
      </c>
      <c r="E6" s="1">
        <f>IFERROR(__xludf.DUMMYFUNCTION("""COMPUTED_VALUE"""),12.0)</f>
        <v>12</v>
      </c>
      <c r="F6" s="1">
        <f>IFERROR(__xludf.DUMMYFUNCTION("""COMPUTED_VALUE"""),58.0)</f>
        <v>58</v>
      </c>
      <c r="G6" s="1">
        <f>IFERROR(__xludf.DUMMYFUNCTION("""COMPUTED_VALUE"""),53.0)</f>
        <v>53</v>
      </c>
      <c r="H6" s="1" t="str">
        <f>IFERROR(__xludf.DUMMYFUNCTION("""COMPUTED_VALUE"""),"+5")</f>
        <v>+5</v>
      </c>
      <c r="I6" s="1">
        <f>IFERROR(__xludf.DUMMYFUNCTION("""COMPUTED_VALUE"""),64.0)</f>
        <v>64</v>
      </c>
    </row>
    <row r="7">
      <c r="A7" s="1" t="str">
        <f>IFERROR(__xludf.DUMMYFUNCTION("""COMPUTED_VALUE"""),"6LIVLiverpool")</f>
        <v>6LIVLiverpool</v>
      </c>
      <c r="B7" s="1">
        <f>IFERROR(__xludf.DUMMYFUNCTION("""COMPUTED_VALUE"""),38.0)</f>
        <v>38</v>
      </c>
      <c r="C7" s="1">
        <f>IFERROR(__xludf.DUMMYFUNCTION("""COMPUTED_VALUE"""),18.0)</f>
        <v>18</v>
      </c>
      <c r="D7" s="1">
        <f>IFERROR(__xludf.DUMMYFUNCTION("""COMPUTED_VALUE"""),8.0)</f>
        <v>8</v>
      </c>
      <c r="E7" s="1">
        <f>IFERROR(__xludf.DUMMYFUNCTION("""COMPUTED_VALUE"""),12.0)</f>
        <v>12</v>
      </c>
      <c r="F7" s="1">
        <f>IFERROR(__xludf.DUMMYFUNCTION("""COMPUTED_VALUE"""),52.0)</f>
        <v>52</v>
      </c>
      <c r="G7" s="1">
        <f>IFERROR(__xludf.DUMMYFUNCTION("""COMPUTED_VALUE"""),48.0)</f>
        <v>48</v>
      </c>
      <c r="H7" s="1" t="str">
        <f>IFERROR(__xludf.DUMMYFUNCTION("""COMPUTED_VALUE"""),"+4")</f>
        <v>+4</v>
      </c>
      <c r="I7" s="1">
        <f>IFERROR(__xludf.DUMMYFUNCTION("""COMPUTED_VALUE"""),62.0)</f>
        <v>62</v>
      </c>
    </row>
    <row r="8">
      <c r="A8" s="1" t="str">
        <f>IFERROR(__xludf.DUMMYFUNCTION("""COMPUTED_VALUE"""),"7SOUSouthampton")</f>
        <v>7SOUSouthampton</v>
      </c>
      <c r="B8" s="1">
        <f>IFERROR(__xludf.DUMMYFUNCTION("""COMPUTED_VALUE"""),38.0)</f>
        <v>38</v>
      </c>
      <c r="C8" s="1">
        <f>IFERROR(__xludf.DUMMYFUNCTION("""COMPUTED_VALUE"""),18.0)</f>
        <v>18</v>
      </c>
      <c r="D8" s="1">
        <f>IFERROR(__xludf.DUMMYFUNCTION("""COMPUTED_VALUE"""),6.0)</f>
        <v>6</v>
      </c>
      <c r="E8" s="1">
        <f>IFERROR(__xludf.DUMMYFUNCTION("""COMPUTED_VALUE"""),14.0)</f>
        <v>14</v>
      </c>
      <c r="F8" s="1">
        <f>IFERROR(__xludf.DUMMYFUNCTION("""COMPUTED_VALUE"""),54.0)</f>
        <v>54</v>
      </c>
      <c r="G8" s="1">
        <f>IFERROR(__xludf.DUMMYFUNCTION("""COMPUTED_VALUE"""),33.0)</f>
        <v>33</v>
      </c>
      <c r="H8" s="1" t="str">
        <f>IFERROR(__xludf.DUMMYFUNCTION("""COMPUTED_VALUE"""),"+21")</f>
        <v>+21</v>
      </c>
      <c r="I8" s="1">
        <f>IFERROR(__xludf.DUMMYFUNCTION("""COMPUTED_VALUE"""),60.0)</f>
        <v>60</v>
      </c>
    </row>
    <row r="9">
      <c r="A9" s="1" t="str">
        <f>IFERROR(__xludf.DUMMYFUNCTION("""COMPUTED_VALUE"""),"8SWASwansea City")</f>
        <v>8SWASwansea City</v>
      </c>
      <c r="B9" s="1">
        <f>IFERROR(__xludf.DUMMYFUNCTION("""COMPUTED_VALUE"""),38.0)</f>
        <v>38</v>
      </c>
      <c r="C9" s="1">
        <f>IFERROR(__xludf.DUMMYFUNCTION("""COMPUTED_VALUE"""),16.0)</f>
        <v>16</v>
      </c>
      <c r="D9" s="1">
        <f>IFERROR(__xludf.DUMMYFUNCTION("""COMPUTED_VALUE"""),8.0)</f>
        <v>8</v>
      </c>
      <c r="E9" s="1">
        <f>IFERROR(__xludf.DUMMYFUNCTION("""COMPUTED_VALUE"""),14.0)</f>
        <v>14</v>
      </c>
      <c r="F9" s="1">
        <f>IFERROR(__xludf.DUMMYFUNCTION("""COMPUTED_VALUE"""),46.0)</f>
        <v>46</v>
      </c>
      <c r="G9" s="1">
        <f>IFERROR(__xludf.DUMMYFUNCTION("""COMPUTED_VALUE"""),49.0)</f>
        <v>49</v>
      </c>
      <c r="H9" s="1">
        <f>IFERROR(__xludf.DUMMYFUNCTION("""COMPUTED_VALUE"""),-3.0)</f>
        <v>-3</v>
      </c>
      <c r="I9" s="1">
        <f>IFERROR(__xludf.DUMMYFUNCTION("""COMPUTED_VALUE"""),56.0)</f>
        <v>56</v>
      </c>
    </row>
    <row r="10">
      <c r="A10" s="1" t="str">
        <f>IFERROR(__xludf.DUMMYFUNCTION("""COMPUTED_VALUE"""),"9STKStoke City")</f>
        <v>9STKStoke City</v>
      </c>
      <c r="B10" s="1">
        <f>IFERROR(__xludf.DUMMYFUNCTION("""COMPUTED_VALUE"""),38.0)</f>
        <v>38</v>
      </c>
      <c r="C10" s="1">
        <f>IFERROR(__xludf.DUMMYFUNCTION("""COMPUTED_VALUE"""),15.0)</f>
        <v>15</v>
      </c>
      <c r="D10" s="1">
        <f>IFERROR(__xludf.DUMMYFUNCTION("""COMPUTED_VALUE"""),9.0)</f>
        <v>9</v>
      </c>
      <c r="E10" s="1">
        <f>IFERROR(__xludf.DUMMYFUNCTION("""COMPUTED_VALUE"""),14.0)</f>
        <v>14</v>
      </c>
      <c r="F10" s="1">
        <f>IFERROR(__xludf.DUMMYFUNCTION("""COMPUTED_VALUE"""),48.0)</f>
        <v>48</v>
      </c>
      <c r="G10" s="1">
        <f>IFERROR(__xludf.DUMMYFUNCTION("""COMPUTED_VALUE"""),45.0)</f>
        <v>45</v>
      </c>
      <c r="H10" s="1" t="str">
        <f>IFERROR(__xludf.DUMMYFUNCTION("""COMPUTED_VALUE"""),"+3")</f>
        <v>+3</v>
      </c>
      <c r="I10" s="1">
        <f>IFERROR(__xludf.DUMMYFUNCTION("""COMPUTED_VALUE"""),54.0)</f>
        <v>54</v>
      </c>
    </row>
    <row r="11">
      <c r="A11" s="1" t="str">
        <f>IFERROR(__xludf.DUMMYFUNCTION("""COMPUTED_VALUE"""),"10CRYCrystal Palace")</f>
        <v>10CRYCrystal Palace</v>
      </c>
      <c r="B11" s="1">
        <f>IFERROR(__xludf.DUMMYFUNCTION("""COMPUTED_VALUE"""),38.0)</f>
        <v>38</v>
      </c>
      <c r="C11" s="1">
        <f>IFERROR(__xludf.DUMMYFUNCTION("""COMPUTED_VALUE"""),13.0)</f>
        <v>13</v>
      </c>
      <c r="D11" s="1">
        <f>IFERROR(__xludf.DUMMYFUNCTION("""COMPUTED_VALUE"""),9.0)</f>
        <v>9</v>
      </c>
      <c r="E11" s="1">
        <f>IFERROR(__xludf.DUMMYFUNCTION("""COMPUTED_VALUE"""),16.0)</f>
        <v>16</v>
      </c>
      <c r="F11" s="1">
        <f>IFERROR(__xludf.DUMMYFUNCTION("""COMPUTED_VALUE"""),47.0)</f>
        <v>47</v>
      </c>
      <c r="G11" s="1">
        <f>IFERROR(__xludf.DUMMYFUNCTION("""COMPUTED_VALUE"""),51.0)</f>
        <v>51</v>
      </c>
      <c r="H11" s="1">
        <f>IFERROR(__xludf.DUMMYFUNCTION("""COMPUTED_VALUE"""),-4.0)</f>
        <v>-4</v>
      </c>
      <c r="I11" s="1">
        <f>IFERROR(__xludf.DUMMYFUNCTION("""COMPUTED_VALUE"""),48.0)</f>
        <v>48</v>
      </c>
    </row>
    <row r="12">
      <c r="A12" s="1" t="str">
        <f>IFERROR(__xludf.DUMMYFUNCTION("""COMPUTED_VALUE"""),"11EVEEverton")</f>
        <v>11EVEEverton</v>
      </c>
      <c r="B12" s="1">
        <f>IFERROR(__xludf.DUMMYFUNCTION("""COMPUTED_VALUE"""),38.0)</f>
        <v>38</v>
      </c>
      <c r="C12" s="1">
        <f>IFERROR(__xludf.DUMMYFUNCTION("""COMPUTED_VALUE"""),12.0)</f>
        <v>12</v>
      </c>
      <c r="D12" s="1">
        <f>IFERROR(__xludf.DUMMYFUNCTION("""COMPUTED_VALUE"""),11.0)</f>
        <v>11</v>
      </c>
      <c r="E12" s="1">
        <f>IFERROR(__xludf.DUMMYFUNCTION("""COMPUTED_VALUE"""),15.0)</f>
        <v>15</v>
      </c>
      <c r="F12" s="1">
        <f>IFERROR(__xludf.DUMMYFUNCTION("""COMPUTED_VALUE"""),48.0)</f>
        <v>48</v>
      </c>
      <c r="G12" s="1">
        <f>IFERROR(__xludf.DUMMYFUNCTION("""COMPUTED_VALUE"""),50.0)</f>
        <v>50</v>
      </c>
      <c r="H12" s="1">
        <f>IFERROR(__xludf.DUMMYFUNCTION("""COMPUTED_VALUE"""),-2.0)</f>
        <v>-2</v>
      </c>
      <c r="I12" s="1">
        <f>IFERROR(__xludf.DUMMYFUNCTION("""COMPUTED_VALUE"""),47.0)</f>
        <v>47</v>
      </c>
    </row>
    <row r="13">
      <c r="A13" s="1" t="str">
        <f>IFERROR(__xludf.DUMMYFUNCTION("""COMPUTED_VALUE"""),"12WHUWest Ham United")</f>
        <v>12WHUWest Ham United</v>
      </c>
      <c r="B13" s="1">
        <f>IFERROR(__xludf.DUMMYFUNCTION("""COMPUTED_VALUE"""),38.0)</f>
        <v>38</v>
      </c>
      <c r="C13" s="1">
        <f>IFERROR(__xludf.DUMMYFUNCTION("""COMPUTED_VALUE"""),12.0)</f>
        <v>12</v>
      </c>
      <c r="D13" s="1">
        <f>IFERROR(__xludf.DUMMYFUNCTION("""COMPUTED_VALUE"""),11.0)</f>
        <v>11</v>
      </c>
      <c r="E13" s="1">
        <f>IFERROR(__xludf.DUMMYFUNCTION("""COMPUTED_VALUE"""),15.0)</f>
        <v>15</v>
      </c>
      <c r="F13" s="1">
        <f>IFERROR(__xludf.DUMMYFUNCTION("""COMPUTED_VALUE"""),44.0)</f>
        <v>44</v>
      </c>
      <c r="G13" s="1">
        <f>IFERROR(__xludf.DUMMYFUNCTION("""COMPUTED_VALUE"""),47.0)</f>
        <v>47</v>
      </c>
      <c r="H13" s="1">
        <f>IFERROR(__xludf.DUMMYFUNCTION("""COMPUTED_VALUE"""),-3.0)</f>
        <v>-3</v>
      </c>
      <c r="I13" s="1">
        <f>IFERROR(__xludf.DUMMYFUNCTION("""COMPUTED_VALUE"""),47.0)</f>
        <v>47</v>
      </c>
    </row>
    <row r="14">
      <c r="A14" s="1" t="str">
        <f>IFERROR(__xludf.DUMMYFUNCTION("""COMPUTED_VALUE"""),"13WBAWest Bromwich Albion")</f>
        <v>13WBAWest Bromwich Albion</v>
      </c>
      <c r="B14" s="1">
        <f>IFERROR(__xludf.DUMMYFUNCTION("""COMPUTED_VALUE"""),38.0)</f>
        <v>38</v>
      </c>
      <c r="C14" s="1">
        <f>IFERROR(__xludf.DUMMYFUNCTION("""COMPUTED_VALUE"""),11.0)</f>
        <v>11</v>
      </c>
      <c r="D14" s="1">
        <f>IFERROR(__xludf.DUMMYFUNCTION("""COMPUTED_VALUE"""),11.0)</f>
        <v>11</v>
      </c>
      <c r="E14" s="1">
        <f>IFERROR(__xludf.DUMMYFUNCTION("""COMPUTED_VALUE"""),16.0)</f>
        <v>16</v>
      </c>
      <c r="F14" s="1">
        <f>IFERROR(__xludf.DUMMYFUNCTION("""COMPUTED_VALUE"""),38.0)</f>
        <v>38</v>
      </c>
      <c r="G14" s="1">
        <f>IFERROR(__xludf.DUMMYFUNCTION("""COMPUTED_VALUE"""),51.0)</f>
        <v>51</v>
      </c>
      <c r="H14" s="1">
        <f>IFERROR(__xludf.DUMMYFUNCTION("""COMPUTED_VALUE"""),-13.0)</f>
        <v>-13</v>
      </c>
      <c r="I14" s="1">
        <f>IFERROR(__xludf.DUMMYFUNCTION("""COMPUTED_VALUE"""),44.0)</f>
        <v>44</v>
      </c>
    </row>
    <row r="15">
      <c r="A15" s="1" t="str">
        <f>IFERROR(__xludf.DUMMYFUNCTION("""COMPUTED_VALUE"""),"14LEILeicester City")</f>
        <v>14LEILeicester City</v>
      </c>
      <c r="B15" s="1">
        <f>IFERROR(__xludf.DUMMYFUNCTION("""COMPUTED_VALUE"""),38.0)</f>
        <v>38</v>
      </c>
      <c r="C15" s="1">
        <f>IFERROR(__xludf.DUMMYFUNCTION("""COMPUTED_VALUE"""),11.0)</f>
        <v>11</v>
      </c>
      <c r="D15" s="1">
        <f>IFERROR(__xludf.DUMMYFUNCTION("""COMPUTED_VALUE"""),8.0)</f>
        <v>8</v>
      </c>
      <c r="E15" s="1">
        <f>IFERROR(__xludf.DUMMYFUNCTION("""COMPUTED_VALUE"""),19.0)</f>
        <v>19</v>
      </c>
      <c r="F15" s="1">
        <f>IFERROR(__xludf.DUMMYFUNCTION("""COMPUTED_VALUE"""),46.0)</f>
        <v>46</v>
      </c>
      <c r="G15" s="1">
        <f>IFERROR(__xludf.DUMMYFUNCTION("""COMPUTED_VALUE"""),55.0)</f>
        <v>55</v>
      </c>
      <c r="H15" s="1">
        <f>IFERROR(__xludf.DUMMYFUNCTION("""COMPUTED_VALUE"""),-9.0)</f>
        <v>-9</v>
      </c>
      <c r="I15" s="1">
        <f>IFERROR(__xludf.DUMMYFUNCTION("""COMPUTED_VALUE"""),41.0)</f>
        <v>41</v>
      </c>
    </row>
    <row r="16">
      <c r="A16" s="1" t="str">
        <f>IFERROR(__xludf.DUMMYFUNCTION("""COMPUTED_VALUE"""),"15NEWNewcastle United")</f>
        <v>15NEWNewcastle United</v>
      </c>
      <c r="B16" s="1">
        <f>IFERROR(__xludf.DUMMYFUNCTION("""COMPUTED_VALUE"""),38.0)</f>
        <v>38</v>
      </c>
      <c r="C16" s="1">
        <f>IFERROR(__xludf.DUMMYFUNCTION("""COMPUTED_VALUE"""),10.0)</f>
        <v>10</v>
      </c>
      <c r="D16" s="1">
        <f>IFERROR(__xludf.DUMMYFUNCTION("""COMPUTED_VALUE"""),9.0)</f>
        <v>9</v>
      </c>
      <c r="E16" s="1">
        <f>IFERROR(__xludf.DUMMYFUNCTION("""COMPUTED_VALUE"""),19.0)</f>
        <v>19</v>
      </c>
      <c r="F16" s="1">
        <f>IFERROR(__xludf.DUMMYFUNCTION("""COMPUTED_VALUE"""),40.0)</f>
        <v>40</v>
      </c>
      <c r="G16" s="1">
        <f>IFERROR(__xludf.DUMMYFUNCTION("""COMPUTED_VALUE"""),63.0)</f>
        <v>63</v>
      </c>
      <c r="H16" s="1">
        <f>IFERROR(__xludf.DUMMYFUNCTION("""COMPUTED_VALUE"""),-23.0)</f>
        <v>-23</v>
      </c>
      <c r="I16" s="1">
        <f>IFERROR(__xludf.DUMMYFUNCTION("""COMPUTED_VALUE"""),39.0)</f>
        <v>39</v>
      </c>
    </row>
    <row r="17">
      <c r="A17" s="1" t="str">
        <f>IFERROR(__xludf.DUMMYFUNCTION("""COMPUTED_VALUE"""),"16SUNSunderland")</f>
        <v>16SUNSunderland</v>
      </c>
      <c r="B17" s="1">
        <f>IFERROR(__xludf.DUMMYFUNCTION("""COMPUTED_VALUE"""),38.0)</f>
        <v>38</v>
      </c>
      <c r="C17" s="1">
        <f>IFERROR(__xludf.DUMMYFUNCTION("""COMPUTED_VALUE"""),7.0)</f>
        <v>7</v>
      </c>
      <c r="D17" s="1">
        <f>IFERROR(__xludf.DUMMYFUNCTION("""COMPUTED_VALUE"""),17.0)</f>
        <v>17</v>
      </c>
      <c r="E17" s="1">
        <f>IFERROR(__xludf.DUMMYFUNCTION("""COMPUTED_VALUE"""),14.0)</f>
        <v>14</v>
      </c>
      <c r="F17" s="1">
        <f>IFERROR(__xludf.DUMMYFUNCTION("""COMPUTED_VALUE"""),31.0)</f>
        <v>31</v>
      </c>
      <c r="G17" s="1">
        <f>IFERROR(__xludf.DUMMYFUNCTION("""COMPUTED_VALUE"""),53.0)</f>
        <v>53</v>
      </c>
      <c r="H17" s="1">
        <f>IFERROR(__xludf.DUMMYFUNCTION("""COMPUTED_VALUE"""),-22.0)</f>
        <v>-22</v>
      </c>
      <c r="I17" s="1">
        <f>IFERROR(__xludf.DUMMYFUNCTION("""COMPUTED_VALUE"""),38.0)</f>
        <v>38</v>
      </c>
    </row>
    <row r="18">
      <c r="A18" s="1" t="str">
        <f>IFERROR(__xludf.DUMMYFUNCTION("""COMPUTED_VALUE"""),"17AVLAston Villa")</f>
        <v>17AVLAston Villa</v>
      </c>
      <c r="B18" s="1">
        <f>IFERROR(__xludf.DUMMYFUNCTION("""COMPUTED_VALUE"""),38.0)</f>
        <v>38</v>
      </c>
      <c r="C18" s="1">
        <f>IFERROR(__xludf.DUMMYFUNCTION("""COMPUTED_VALUE"""),10.0)</f>
        <v>10</v>
      </c>
      <c r="D18" s="1">
        <f>IFERROR(__xludf.DUMMYFUNCTION("""COMPUTED_VALUE"""),8.0)</f>
        <v>8</v>
      </c>
      <c r="E18" s="1">
        <f>IFERROR(__xludf.DUMMYFUNCTION("""COMPUTED_VALUE"""),20.0)</f>
        <v>20</v>
      </c>
      <c r="F18" s="1">
        <f>IFERROR(__xludf.DUMMYFUNCTION("""COMPUTED_VALUE"""),31.0)</f>
        <v>31</v>
      </c>
      <c r="G18" s="1">
        <f>IFERROR(__xludf.DUMMYFUNCTION("""COMPUTED_VALUE"""),57.0)</f>
        <v>57</v>
      </c>
      <c r="H18" s="1">
        <f>IFERROR(__xludf.DUMMYFUNCTION("""COMPUTED_VALUE"""),-26.0)</f>
        <v>-26</v>
      </c>
      <c r="I18" s="1">
        <f>IFERROR(__xludf.DUMMYFUNCTION("""COMPUTED_VALUE"""),38.0)</f>
        <v>38</v>
      </c>
    </row>
    <row r="19">
      <c r="A19" s="1" t="str">
        <f>IFERROR(__xludf.DUMMYFUNCTION("""COMPUTED_VALUE"""),"18HULHull City")</f>
        <v>18HULHull City</v>
      </c>
      <c r="B19" s="1">
        <f>IFERROR(__xludf.DUMMYFUNCTION("""COMPUTED_VALUE"""),38.0)</f>
        <v>38</v>
      </c>
      <c r="C19" s="1">
        <f>IFERROR(__xludf.DUMMYFUNCTION("""COMPUTED_VALUE"""),8.0)</f>
        <v>8</v>
      </c>
      <c r="D19" s="1">
        <f>IFERROR(__xludf.DUMMYFUNCTION("""COMPUTED_VALUE"""),11.0)</f>
        <v>11</v>
      </c>
      <c r="E19" s="1">
        <f>IFERROR(__xludf.DUMMYFUNCTION("""COMPUTED_VALUE"""),19.0)</f>
        <v>19</v>
      </c>
      <c r="F19" s="1">
        <f>IFERROR(__xludf.DUMMYFUNCTION("""COMPUTED_VALUE"""),33.0)</f>
        <v>33</v>
      </c>
      <c r="G19" s="1">
        <f>IFERROR(__xludf.DUMMYFUNCTION("""COMPUTED_VALUE"""),51.0)</f>
        <v>51</v>
      </c>
      <c r="H19" s="1">
        <f>IFERROR(__xludf.DUMMYFUNCTION("""COMPUTED_VALUE"""),-18.0)</f>
        <v>-18</v>
      </c>
      <c r="I19" s="1">
        <f>IFERROR(__xludf.DUMMYFUNCTION("""COMPUTED_VALUE"""),35.0)</f>
        <v>35</v>
      </c>
    </row>
    <row r="20">
      <c r="A20" s="1" t="str">
        <f>IFERROR(__xludf.DUMMYFUNCTION("""COMPUTED_VALUE"""),"19BURBurnley")</f>
        <v>19BURBurnley</v>
      </c>
      <c r="B20" s="1">
        <f>IFERROR(__xludf.DUMMYFUNCTION("""COMPUTED_VALUE"""),38.0)</f>
        <v>38</v>
      </c>
      <c r="C20" s="1">
        <f>IFERROR(__xludf.DUMMYFUNCTION("""COMPUTED_VALUE"""),7.0)</f>
        <v>7</v>
      </c>
      <c r="D20" s="1">
        <f>IFERROR(__xludf.DUMMYFUNCTION("""COMPUTED_VALUE"""),12.0)</f>
        <v>12</v>
      </c>
      <c r="E20" s="1">
        <f>IFERROR(__xludf.DUMMYFUNCTION("""COMPUTED_VALUE"""),19.0)</f>
        <v>19</v>
      </c>
      <c r="F20" s="1">
        <f>IFERROR(__xludf.DUMMYFUNCTION("""COMPUTED_VALUE"""),28.0)</f>
        <v>28</v>
      </c>
      <c r="G20" s="1">
        <f>IFERROR(__xludf.DUMMYFUNCTION("""COMPUTED_VALUE"""),53.0)</f>
        <v>53</v>
      </c>
      <c r="H20" s="1">
        <f>IFERROR(__xludf.DUMMYFUNCTION("""COMPUTED_VALUE"""),-25.0)</f>
        <v>-25</v>
      </c>
      <c r="I20" s="1">
        <f>IFERROR(__xludf.DUMMYFUNCTION("""COMPUTED_VALUE"""),33.0)</f>
        <v>33</v>
      </c>
    </row>
    <row r="21">
      <c r="A21" s="1" t="str">
        <f>IFERROR(__xludf.DUMMYFUNCTION("""COMPUTED_VALUE"""),"20QPRQueens Park Rangers")</f>
        <v>20QPRQueens Park Rangers</v>
      </c>
      <c r="B21" s="1">
        <f>IFERROR(__xludf.DUMMYFUNCTION("""COMPUTED_VALUE"""),38.0)</f>
        <v>38</v>
      </c>
      <c r="C21" s="1">
        <f>IFERROR(__xludf.DUMMYFUNCTION("""COMPUTED_VALUE"""),8.0)</f>
        <v>8</v>
      </c>
      <c r="D21" s="1">
        <f>IFERROR(__xludf.DUMMYFUNCTION("""COMPUTED_VALUE"""),6.0)</f>
        <v>6</v>
      </c>
      <c r="E21" s="1">
        <f>IFERROR(__xludf.DUMMYFUNCTION("""COMPUTED_VALUE"""),24.0)</f>
        <v>24</v>
      </c>
      <c r="F21" s="1">
        <f>IFERROR(__xludf.DUMMYFUNCTION("""COMPUTED_VALUE"""),42.0)</f>
        <v>42</v>
      </c>
      <c r="G21" s="1">
        <f>IFERROR(__xludf.DUMMYFUNCTION("""COMPUTED_VALUE"""),73.0)</f>
        <v>73</v>
      </c>
      <c r="H21" s="1">
        <f>IFERROR(__xludf.DUMMYFUNCTION("""COMPUTED_VALUE"""),-31.0)</f>
        <v>-31</v>
      </c>
      <c r="I21" s="1">
        <f>IFERROR(__xludf.DUMMYFUNCTION("""COMPUTED_VALUE"""),30.0)</f>
        <v>30</v>
      </c>
    </row>
  </sheetData>
  <drawing r:id="rId1"/>
</worksheet>
</file>