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eam\Desktop\excel-challenge\"/>
    </mc:Choice>
  </mc:AlternateContent>
  <xr:revisionPtr revIDLastSave="0" documentId="8_{6518FC9E-E847-4C45-A3D5-22562E4D917F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7" r:id="rId4"/>
    <sheet name="Sheet4" sheetId="9" r:id="rId5"/>
    <sheet name="Sheet5" sheetId="10" r:id="rId6"/>
  </sheets>
  <definedNames>
    <definedName name="_xlnm._FilterDatabase" localSheetId="0" hidden="1">Crowdfunding!$A$1:$T$1001</definedName>
    <definedName name="_xlchart.v1.0" hidden="1">Sheet5!$B$1</definedName>
    <definedName name="_xlchart.v1.1" hidden="1">Sheet5!$B$2:$B$566</definedName>
    <definedName name="_xlchart.v1.2" hidden="1">Sheet5!$E$1</definedName>
    <definedName name="_xlchart.v1.3" hidden="1">Sheet5!$E$2:$E$566</definedName>
  </definedNames>
  <calcPr calcId="191029" concurrentCalc="0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0" l="1"/>
  <c r="N2" i="10"/>
  <c r="M3" i="10"/>
  <c r="M2" i="10"/>
  <c r="L3" i="10"/>
  <c r="L2" i="10"/>
  <c r="K3" i="10"/>
  <c r="K2" i="10"/>
  <c r="J3" i="10"/>
  <c r="J2" i="10"/>
  <c r="I3" i="10"/>
  <c r="I2" i="10"/>
  <c r="D3" i="9"/>
  <c r="B3" i="9"/>
  <c r="C3" i="9"/>
  <c r="E3" i="9"/>
  <c r="H3" i="9"/>
  <c r="D4" i="9"/>
  <c r="B4" i="9"/>
  <c r="C4" i="9"/>
  <c r="E4" i="9"/>
  <c r="H4" i="9"/>
  <c r="D5" i="9"/>
  <c r="B5" i="9"/>
  <c r="C5" i="9"/>
  <c r="E5" i="9"/>
  <c r="H5" i="9"/>
  <c r="D6" i="9"/>
  <c r="B6" i="9"/>
  <c r="C6" i="9"/>
  <c r="E6" i="9"/>
  <c r="H6" i="9"/>
  <c r="D7" i="9"/>
  <c r="B7" i="9"/>
  <c r="C7" i="9"/>
  <c r="E7" i="9"/>
  <c r="H7" i="9"/>
  <c r="D8" i="9"/>
  <c r="B8" i="9"/>
  <c r="C8" i="9"/>
  <c r="E8" i="9"/>
  <c r="H8" i="9"/>
  <c r="D9" i="9"/>
  <c r="B9" i="9"/>
  <c r="C9" i="9"/>
  <c r="E9" i="9"/>
  <c r="H9" i="9"/>
  <c r="D10" i="9"/>
  <c r="B10" i="9"/>
  <c r="C10" i="9"/>
  <c r="E10" i="9"/>
  <c r="H10" i="9"/>
  <c r="D11" i="9"/>
  <c r="B11" i="9"/>
  <c r="C11" i="9"/>
  <c r="E11" i="9"/>
  <c r="H11" i="9"/>
  <c r="D12" i="9"/>
  <c r="B12" i="9"/>
  <c r="C12" i="9"/>
  <c r="E12" i="9"/>
  <c r="H12" i="9"/>
  <c r="D13" i="9"/>
  <c r="B13" i="9"/>
  <c r="C13" i="9"/>
  <c r="E13" i="9"/>
  <c r="H13" i="9"/>
  <c r="D2" i="9"/>
  <c r="B2" i="9"/>
  <c r="C2" i="9"/>
  <c r="E2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<sst xmlns="http://schemas.openxmlformats.org/spreadsheetml/2006/main" count="7063" uniqueCount="2113">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</sst>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theme="1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/>
    </xf>
    <xf numFmtId="9" fontId="0" fillId="0" borderId="0" xfId="42" applyFont="1"/>
    <xf numFmtId="0" fontId="16" fillId="0" borderId="0" xfId="0" applyFont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-0.49998474074526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-0.49998474074526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-0.49998474074526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-0.49998474074526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-0.49998474074526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-0.49998474074526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-0.49998474074526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-0.499984740745262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Matt Shea.xlsx]Sheet1!PivotTable1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3-47E8-AFE0-A2BB41E7759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3-47E8-AFE0-A2BB41E7759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3-47E8-AFE0-A2BB41E7759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0-42CD-A240-24D08191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2687"/>
        <c:axId val="16726927"/>
      </c:barChart>
      <c:catAx>
        <c:axId val="167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927"/>
        <c:crosses val="autoZero"/>
        <c:auto val="1"/>
        <c:lblAlgn val="ctr"/>
        <c:lblOffset val="100"/>
        <c:noMultiLvlLbl val="0"/>
      </c:catAx>
      <c:valAx>
        <c:axId val="167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Matt Shea.xlsx]Sheet2!PivotTable2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6-44EB-BFFC-2131944FFA8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6-44EB-BFFC-2131944FFA8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6-44EB-BFFC-2131944FFA8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6-44EB-BFFC-2131944F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823295"/>
        <c:axId val="402805535"/>
      </c:barChart>
      <c:catAx>
        <c:axId val="4028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05535"/>
        <c:crosses val="autoZero"/>
        <c:auto val="1"/>
        <c:lblAlgn val="ctr"/>
        <c:lblOffset val="100"/>
        <c:noMultiLvlLbl val="0"/>
      </c:catAx>
      <c:valAx>
        <c:axId val="4028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2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Matt Shea.xlsx]Sheet3!PivotTable6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6"/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alpha val="99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E-4342-A2C1-79189F3117E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E-4342-A2C1-79189F3117E7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E-4342-A2C1-79189F311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69823"/>
        <c:axId val="618170303"/>
      </c:lineChart>
      <c:catAx>
        <c:axId val="61816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0303"/>
        <c:crosses val="autoZero"/>
        <c:auto val="1"/>
        <c:lblAlgn val="ctr"/>
        <c:lblOffset val="100"/>
        <c:noMultiLvlLbl val="0"/>
      </c:catAx>
      <c:valAx>
        <c:axId val="6181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6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6-401E-8927-05996E0DB3E3}"/>
            </c:ext>
          </c:extLst>
        </c:ser>
        <c:ser>
          <c:idx val="1"/>
          <c:order val="1"/>
          <c:tx>
            <c:v>Percentage Failed</c:v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6-401E-8927-05996E0DB3E3}"/>
            </c:ext>
          </c:extLst>
        </c:ser>
        <c:ser>
          <c:idx val="2"/>
          <c:order val="2"/>
          <c:tx>
            <c:v>Percentage Canceled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6-401E-8927-05996E0DB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69344"/>
        <c:axId val="405866464"/>
      </c:lineChart>
      <c:catAx>
        <c:axId val="4058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66464"/>
        <c:crosses val="autoZero"/>
        <c:auto val="1"/>
        <c:lblAlgn val="ctr"/>
        <c:lblOffset val="100"/>
        <c:noMultiLvlLbl val="0"/>
      </c:catAx>
      <c:valAx>
        <c:axId val="4058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# of Backers- Successful and 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of Backers- Successful and Unsuccessful</a:t>
          </a:r>
        </a:p>
      </cx:txPr>
    </cx:title>
    <cx:plotArea>
      <cx:plotAreaRegion>
        <cx:series layoutId="boxWhisker" uniqueId="{8E6F0D6B-E021-4AAA-A079-D0A2AC33F5B7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0F09E5E-3BAF-40D0-9634-CA055B35CDC0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Successful or Not Successful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or Not Successful</a:t>
              </a:r>
            </a:p>
          </cx:txPr>
        </cx:title>
        <cx:tickLabels/>
      </cx:axis>
      <cx:axis id="1">
        <cx:valScaling/>
        <cx:title>
          <cx:tx>
            <cx:txData>
              <cx:v>Count of the 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the Number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384173</xdr:colOff>
      <xdr:row>0</xdr:row>
      <xdr:rowOff>0</xdr:rowOff>
    </xdr:from>
    <xdr:to>
      <xdr:col>17</xdr:col>
      <xdr:colOff>150812</xdr:colOff>
      <xdr:row>20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65E46-6440-A2D8-235D-FE1B9FCB8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85723</xdr:colOff>
      <xdr:row>3</xdr:row>
      <xdr:rowOff>3174</xdr:rowOff>
    </xdr:from>
    <xdr:to>
      <xdr:col>18</xdr:col>
      <xdr:colOff>346074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1F491-B3AD-074D-A69E-C2B944D6C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0</xdr:rowOff>
    </xdr:from>
    <xdr:to>
      <xdr:col>14</xdr:col>
      <xdr:colOff>431799</xdr:colOff>
      <xdr:row>17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40146-F525-AB6E-5CA3-45641ECDE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253294</xdr:colOff>
      <xdr:row>14</xdr:row>
      <xdr:rowOff>100188</xdr:rowOff>
    </xdr:from>
    <xdr:to>
      <xdr:col>7</xdr:col>
      <xdr:colOff>1904999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2A655-DFFF-117F-B3CA-B467D7C1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4</xdr:row>
      <xdr:rowOff>76200</xdr:rowOff>
    </xdr:from>
    <xdr:to>
      <xdr:col>15</xdr:col>
      <xdr:colOff>177800</xdr:colOff>
      <xdr:row>24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802CDE-18B1-ACBE-5F63-EA692BC6D2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7950" y="863600"/>
              <a:ext cx="6146800" cy="398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shea" refreshedDate="45579.767373263887" createdVersion="8" refreshedVersion="8" minRefreshableVersion="3" recordCount="1000" xr:uid="{57C81F1F-3AC8-49F0-8579-A9EF180BBB5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24C66-B620-49F1-9DA7-DA2D3418F0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4FC3D-AAB0-4D61-AAEE-FAB025825A0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D3309-ADB6-43B7-A442-1C3B3CA86C5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formats count="13">
    <format dxfId="44">
      <pivotArea collapsedLevelsAreSubtotals="1" fieldPosition="0">
        <references count="1">
          <reference field="20" count="1">
            <x v="1"/>
          </reference>
        </references>
      </pivotArea>
    </format>
    <format dxfId="43">
      <pivotArea collapsedLevelsAreSubtotals="1" fieldPosition="0">
        <references count="1">
          <reference field="20" count="1">
            <x v="2"/>
          </reference>
        </references>
      </pivotArea>
    </format>
    <format dxfId="42">
      <pivotArea collapsedLevelsAreSubtotals="1" fieldPosition="0">
        <references count="1">
          <reference field="20" count="1">
            <x v="3"/>
          </reference>
        </references>
      </pivotArea>
    </format>
    <format dxfId="41">
      <pivotArea collapsedLevelsAreSubtotals="1" fieldPosition="0">
        <references count="1">
          <reference field="20" count="1">
            <x v="4"/>
          </reference>
        </references>
      </pivotArea>
    </format>
    <format dxfId="40">
      <pivotArea collapsedLevelsAreSubtotals="1" fieldPosition="0">
        <references count="1">
          <reference field="20" count="1">
            <x v="5"/>
          </reference>
        </references>
      </pivotArea>
    </format>
    <format dxfId="39">
      <pivotArea collapsedLevelsAreSubtotals="1" fieldPosition="0">
        <references count="1">
          <reference field="20" count="1">
            <x v="6"/>
          </reference>
        </references>
      </pivotArea>
    </format>
    <format dxfId="38">
      <pivotArea collapsedLevelsAreSubtotals="1" fieldPosition="0">
        <references count="1">
          <reference field="20" count="1">
            <x v="7"/>
          </reference>
        </references>
      </pivotArea>
    </format>
    <format dxfId="37">
      <pivotArea collapsedLevelsAreSubtotals="1" fieldPosition="0">
        <references count="1">
          <reference field="20" count="1">
            <x v="8"/>
          </reference>
        </references>
      </pivotArea>
    </format>
    <format dxfId="36">
      <pivotArea collapsedLevelsAreSubtotals="1" fieldPosition="0">
        <references count="1">
          <reference field="20" count="1">
            <x v="9"/>
          </reference>
        </references>
      </pivotArea>
    </format>
    <format dxfId="35">
      <pivotArea collapsedLevelsAreSubtotals="1" fieldPosition="0">
        <references count="1">
          <reference field="20" count="1">
            <x v="10"/>
          </reference>
        </references>
      </pivotArea>
    </format>
    <format dxfId="34">
      <pivotArea collapsedLevelsAreSubtotals="1" fieldPosition="0">
        <references count="1">
          <reference field="20" count="1">
            <x v="11"/>
          </reference>
        </references>
      </pivotArea>
    </format>
    <format dxfId="33">
      <pivotArea collapsedLevelsAreSubtotals="1" fieldPosition="0">
        <references count="1">
          <reference field="20" count="1">
            <x v="12"/>
          </reference>
        </references>
      </pivotArea>
    </format>
    <format dxfId="32">
      <pivotArea dataOnly="0" labelOnly="1" fieldPosition="0">
        <references count="1">
          <reference field="2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zoomScale="60" zoomScaleNormal="60" workbookViewId="0">
      <selection activeCell="D6" sqref="D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08203125" style="7" bestFit="1" customWidth="1"/>
    <col min="8" max="8" width="13" bestFit="1" customWidth="1"/>
    <col min="9" max="9" width="15.9140625" style="5" bestFit="1" customWidth="1"/>
    <col min="12" max="13" width="11.1640625" bestFit="1" customWidth="1"/>
    <col min="14" max="14" width="21.75" style="11" bestFit="1" customWidth="1"/>
    <col min="15" max="15" width="20.33203125" style="11" bestFit="1" customWidth="1"/>
    <col min="18" max="18" width="28" bestFit="1" customWidth="1"/>
    <col min="19" max="19" width="14.33203125" bestFit="1" customWidth="1"/>
    <col min="20" max="20" width="11.7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5">
        <f>IFERROR(E2/H2, 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6" si="0"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-1)</f>
        <v>food</v>
      </c>
      <c r="T2" t="str">
        <f>RIGHT(R2,LEN(R2) -FIND("/",R2))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1">(E3/D3)*100</f>
        <v>1040</v>
      </c>
      <c r="G3" t="s">
        <v>20</v>
      </c>
      <c r="H3">
        <v>158</v>
      </c>
      <c r="I3" s="5">
        <f t="shared" ref="I3:I66" si="2">IFERROR(E3/H3,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si="0"/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 -1)</f>
        <v>music</v>
      </c>
      <c r="T3" t="str">
        <f t="shared" ref="T3:T66" si="5">RIGHT(R3,LEN(R3) -FIND("/",R3))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1"/>
        <v>131.4787822878229</v>
      </c>
      <c r="G4" t="s">
        <v>20</v>
      </c>
      <c r="H4">
        <v>1425</v>
      </c>
      <c r="I4" s="5">
        <f t="shared" si="2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1"/>
        <v>58.976190476190467</v>
      </c>
      <c r="G5" t="s">
        <v>14</v>
      </c>
      <c r="H5">
        <v>24</v>
      </c>
      <c r="I5" s="5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1"/>
        <v>69.276315789473685</v>
      </c>
      <c r="G6" t="s">
        <v>14</v>
      </c>
      <c r="H6">
        <v>53</v>
      </c>
      <c r="I6" s="5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1"/>
        <v>173.61842105263159</v>
      </c>
      <c r="G7" t="s">
        <v>20</v>
      </c>
      <c r="H7">
        <v>174</v>
      </c>
      <c r="I7" s="5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1"/>
        <v>20.961538461538463</v>
      </c>
      <c r="G8" t="s">
        <v>14</v>
      </c>
      <c r="H8">
        <v>18</v>
      </c>
      <c r="I8" s="5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1"/>
        <v>327.57777777777778</v>
      </c>
      <c r="G9" t="s">
        <v>20</v>
      </c>
      <c r="H9">
        <v>227</v>
      </c>
      <c r="I9" s="5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1"/>
        <v>19.932788374205266</v>
      </c>
      <c r="G10" t="s">
        <v>47</v>
      </c>
      <c r="H10">
        <v>708</v>
      </c>
      <c r="I10" s="5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1"/>
        <v>51.741935483870968</v>
      </c>
      <c r="G11" t="s">
        <v>14</v>
      </c>
      <c r="H11">
        <v>44</v>
      </c>
      <c r="I11" s="5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1"/>
        <v>266.11538461538464</v>
      </c>
      <c r="G12" t="s">
        <v>20</v>
      </c>
      <c r="H12">
        <v>220</v>
      </c>
      <c r="I12" s="5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1"/>
        <v>48.095238095238095</v>
      </c>
      <c r="G13" t="s">
        <v>14</v>
      </c>
      <c r="H13">
        <v>27</v>
      </c>
      <c r="I13" s="5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1"/>
        <v>89.349206349206341</v>
      </c>
      <c r="G14" t="s">
        <v>14</v>
      </c>
      <c r="H14">
        <v>55</v>
      </c>
      <c r="I14" s="5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1"/>
        <v>245.11904761904765</v>
      </c>
      <c r="G15" t="s">
        <v>20</v>
      </c>
      <c r="H15">
        <v>98</v>
      </c>
      <c r="I15" s="5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1"/>
        <v>66.769503546099301</v>
      </c>
      <c r="G16" t="s">
        <v>14</v>
      </c>
      <c r="H16">
        <v>200</v>
      </c>
      <c r="I16" s="5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1"/>
        <v>47.307881773399011</v>
      </c>
      <c r="G17" t="s">
        <v>14</v>
      </c>
      <c r="H17">
        <v>452</v>
      </c>
      <c r="I17" s="5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1"/>
        <v>649.47058823529414</v>
      </c>
      <c r="G18" t="s">
        <v>20</v>
      </c>
      <c r="H18">
        <v>100</v>
      </c>
      <c r="I18" s="5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1"/>
        <v>159.39125295508273</v>
      </c>
      <c r="G19" t="s">
        <v>20</v>
      </c>
      <c r="H19">
        <v>1249</v>
      </c>
      <c r="I19" s="5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1"/>
        <v>66.912087912087912</v>
      </c>
      <c r="G20" t="s">
        <v>74</v>
      </c>
      <c r="H20">
        <v>135</v>
      </c>
      <c r="I20" s="5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1"/>
        <v>48.529600000000002</v>
      </c>
      <c r="G21" t="s">
        <v>14</v>
      </c>
      <c r="H21">
        <v>674</v>
      </c>
      <c r="I21" s="5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1"/>
        <v>112.24279210925646</v>
      </c>
      <c r="G22" t="s">
        <v>20</v>
      </c>
      <c r="H22">
        <v>1396</v>
      </c>
      <c r="I22" s="5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1"/>
        <v>40.992553191489364</v>
      </c>
      <c r="G23" t="s">
        <v>14</v>
      </c>
      <c r="H23">
        <v>558</v>
      </c>
      <c r="I23" s="5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1"/>
        <v>128.07106598984771</v>
      </c>
      <c r="G24" t="s">
        <v>20</v>
      </c>
      <c r="H24">
        <v>890</v>
      </c>
      <c r="I24" s="5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1"/>
        <v>332.04444444444448</v>
      </c>
      <c r="G25" t="s">
        <v>20</v>
      </c>
      <c r="H25">
        <v>142</v>
      </c>
      <c r="I25" s="5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1"/>
        <v>112.83225108225108</v>
      </c>
      <c r="G26" t="s">
        <v>20</v>
      </c>
      <c r="H26">
        <v>2673</v>
      </c>
      <c r="I26" s="5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1"/>
        <v>216.43636363636364</v>
      </c>
      <c r="G27" t="s">
        <v>20</v>
      </c>
      <c r="H27">
        <v>163</v>
      </c>
      <c r="I27" s="5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1"/>
        <v>48.199069767441863</v>
      </c>
      <c r="G28" t="s">
        <v>74</v>
      </c>
      <c r="H28">
        <v>1480</v>
      </c>
      <c r="I28" s="5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1"/>
        <v>79.95</v>
      </c>
      <c r="G29" t="s">
        <v>14</v>
      </c>
      <c r="H29">
        <v>15</v>
      </c>
      <c r="I29" s="5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1"/>
        <v>105.22553516819573</v>
      </c>
      <c r="G30" t="s">
        <v>20</v>
      </c>
      <c r="H30">
        <v>2220</v>
      </c>
      <c r="I30" s="5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1"/>
        <v>328.89978213507629</v>
      </c>
      <c r="G31" t="s">
        <v>20</v>
      </c>
      <c r="H31">
        <v>1606</v>
      </c>
      <c r="I31" s="5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1"/>
        <v>160.61111111111111</v>
      </c>
      <c r="G32" t="s">
        <v>20</v>
      </c>
      <c r="H32">
        <v>129</v>
      </c>
      <c r="I32" s="5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1"/>
        <v>310</v>
      </c>
      <c r="G33" t="s">
        <v>20</v>
      </c>
      <c r="H33">
        <v>226</v>
      </c>
      <c r="I33" s="5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1"/>
        <v>86.807920792079202</v>
      </c>
      <c r="G34" t="s">
        <v>14</v>
      </c>
      <c r="H34">
        <v>2307</v>
      </c>
      <c r="I34" s="5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1"/>
        <v>377.82071713147411</v>
      </c>
      <c r="G35" t="s">
        <v>20</v>
      </c>
      <c r="H35">
        <v>5419</v>
      </c>
      <c r="I35" s="5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1"/>
        <v>150.80645161290323</v>
      </c>
      <c r="G36" t="s">
        <v>20</v>
      </c>
      <c r="H36">
        <v>165</v>
      </c>
      <c r="I36" s="5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1"/>
        <v>150.30119521912351</v>
      </c>
      <c r="G37" t="s">
        <v>20</v>
      </c>
      <c r="H37">
        <v>1965</v>
      </c>
      <c r="I37" s="5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1"/>
        <v>157.28571428571431</v>
      </c>
      <c r="G38" t="s">
        <v>20</v>
      </c>
      <c r="H38">
        <v>16</v>
      </c>
      <c r="I38" s="5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1"/>
        <v>139.98765432098764</v>
      </c>
      <c r="G39" t="s">
        <v>20</v>
      </c>
      <c r="H39">
        <v>107</v>
      </c>
      <c r="I39" s="5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1"/>
        <v>325.32258064516128</v>
      </c>
      <c r="G40" t="s">
        <v>20</v>
      </c>
      <c r="H40">
        <v>134</v>
      </c>
      <c r="I40" s="5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1"/>
        <v>50.777777777777779</v>
      </c>
      <c r="G41" t="s">
        <v>14</v>
      </c>
      <c r="H41">
        <v>88</v>
      </c>
      <c r="I41" s="5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1"/>
        <v>169.06818181818181</v>
      </c>
      <c r="G42" t="s">
        <v>20</v>
      </c>
      <c r="H42">
        <v>198</v>
      </c>
      <c r="I42" s="5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1"/>
        <v>212.92857142857144</v>
      </c>
      <c r="G43" t="s">
        <v>20</v>
      </c>
      <c r="H43">
        <v>111</v>
      </c>
      <c r="I43" s="5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1"/>
        <v>443.94444444444446</v>
      </c>
      <c r="G44" t="s">
        <v>20</v>
      </c>
      <c r="H44">
        <v>222</v>
      </c>
      <c r="I44" s="5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1"/>
        <v>185.9390243902439</v>
      </c>
      <c r="G45" t="s">
        <v>20</v>
      </c>
      <c r="H45">
        <v>6212</v>
      </c>
      <c r="I45" s="5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1"/>
        <v>658.8125</v>
      </c>
      <c r="G46" t="s">
        <v>20</v>
      </c>
      <c r="H46">
        <v>98</v>
      </c>
      <c r="I46" s="5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1"/>
        <v>47.684210526315788</v>
      </c>
      <c r="G47" t="s">
        <v>14</v>
      </c>
      <c r="H47">
        <v>48</v>
      </c>
      <c r="I47" s="5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1"/>
        <v>114.78378378378378</v>
      </c>
      <c r="G48" t="s">
        <v>20</v>
      </c>
      <c r="H48">
        <v>92</v>
      </c>
      <c r="I48" s="5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1"/>
        <v>475.26666666666665</v>
      </c>
      <c r="G49" t="s">
        <v>20</v>
      </c>
      <c r="H49">
        <v>149</v>
      </c>
      <c r="I49" s="5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1"/>
        <v>386.97297297297297</v>
      </c>
      <c r="G50" t="s">
        <v>20</v>
      </c>
      <c r="H50">
        <v>2431</v>
      </c>
      <c r="I50" s="5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1"/>
        <v>189.625</v>
      </c>
      <c r="G51" t="s">
        <v>20</v>
      </c>
      <c r="H51">
        <v>303</v>
      </c>
      <c r="I51" s="5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1"/>
        <v>2</v>
      </c>
      <c r="G52" t="s">
        <v>14</v>
      </c>
      <c r="H52">
        <v>1</v>
      </c>
      <c r="I52" s="5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1"/>
        <v>91.867805186590772</v>
      </c>
      <c r="G53" t="s">
        <v>14</v>
      </c>
      <c r="H53">
        <v>1467</v>
      </c>
      <c r="I53" s="5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1"/>
        <v>34.152777777777779</v>
      </c>
      <c r="G54" t="s">
        <v>14</v>
      </c>
      <c r="H54">
        <v>75</v>
      </c>
      <c r="I54" s="5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1"/>
        <v>140.40909090909091</v>
      </c>
      <c r="G55" t="s">
        <v>20</v>
      </c>
      <c r="H55">
        <v>209</v>
      </c>
      <c r="I55" s="5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1"/>
        <v>89.86666666666666</v>
      </c>
      <c r="G56" t="s">
        <v>14</v>
      </c>
      <c r="H56">
        <v>120</v>
      </c>
      <c r="I56" s="5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1"/>
        <v>177.96969696969697</v>
      </c>
      <c r="G57" t="s">
        <v>20</v>
      </c>
      <c r="H57">
        <v>131</v>
      </c>
      <c r="I57" s="5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1"/>
        <v>143.66249999999999</v>
      </c>
      <c r="G58" t="s">
        <v>20</v>
      </c>
      <c r="H58">
        <v>164</v>
      </c>
      <c r="I58" s="5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1"/>
        <v>215.27586206896552</v>
      </c>
      <c r="G59" t="s">
        <v>20</v>
      </c>
      <c r="H59">
        <v>201</v>
      </c>
      <c r="I59" s="5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1"/>
        <v>227.11111111111114</v>
      </c>
      <c r="G60" t="s">
        <v>20</v>
      </c>
      <c r="H60">
        <v>211</v>
      </c>
      <c r="I60" s="5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1"/>
        <v>275.07142857142861</v>
      </c>
      <c r="G61" t="s">
        <v>20</v>
      </c>
      <c r="H61">
        <v>128</v>
      </c>
      <c r="I61" s="5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1"/>
        <v>144.37048832271762</v>
      </c>
      <c r="G62" t="s">
        <v>20</v>
      </c>
      <c r="H62">
        <v>1600</v>
      </c>
      <c r="I62" s="5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1"/>
        <v>92.74598393574297</v>
      </c>
      <c r="G63" t="s">
        <v>14</v>
      </c>
      <c r="H63">
        <v>2253</v>
      </c>
      <c r="I63" s="5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1"/>
        <v>722.6</v>
      </c>
      <c r="G64" t="s">
        <v>20</v>
      </c>
      <c r="H64">
        <v>249</v>
      </c>
      <c r="I64" s="5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1"/>
        <v>11.851063829787234</v>
      </c>
      <c r="G65" t="s">
        <v>14</v>
      </c>
      <c r="H65">
        <v>5</v>
      </c>
      <c r="I65" s="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1"/>
        <v>97.642857142857139</v>
      </c>
      <c r="G66" t="s">
        <v>14</v>
      </c>
      <c r="H66">
        <v>38</v>
      </c>
      <c r="I66" s="5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0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(E67/D67)*100</f>
        <v>236.14754098360655</v>
      </c>
      <c r="G67" t="s">
        <v>20</v>
      </c>
      <c r="H67">
        <v>236</v>
      </c>
      <c r="I67" s="5">
        <f t="shared" ref="I67:I130" si="7">IFERROR(E67/H67,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 -1)</f>
        <v>theater</v>
      </c>
      <c r="T67" t="str">
        <f t="shared" ref="T67:T130" si="11">RIGHT(R67,LEN(R67) -FIND("/",R67))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2">(E131/D131)*100</f>
        <v>3.202693602693603</v>
      </c>
      <c r="G131" t="s">
        <v>74</v>
      </c>
      <c r="H131">
        <v>55</v>
      </c>
      <c r="I131" s="5">
        <f t="shared" ref="I131:I194" si="13">IFERROR(E131/H131,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 -1)</f>
        <v>food</v>
      </c>
      <c r="T131" t="str">
        <f t="shared" ref="T131:T194" si="17">RIGHT(R131,LEN(R131) -FIND("/",R131))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8">(E195/D195)*100</f>
        <v>45.636363636363633</v>
      </c>
      <c r="G195" t="s">
        <v>14</v>
      </c>
      <c r="H195">
        <v>65</v>
      </c>
      <c r="I195" s="5">
        <f t="shared" ref="I195:I258" si="19">IFERROR(E195/H195,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 -1)</f>
        <v>music</v>
      </c>
      <c r="T195" t="str">
        <f t="shared" ref="T195:T258" si="23">RIGHT(R195,LEN(R195) -FIND("/",R195))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4">(E259/D259)*100</f>
        <v>146</v>
      </c>
      <c r="G259" t="s">
        <v>20</v>
      </c>
      <c r="H259">
        <v>92</v>
      </c>
      <c r="I259" s="5">
        <f t="shared" ref="I259:I322" si="25">IFERROR(E259/H259,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 -1)</f>
        <v>theater</v>
      </c>
      <c r="T259" t="str">
        <f t="shared" ref="T259:T322" si="29">RIGHT(R259,LEN(R259) -FIND("/",R259))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30">(E323/D323)*100</f>
        <v>94.144366197183089</v>
      </c>
      <c r="G323" t="s">
        <v>14</v>
      </c>
      <c r="H323">
        <v>2468</v>
      </c>
      <c r="I323" s="5">
        <f t="shared" ref="I323:I386" si="31">IFERROR(E323/H323,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 -1)</f>
        <v>film &amp; video</v>
      </c>
      <c r="T323" t="str">
        <f t="shared" ref="T323:T386" si="35">RIGHT(R323,LEN(R323) -FIND("/",R323))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6">(E387/D387)*100</f>
        <v>146.16709511568124</v>
      </c>
      <c r="G387" t="s">
        <v>20</v>
      </c>
      <c r="H387">
        <v>1137</v>
      </c>
      <c r="I387" s="5">
        <f t="shared" ref="I387:I450" si="37">IFERROR(E387/H387,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 -1)</f>
        <v>publishing</v>
      </c>
      <c r="T387" t="str">
        <f t="shared" ref="T387:T450" si="41">RIGHT(R387,LEN(R387) -FIND("/",R387))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42">(E451/D451)*100</f>
        <v>967</v>
      </c>
      <c r="G451" t="s">
        <v>20</v>
      </c>
      <c r="H451">
        <v>86</v>
      </c>
      <c r="I451" s="5">
        <f t="shared" ref="I451:I514" si="43">IFERROR(E451/H451,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 -1)</f>
        <v>games</v>
      </c>
      <c r="T451" t="str">
        <f t="shared" ref="T451:T514" si="47">RIGHT(R451,LEN(R451) -FIND("/",R451))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8">(E515/D515)*100</f>
        <v>39.277108433734945</v>
      </c>
      <c r="G515" t="s">
        <v>74</v>
      </c>
      <c r="H515">
        <v>35</v>
      </c>
      <c r="I515" s="5">
        <f t="shared" ref="I515:I578" si="49">IFERROR(E515/H515,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 -1)</f>
        <v>film &amp; video</v>
      </c>
      <c r="T515" t="str">
        <f t="shared" ref="T515:T578" si="53">RIGHT(R515,LEN(R515) -FIND("/",R515))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54">(E579/D579)*100</f>
        <v>18.853658536585368</v>
      </c>
      <c r="G579" t="s">
        <v>74</v>
      </c>
      <c r="H579">
        <v>37</v>
      </c>
      <c r="I579" s="5">
        <f t="shared" ref="I579:I642" si="55">IFERROR(E579/H579,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 -1)</f>
        <v>music</v>
      </c>
      <c r="T579" t="str">
        <f t="shared" ref="T579:T642" si="59">RIGHT(R579,LEN(R579) -FIND("/",R579))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60">(E643/D643)*100</f>
        <v>119.96808510638297</v>
      </c>
      <c r="G643" t="s">
        <v>20</v>
      </c>
      <c r="H643">
        <v>194</v>
      </c>
      <c r="I643" s="5">
        <f t="shared" ref="I643:I706" si="61">IFERROR(E643/H643,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 -1)</f>
        <v>theater</v>
      </c>
      <c r="T643" t="str">
        <f t="shared" ref="T643:T706" si="65">RIGHT(R643,LEN(R643) -FIND("/",R643))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66">(E707/D707)*100</f>
        <v>99.026517383618156</v>
      </c>
      <c r="G707" t="s">
        <v>14</v>
      </c>
      <c r="H707">
        <v>2025</v>
      </c>
      <c r="I707" s="5">
        <f t="shared" ref="I707:I770" si="67">IFERROR(E707/H707,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 -1)</f>
        <v>publishing</v>
      </c>
      <c r="T707" t="str">
        <f t="shared" ref="T707:T770" si="71">RIGHT(R707,LEN(R707) -FIND("/",R707))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72">(E771/D771)*100</f>
        <v>86.867834394904463</v>
      </c>
      <c r="G771" t="s">
        <v>14</v>
      </c>
      <c r="H771">
        <v>3410</v>
      </c>
      <c r="I771" s="5">
        <f t="shared" ref="I771:I834" si="73">IFERROR(E771/H771,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 -1)</f>
        <v>games</v>
      </c>
      <c r="T771" t="str">
        <f t="shared" ref="T771:T834" si="77">RIGHT(R771,LEN(R771) -FIND("/",R771))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78">(E835/D835)*100</f>
        <v>157.69117647058823</v>
      </c>
      <c r="G835" t="s">
        <v>20</v>
      </c>
      <c r="H835">
        <v>165</v>
      </c>
      <c r="I835" s="5">
        <f t="shared" ref="I835:I898" si="79">IFERROR(E835/H835,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 -1)</f>
        <v>publishing</v>
      </c>
      <c r="T835" t="str">
        <f t="shared" ref="T835:T898" si="83">RIGHT(R835,LEN(R835) -FIND("/",R835))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84">(E899/D899)*100</f>
        <v>27.693181818181817</v>
      </c>
      <c r="G899" t="s">
        <v>14</v>
      </c>
      <c r="H899">
        <v>27</v>
      </c>
      <c r="I899" s="5">
        <f t="shared" ref="I899:I962" si="85">IFERROR(E899/H899,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 -1)</f>
        <v>theater</v>
      </c>
      <c r="T899" t="str">
        <f t="shared" ref="T899:T962" si="89">RIGHT(R899,LEN(R899) -FIND("/",R899))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90">(E963/D963)*100</f>
        <v>119.29824561403508</v>
      </c>
      <c r="G963" t="s">
        <v>20</v>
      </c>
      <c r="H963">
        <v>155</v>
      </c>
      <c r="I963" s="5">
        <f t="shared" ref="I963:I1001" si="91">IFERROR(E963/H963,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 -1)</f>
        <v>publishing</v>
      </c>
      <c r="T963" t="str">
        <f t="shared" ref="T963:T1001" si="95">RIGHT(R963,LEN(R963) -FIND("/",R963))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31" priority="11" operator="containsText" text="live">
      <formula>NOT(ISERROR(SEARCH("live",G1)))</formula>
    </cfRule>
    <cfRule type="containsText" dxfId="30" priority="12" operator="containsText" text="Canceled">
      <formula>NOT(ISERROR(SEARCH("Canceled",G1)))</formula>
    </cfRule>
    <cfRule type="containsText" dxfId="29" priority="13" operator="containsText" text="Failed">
      <formula>NOT(ISERROR(SEARCH("Failed",G1)))</formula>
    </cfRule>
    <cfRule type="containsText" dxfId="28" priority="14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363B-994D-4D91-BDE9-1A63041FF710}">
  <sheetPr codeName="Sheet1"/>
  <dimension ref="A1:F14"/>
  <sheetViews>
    <sheetView zoomScale="80" zoomScaleNormal="80" workbookViewId="0">
      <selection activeCell="A3" sqref="A3"/>
    </sheetView>
  </sheetViews>
  <sheetFormatPr defaultRowHeight="15.5" x14ac:dyDescent="0.35"/>
  <cols>
    <col min="1" max="1" width="15.83203125" bestFit="1" customWidth="1"/>
    <col min="2" max="2" width="15.4140625" bestFit="1" customWidth="1"/>
    <col min="3" max="3" width="5.58203125" bestFit="1" customWidth="1"/>
    <col min="4" max="4" width="3.9140625" bestFit="1" customWidth="1"/>
    <col min="5" max="5" width="9.33203125" bestFit="1" customWidth="1"/>
    <col min="6" max="6" width="10.58203125" bestFit="1" customWidth="1"/>
  </cols>
  <sheetData>
    <row r="1" spans="1:6" x14ac:dyDescent="0.35">
      <c r="A1" s="8" t="s">
        <v>6</v>
      </c>
      <c r="B1" t="s">
        <v>2046</v>
      </c>
    </row>
    <row r="3" spans="1:6" x14ac:dyDescent="0.35">
      <c r="A3" s="8" t="s">
        <v>2044</v>
      </c>
      <c r="B3" s="8" t="s">
        <v>2045</v>
      </c>
    </row>
    <row r="4" spans="1:6" x14ac:dyDescent="0.3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9" t="s">
        <v>2037</v>
      </c>
      <c r="E8">
        <v>4</v>
      </c>
      <c r="F8">
        <v>4</v>
      </c>
    </row>
    <row r="9" spans="1:6" x14ac:dyDescent="0.35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A95E-D597-40CF-BBA5-9230F131FF74}">
  <sheetPr codeName="Sheet2"/>
  <dimension ref="A1:F30"/>
  <sheetViews>
    <sheetView zoomScale="50" zoomScaleNormal="50" workbookViewId="0">
      <selection activeCell="D19" sqref="D19"/>
    </sheetView>
  </sheetViews>
  <sheetFormatPr defaultRowHeight="15.5" x14ac:dyDescent="0.35"/>
  <cols>
    <col min="1" max="1" width="18.75" bestFit="1" customWidth="1"/>
    <col min="2" max="2" width="17.08203125" bestFit="1" customWidth="1"/>
    <col min="3" max="3" width="5.75" bestFit="1" customWidth="1"/>
    <col min="4" max="4" width="4.08203125" bestFit="1" customWidth="1"/>
    <col min="5" max="5" width="9.4140625" bestFit="1" customWidth="1"/>
    <col min="6" max="6" width="10.75" bestFit="1" customWidth="1"/>
  </cols>
  <sheetData>
    <row r="1" spans="1:6" x14ac:dyDescent="0.35">
      <c r="A1" s="8" t="s">
        <v>6</v>
      </c>
      <c r="B1" t="s">
        <v>2046</v>
      </c>
    </row>
    <row r="2" spans="1:6" x14ac:dyDescent="0.35">
      <c r="A2" s="8" t="s">
        <v>2031</v>
      </c>
      <c r="B2" t="s">
        <v>2046</v>
      </c>
    </row>
    <row r="4" spans="1:6" x14ac:dyDescent="0.35">
      <c r="A4" s="8" t="s">
        <v>2044</v>
      </c>
      <c r="B4" s="8" t="s">
        <v>2045</v>
      </c>
    </row>
    <row r="5" spans="1:6" x14ac:dyDescent="0.3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2048</v>
      </c>
      <c r="E7">
        <v>4</v>
      </c>
      <c r="F7">
        <v>4</v>
      </c>
    </row>
    <row r="8" spans="1:6" x14ac:dyDescent="0.35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2051</v>
      </c>
      <c r="C10">
        <v>8</v>
      </c>
      <c r="E10">
        <v>10</v>
      </c>
      <c r="F10">
        <v>18</v>
      </c>
    </row>
    <row r="11" spans="1:6" x14ac:dyDescent="0.3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2056</v>
      </c>
      <c r="C15">
        <v>3</v>
      </c>
      <c r="E15">
        <v>4</v>
      </c>
      <c r="F15">
        <v>7</v>
      </c>
    </row>
    <row r="16" spans="1:6" x14ac:dyDescent="0.35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2061</v>
      </c>
      <c r="C20">
        <v>4</v>
      </c>
      <c r="E20">
        <v>4</v>
      </c>
      <c r="F20">
        <v>8</v>
      </c>
    </row>
    <row r="21" spans="1:6" x14ac:dyDescent="0.35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2063</v>
      </c>
      <c r="C22">
        <v>9</v>
      </c>
      <c r="E22">
        <v>5</v>
      </c>
      <c r="F22">
        <v>14</v>
      </c>
    </row>
    <row r="23" spans="1:6" x14ac:dyDescent="0.35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2066</v>
      </c>
      <c r="C25">
        <v>7</v>
      </c>
      <c r="E25">
        <v>14</v>
      </c>
      <c r="F25">
        <v>21</v>
      </c>
    </row>
    <row r="26" spans="1:6" x14ac:dyDescent="0.35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2070</v>
      </c>
      <c r="E29">
        <v>3</v>
      </c>
      <c r="F29">
        <v>3</v>
      </c>
    </row>
    <row r="30" spans="1:6" x14ac:dyDescent="0.35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3A60-BF5A-4C7E-BB7A-435B8AA1B4FB}">
  <sheetPr codeName="Sheet3"/>
  <dimension ref="A1:E18"/>
  <sheetViews>
    <sheetView zoomScale="70" zoomScaleNormal="70" workbookViewId="0">
      <selection activeCell="I20" sqref="I20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8" t="s">
        <v>2031</v>
      </c>
      <c r="B1" t="s">
        <v>2046</v>
      </c>
    </row>
    <row r="2" spans="1:5" x14ac:dyDescent="0.35">
      <c r="A2" s="8" t="s">
        <v>2073</v>
      </c>
      <c r="B2" t="s">
        <v>2046</v>
      </c>
    </row>
    <row r="4" spans="1:5" x14ac:dyDescent="0.35">
      <c r="A4" s="8" t="s">
        <v>2044</v>
      </c>
      <c r="B4" s="8" t="s">
        <v>2045</v>
      </c>
    </row>
    <row r="5" spans="1:5" x14ac:dyDescent="0.35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CE53-3D06-46BE-AF26-84A4383C0812}">
  <dimension ref="A1:H13"/>
  <sheetViews>
    <sheetView zoomScale="50" zoomScaleNormal="50" workbookViewId="0">
      <selection activeCell="C39" sqref="C39"/>
    </sheetView>
  </sheetViews>
  <sheetFormatPr defaultRowHeight="15.5" x14ac:dyDescent="0.35"/>
  <cols>
    <col min="1" max="1" width="31.1640625" bestFit="1" customWidth="1"/>
    <col min="2" max="2" width="24.5" bestFit="1" customWidth="1"/>
    <col min="3" max="3" width="18.4140625" bestFit="1" customWidth="1"/>
    <col min="4" max="4" width="22.58203125" bestFit="1" customWidth="1"/>
    <col min="5" max="5" width="18" bestFit="1" customWidth="1"/>
    <col min="6" max="6" width="29.5" bestFit="1" customWidth="1"/>
    <col min="7" max="7" width="23.4140625" bestFit="1" customWidth="1"/>
    <col min="8" max="8" width="27.58203125" bestFit="1" customWidth="1"/>
  </cols>
  <sheetData>
    <row r="1" spans="1:8" x14ac:dyDescent="0.3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35">
      <c r="A2" s="12" t="s">
        <v>2094</v>
      </c>
      <c r="B2">
        <f>COUNTIFS(Crowdfunding!D2:D1001,"&lt;1000", Crowdfunding!G2:G1001, "successful")</f>
        <v>30</v>
      </c>
      <c r="C2">
        <f>COUNTIFS(Crowdfunding!D2:D1001,"&lt;1000", Crowdfunding!G2:G1001, "failed")</f>
        <v>20</v>
      </c>
      <c r="D2">
        <f>COUNTIFS(Crowdfunding!D2:D1001,"&lt;1000", Crowdfunding!G2:G1001, "canceled")</f>
        <v>1</v>
      </c>
      <c r="E2">
        <f>(B2+C2+D2)</f>
        <v>51</v>
      </c>
      <c r="F2" s="14">
        <f>(B2/E2)</f>
        <v>0.58823529411764708</v>
      </c>
      <c r="G2" s="14">
        <f>(C2/E2)</f>
        <v>0.39215686274509803</v>
      </c>
      <c r="H2" s="14">
        <f>(D2/E2)</f>
        <v>1.9607843137254902E-2</v>
      </c>
    </row>
    <row r="3" spans="1:8" ht="16" x14ac:dyDescent="0.35">
      <c r="A3" s="12" t="s">
        <v>2095</v>
      </c>
      <c r="B3">
        <f>COUNTIFS(Crowdfunding!D2:D1001,"&gt;=1000",Crowdfunding!D2:D1001,"&lt;=4999", Crowdfunding!G2:G1001, "successful")</f>
        <v>191</v>
      </c>
      <c r="C3" s="13">
        <f>COUNTIFS(Crowdfunding!D2:D1001,"&gt;=1000",Crowdfunding!D2:D1001,"&lt;=4999", Crowdfunding!G2:G1001, "failed")</f>
        <v>38</v>
      </c>
      <c r="D3" s="13">
        <f>COUNTIFS(Crowdfunding!D2:D1001,"&gt;=1000",Crowdfunding!D2:D1001,"&lt;=4999", Crowdfunding!G2:G1001, "Canceled")</f>
        <v>2</v>
      </c>
      <c r="E3">
        <f t="shared" ref="E3:E13" si="0">(B3+C3+D3)</f>
        <v>231</v>
      </c>
      <c r="F3" s="14">
        <f t="shared" ref="F3:F13" si="1">(B3/E3)</f>
        <v>0.82683982683982682</v>
      </c>
      <c r="G3" s="14">
        <f t="shared" ref="G3:G13" si="2">(C3/E3)</f>
        <v>0.16450216450216451</v>
      </c>
      <c r="H3" s="14">
        <f t="shared" ref="H3:H13" si="3">(D3/E3)</f>
        <v>8.658008658008658E-3</v>
      </c>
    </row>
    <row r="4" spans="1:8" ht="16" x14ac:dyDescent="0.35">
      <c r="A4" s="12" t="s">
        <v>2096</v>
      </c>
      <c r="B4">
        <f>COUNTIFS(Crowdfunding!D2:D1001,"&gt;=5000",Crowdfunding!D2:D1001,"&lt;=9999", Crowdfunding!G2:G1001, "successful")</f>
        <v>164</v>
      </c>
      <c r="C4" s="13">
        <f>COUNTIFS(Crowdfunding!D2:D1001,"&gt;=5000",Crowdfunding!D2:D1001,"&lt;=9999", Crowdfunding!G2:G1001, "failed")</f>
        <v>126</v>
      </c>
      <c r="D4" s="13">
        <f>COUNTIFS(Crowdfunding!D2:D1001,"&gt;=5000",Crowdfunding!D2:D1001,"&lt;=9999", Crowdfunding!G2:G1001, 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ht="16" x14ac:dyDescent="0.35">
      <c r="A5" s="12" t="s">
        <v>2097</v>
      </c>
      <c r="B5">
        <f>COUNTIFS(Crowdfunding!D2:D1001,"&gt;=10000",Crowdfunding!D2:D1001,"&lt;=14999", Crowdfunding!G2:G1001, "successful")</f>
        <v>4</v>
      </c>
      <c r="C5" s="13">
        <f>COUNTIFS(Crowdfunding!D2:D1001,"&gt;=10000",Crowdfunding!D2:D1001,"&lt;=14999", Crowdfunding!G2:G1001, "failed")</f>
        <v>5</v>
      </c>
      <c r="D5" s="13">
        <f>COUNTIFS(Crowdfunding!D2:D1001,"&gt;=10000",Crowdfunding!D2:D1001,"&lt;=14999", Crowdfunding!G2:G1001, 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ht="16" x14ac:dyDescent="0.35">
      <c r="A6" s="12" t="s">
        <v>2098</v>
      </c>
      <c r="B6">
        <f>COUNTIFS(Crowdfunding!D2:D1001,"&gt;=15000",Crowdfunding!D2:D1001,"&lt;=19999", Crowdfunding!G2:G1001, "successful")</f>
        <v>10</v>
      </c>
      <c r="C6" s="13">
        <f>COUNTIFS(Crowdfunding!D2:D1001,"&gt;=15000",Crowdfunding!D2:D1001,"&lt;=19999", Crowdfunding!G2:G1001, "failed")</f>
        <v>0</v>
      </c>
      <c r="D6" s="13">
        <f>COUNTIFS(Crowdfunding!D2:D1001,"&gt;=15000",Crowdfunding!D2:D1001,"&lt;=19999", Crowdfunding!G2:G1001,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ht="16" x14ac:dyDescent="0.35">
      <c r="A7" s="12" t="s">
        <v>2099</v>
      </c>
      <c r="B7">
        <f>COUNTIFS(Crowdfunding!D2:D1001,"&gt;=20000",Crowdfunding!D2:D1001,"&lt;=24999", Crowdfunding!G2:G1001, "successful")</f>
        <v>7</v>
      </c>
      <c r="C7" s="13">
        <f>COUNTIFS(Crowdfunding!D2:D1001,"&gt;=20000",Crowdfunding!D2:D1001,"&lt;=24999", Crowdfunding!G2:G1001, "failed")</f>
        <v>0</v>
      </c>
      <c r="D7" s="13">
        <f>COUNTIFS(Crowdfunding!D2:D1001,"&gt;=20000",Crowdfunding!D2:D1001,"&lt;=24999", Crowdfunding!G2:G1001, 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ht="16" x14ac:dyDescent="0.35">
      <c r="A8" s="12" t="s">
        <v>2100</v>
      </c>
      <c r="B8">
        <f>COUNTIFS(Crowdfunding!D2:D1001,"&gt;=25000",Crowdfunding!D2:D1001,"&lt;=29999", Crowdfunding!G2:G1001, "successful")</f>
        <v>11</v>
      </c>
      <c r="C8" s="13">
        <f>COUNTIFS(Crowdfunding!D2:D1001,"&gt;=25000",Crowdfunding!D2:D1001,"&lt;=29999", Crowdfunding!G2:G1001, "failed")</f>
        <v>3</v>
      </c>
      <c r="D8" s="13">
        <f>COUNTIFS(Crowdfunding!D2:D1001,"&gt;=25000",Crowdfunding!D2:D1001,"&lt;=29999", Crowdfunding!G2:G1001, 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ht="16" x14ac:dyDescent="0.35">
      <c r="A9" s="12" t="s">
        <v>2101</v>
      </c>
      <c r="B9">
        <f>COUNTIFS(Crowdfunding!D2:D1001,"&gt;=30000",Crowdfunding!D2:D1001,"&lt;=34999", Crowdfunding!G2:G1001, "successful")</f>
        <v>7</v>
      </c>
      <c r="C9" s="13">
        <f>COUNTIFS(Crowdfunding!D2:D1001,"&gt;=30000",Crowdfunding!D2:D1001,"&lt;=34999", Crowdfunding!G2:G1001, "failed")</f>
        <v>0</v>
      </c>
      <c r="D9" s="13">
        <f>COUNTIFS(Crowdfunding!D2:D1001,"&gt;=30000",Crowdfunding!D2:D1001,"&lt;=34999", Crowdfunding!G2:G1001,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ht="16" x14ac:dyDescent="0.35">
      <c r="A10" s="12" t="s">
        <v>2102</v>
      </c>
      <c r="B10">
        <f>COUNTIFS(Crowdfunding!D2:D1001,"&gt;=35000",Crowdfunding!D2:D1001,"&lt;=39999", Crowdfunding!G2:G1001, "successful")</f>
        <v>8</v>
      </c>
      <c r="C10" s="13">
        <f>COUNTIFS(Crowdfunding!D2:D1001,"&gt;=35000",Crowdfunding!D2:D1001,"&lt;=39999", Crowdfunding!G2:G1001, "failed")</f>
        <v>3</v>
      </c>
      <c r="D10" s="13">
        <f>COUNTIFS(Crowdfunding!D2:D1001,"&gt;=35000",Crowdfunding!D2:D1001,"&lt;=39999", Crowdfunding!G2:G1001, 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ht="16" x14ac:dyDescent="0.35">
      <c r="A11" s="12" t="s">
        <v>2103</v>
      </c>
      <c r="B11">
        <f>COUNTIFS(Crowdfunding!D2:D1001,"&gt;=40000",Crowdfunding!D2:D1001,"&lt;=44999", Crowdfunding!G2:G1001, "successful")</f>
        <v>11</v>
      </c>
      <c r="C11" s="13">
        <f>COUNTIFS(Crowdfunding!D2:D1001,"&gt;=40000",Crowdfunding!D2:D1001,"&lt;=44999", Crowdfunding!G2:G1001, "failed")</f>
        <v>3</v>
      </c>
      <c r="D11" s="13">
        <f>COUNTIFS(Crowdfunding!D2:D1001,"&gt;=40000",Crowdfunding!D2:D1001,"&lt;=44999", Crowdfunding!G2:G1001,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ht="16" x14ac:dyDescent="0.35">
      <c r="A12" s="12" t="s">
        <v>2104</v>
      </c>
      <c r="B12">
        <f>COUNTIFS(Crowdfunding!D2:D1001,"&gt;=45000",Crowdfunding!D2:D1001,"&lt;=49999", Crowdfunding!G2:G1001, "successful")</f>
        <v>8</v>
      </c>
      <c r="C12" s="13">
        <f>COUNTIFS(Crowdfunding!D2:D1001,"&gt;=45000",Crowdfunding!D2:D1001,"&lt;=49999", Crowdfunding!G2:G1001, "failed")</f>
        <v>3</v>
      </c>
      <c r="D12" s="13">
        <f>COUNTIFS(Crowdfunding!D2:D1001,"&gt;=45000",Crowdfunding!D2:D1001,"&lt;=49999", Crowdfunding!G2:G1001,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5">
      <c r="A13" s="12" t="s">
        <v>2105</v>
      </c>
      <c r="B13">
        <f>COUNTIFS(Crowdfunding!D2:D1001,"&gt;=50000", Crowdfunding!G2:G1001, "successful")</f>
        <v>114</v>
      </c>
      <c r="C13">
        <f>COUNTIFS(Crowdfunding!D2:D1001,"&gt;=50000", Crowdfunding!G2:G1001, "failed")</f>
        <v>163</v>
      </c>
      <c r="D13">
        <f>COUNTIFS(Crowdfunding!D2:D1001,"&gt;=50000", Crowdfunding!G2:G1001, 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5799-30B0-40B1-9125-4A697F98E47C}">
  <dimension ref="A1:N566"/>
  <sheetViews>
    <sheetView tabSelected="1" zoomScale="40" zoomScaleNormal="40" workbookViewId="0">
      <selection activeCell="U22" sqref="U22"/>
    </sheetView>
  </sheetViews>
  <sheetFormatPr defaultRowHeight="15.5" x14ac:dyDescent="0.35"/>
  <cols>
    <col min="2" max="2" width="12.83203125" bestFit="1" customWidth="1"/>
    <col min="5" max="5" width="12.83203125" bestFit="1" customWidth="1"/>
    <col min="8" max="8" width="12.1640625" bestFit="1" customWidth="1"/>
    <col min="13" max="13" width="15.08203125" bestFit="1" customWidth="1"/>
    <col min="14" max="14" width="24.25" bestFit="1" customWidth="1"/>
  </cols>
  <sheetData>
    <row r="1" spans="1:14" x14ac:dyDescent="0.35">
      <c r="A1" s="1" t="s">
        <v>4</v>
      </c>
      <c r="B1" s="1" t="s">
        <v>5</v>
      </c>
      <c r="C1" s="1"/>
      <c r="D1" s="1" t="s">
        <v>4</v>
      </c>
      <c r="E1" s="1" t="s">
        <v>5</v>
      </c>
      <c r="H1" s="15" t="s">
        <v>2106</v>
      </c>
      <c r="I1" s="15" t="s">
        <v>2107</v>
      </c>
      <c r="J1" s="15" t="s">
        <v>2108</v>
      </c>
      <c r="K1" s="15" t="s">
        <v>2109</v>
      </c>
      <c r="L1" s="15" t="s">
        <v>2110</v>
      </c>
      <c r="M1" s="15" t="s">
        <v>2111</v>
      </c>
      <c r="N1" s="15" t="s">
        <v>2112</v>
      </c>
    </row>
    <row r="2" spans="1:14" x14ac:dyDescent="0.35">
      <c r="A2" t="s">
        <v>20</v>
      </c>
      <c r="B2">
        <v>158</v>
      </c>
      <c r="D2" t="s">
        <v>14</v>
      </c>
      <c r="E2">
        <v>0</v>
      </c>
      <c r="H2" t="s">
        <v>20</v>
      </c>
      <c r="I2">
        <f>MEDIAN(B:B)</f>
        <v>201</v>
      </c>
      <c r="J2">
        <f>AVERAGE(B:B)</f>
        <v>851.14690265486729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4" x14ac:dyDescent="0.35">
      <c r="A3" t="s">
        <v>20</v>
      </c>
      <c r="B3">
        <v>1425</v>
      </c>
      <c r="D3" t="s">
        <v>14</v>
      </c>
      <c r="E3">
        <v>24</v>
      </c>
      <c r="H3" t="s">
        <v>14</v>
      </c>
      <c r="I3">
        <f>MEDIAN(E:E)</f>
        <v>114.5</v>
      </c>
      <c r="J3">
        <f>AVERAGE(E:E)</f>
        <v>585.61538461538464</v>
      </c>
      <c r="K3">
        <f>MIN(E:E)</f>
        <v>0</v>
      </c>
      <c r="L3">
        <f>MAX(E:E)</f>
        <v>6080</v>
      </c>
      <c r="M3">
        <f>_xlfn.VAR.P(E:E)</f>
        <v>921574.68174133555</v>
      </c>
      <c r="N3">
        <f>_xlfn.STDEV.P(E:E)</f>
        <v>959.98681331637863</v>
      </c>
    </row>
    <row r="4" spans="1:14" x14ac:dyDescent="0.35">
      <c r="A4" t="s">
        <v>20</v>
      </c>
      <c r="B4">
        <v>174</v>
      </c>
      <c r="D4" t="s">
        <v>14</v>
      </c>
      <c r="E4">
        <v>53</v>
      </c>
    </row>
    <row r="5" spans="1:14" x14ac:dyDescent="0.35">
      <c r="A5" t="s">
        <v>20</v>
      </c>
      <c r="B5">
        <v>227</v>
      </c>
      <c r="D5" t="s">
        <v>14</v>
      </c>
      <c r="E5">
        <v>18</v>
      </c>
    </row>
    <row r="6" spans="1:14" x14ac:dyDescent="0.35">
      <c r="A6" t="s">
        <v>20</v>
      </c>
      <c r="B6">
        <v>220</v>
      </c>
      <c r="D6" t="s">
        <v>14</v>
      </c>
      <c r="E6">
        <v>44</v>
      </c>
    </row>
    <row r="7" spans="1:14" x14ac:dyDescent="0.35">
      <c r="A7" t="s">
        <v>20</v>
      </c>
      <c r="B7">
        <v>98</v>
      </c>
      <c r="D7" t="s">
        <v>14</v>
      </c>
      <c r="E7">
        <v>27</v>
      </c>
    </row>
    <row r="8" spans="1:14" x14ac:dyDescent="0.35">
      <c r="A8" t="s">
        <v>20</v>
      </c>
      <c r="B8">
        <v>100</v>
      </c>
      <c r="D8" t="s">
        <v>14</v>
      </c>
      <c r="E8">
        <v>55</v>
      </c>
    </row>
    <row r="9" spans="1:14" x14ac:dyDescent="0.35">
      <c r="A9" t="s">
        <v>20</v>
      </c>
      <c r="B9">
        <v>1249</v>
      </c>
      <c r="D9" t="s">
        <v>14</v>
      </c>
      <c r="E9">
        <v>200</v>
      </c>
    </row>
    <row r="10" spans="1:14" x14ac:dyDescent="0.35">
      <c r="A10" t="s">
        <v>20</v>
      </c>
      <c r="B10">
        <v>1396</v>
      </c>
      <c r="D10" t="s">
        <v>14</v>
      </c>
      <c r="E10">
        <v>452</v>
      </c>
    </row>
    <row r="11" spans="1:14" x14ac:dyDescent="0.35">
      <c r="A11" t="s">
        <v>20</v>
      </c>
      <c r="B11">
        <v>890</v>
      </c>
      <c r="D11" t="s">
        <v>14</v>
      </c>
      <c r="E11">
        <v>674</v>
      </c>
    </row>
    <row r="12" spans="1:14" x14ac:dyDescent="0.35">
      <c r="A12" t="s">
        <v>20</v>
      </c>
      <c r="B12">
        <v>142</v>
      </c>
      <c r="D12" t="s">
        <v>14</v>
      </c>
      <c r="E12">
        <v>558</v>
      </c>
    </row>
    <row r="13" spans="1:14" x14ac:dyDescent="0.35">
      <c r="A13" t="s">
        <v>20</v>
      </c>
      <c r="B13">
        <v>2673</v>
      </c>
      <c r="D13" t="s">
        <v>14</v>
      </c>
      <c r="E13">
        <v>15</v>
      </c>
    </row>
    <row r="14" spans="1:14" x14ac:dyDescent="0.35">
      <c r="A14" t="s">
        <v>20</v>
      </c>
      <c r="B14">
        <v>163</v>
      </c>
      <c r="D14" t="s">
        <v>14</v>
      </c>
      <c r="E14">
        <v>2307</v>
      </c>
    </row>
    <row r="15" spans="1:14" x14ac:dyDescent="0.35">
      <c r="A15" t="s">
        <v>20</v>
      </c>
      <c r="B15">
        <v>2220</v>
      </c>
      <c r="D15" t="s">
        <v>14</v>
      </c>
      <c r="E15">
        <v>88</v>
      </c>
    </row>
    <row r="16" spans="1:14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23" priority="13" operator="containsText" text="live">
      <formula>NOT(ISERROR(SEARCH("live",A1)))</formula>
    </cfRule>
    <cfRule type="containsText" dxfId="22" priority="14" operator="containsText" text="Canceled">
      <formula>NOT(ISERROR(SEARCH("Canceled",A1)))</formula>
    </cfRule>
    <cfRule type="containsText" dxfId="21" priority="15" operator="containsText" text="Failed">
      <formula>NOT(ISERROR(SEARCH("Failed",A1)))</formula>
    </cfRule>
    <cfRule type="containsText" dxfId="20" priority="16" operator="containsText" text="Successful">
      <formula>NOT(ISERROR(SEARCH("Successful",A1)))</formula>
    </cfRule>
  </conditionalFormatting>
  <conditionalFormatting sqref="D1:D1047940">
    <cfRule type="containsText" dxfId="19" priority="9" operator="containsText" text="live">
      <formula>NOT(ISERROR(SEARCH("live",D1)))</formula>
    </cfRule>
    <cfRule type="containsText" dxfId="18" priority="10" operator="containsText" text="Canceled">
      <formula>NOT(ISERROR(SEARCH("Canceled",D1)))</formula>
    </cfRule>
    <cfRule type="containsText" dxfId="17" priority="11" operator="containsText" text="Failed">
      <formula>NOT(ISERROR(SEARCH("Failed",D1)))</formula>
    </cfRule>
    <cfRule type="containsText" dxfId="16" priority="12" operator="containsText" text="Successful">
      <formula>NOT(ISERROR(SEARCH("Successful",D1)))</formula>
    </cfRule>
  </conditionalFormatting>
  <conditionalFormatting sqref="H2">
    <cfRule type="containsText" dxfId="11" priority="5" operator="containsText" text="live">
      <formula>NOT(ISERROR(SEARCH("live",H2)))</formula>
    </cfRule>
    <cfRule type="containsText" dxfId="10" priority="6" operator="containsText" text="Canceled">
      <formula>NOT(ISERROR(SEARCH("Canceled",H2)))</formula>
    </cfRule>
    <cfRule type="containsText" dxfId="9" priority="7" operator="containsText" text="Failed">
      <formula>NOT(ISERROR(SEARCH("Failed",H2)))</formula>
    </cfRule>
    <cfRule type="containsText" dxfId="8" priority="8" operator="containsText" text="Successful">
      <formula>NOT(ISERROR(SEARCH("Successful",H2)))</formula>
    </cfRule>
  </conditionalFormatting>
  <conditionalFormatting sqref="H3">
    <cfRule type="containsText" dxfId="3" priority="1" operator="containsText" text="live">
      <formula>NOT(ISERROR(SEARCH("live",H3)))</formula>
    </cfRule>
    <cfRule type="containsText" dxfId="2" priority="2" operator="containsText" text="Canceled">
      <formula>NOT(ISERROR(SEARCH("Canceled",H3)))</formula>
    </cfRule>
    <cfRule type="containsText" dxfId="1" priority="3" operator="containsText" text="Failed">
      <formula>NOT(ISERROR(SEARCH("Failed",H3)))</formula>
    </cfRule>
    <cfRule type="containsText" dxfId="0" priority="4" operator="containsText" text="Successful">
      <formula>NOT(ISERROR(SEARCH("Successful",H3)))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shea</cp:lastModifiedBy>
  <dcterms:created xsi:type="dcterms:W3CDTF">2021-09-29T18:52:28Z</dcterms:created>
  <dcterms:modified xsi:type="dcterms:W3CDTF">2024-10-21T19:25:44Z</dcterms:modified>
</cp:coreProperties>
</file>