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8685" windowHeight="63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6" l="1"/>
  <c r="B64" i="16"/>
  <c r="C63" i="16"/>
  <c r="A63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0" i="16" l="1"/>
  <c r="F21" i="1" l="1"/>
  <c r="G21" i="1"/>
  <c r="H21" i="1"/>
  <c r="I21" i="1"/>
  <c r="J21" i="1"/>
  <c r="K21" i="1"/>
  <c r="F27" i="1"/>
  <c r="G27" i="1"/>
  <c r="H27" i="1"/>
  <c r="I27" i="1"/>
  <c r="J27" i="1"/>
  <c r="K27" i="1"/>
  <c r="F26" i="1"/>
  <c r="G26" i="1"/>
  <c r="H26" i="1"/>
  <c r="I26" i="1"/>
  <c r="J26" i="1"/>
  <c r="K26" i="1"/>
  <c r="A21" i="1"/>
  <c r="A27" i="1"/>
  <c r="A26" i="1"/>
  <c r="A33" i="1" l="1"/>
  <c r="A62" i="1"/>
  <c r="F33" i="1"/>
  <c r="G33" i="1"/>
  <c r="H33" i="1"/>
  <c r="I33" i="1"/>
  <c r="J33" i="1"/>
  <c r="K33" i="1"/>
  <c r="F62" i="1"/>
  <c r="G62" i="1"/>
  <c r="H62" i="1"/>
  <c r="I62" i="1"/>
  <c r="J62" i="1"/>
  <c r="K62" i="1"/>
  <c r="A25" i="1"/>
  <c r="A39" i="1"/>
  <c r="A46" i="1"/>
  <c r="A45" i="1"/>
  <c r="A44" i="1"/>
  <c r="A43" i="1"/>
  <c r="A61" i="1"/>
  <c r="A60" i="1"/>
  <c r="A59" i="1"/>
  <c r="A58" i="1"/>
  <c r="A57" i="1"/>
  <c r="A56" i="1"/>
  <c r="A55" i="1"/>
  <c r="A54" i="1"/>
  <c r="A24" i="1"/>
  <c r="A20" i="1"/>
  <c r="A53" i="1"/>
  <c r="F25" i="1"/>
  <c r="G25" i="1"/>
  <c r="H25" i="1"/>
  <c r="I25" i="1"/>
  <c r="J25" i="1"/>
  <c r="K25" i="1"/>
  <c r="F39" i="1"/>
  <c r="G39" i="1"/>
  <c r="H39" i="1"/>
  <c r="I39" i="1"/>
  <c r="J39" i="1"/>
  <c r="K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4" i="1"/>
  <c r="G24" i="1"/>
  <c r="H24" i="1"/>
  <c r="I24" i="1"/>
  <c r="J24" i="1"/>
  <c r="K24" i="1"/>
  <c r="F20" i="1"/>
  <c r="G20" i="1"/>
  <c r="H20" i="1"/>
  <c r="I20" i="1"/>
  <c r="J20" i="1"/>
  <c r="K20" i="1"/>
  <c r="F53" i="1"/>
  <c r="G53" i="1"/>
  <c r="H53" i="1"/>
  <c r="I53" i="1"/>
  <c r="J53" i="1"/>
  <c r="K53" i="1"/>
  <c r="A52" i="1"/>
  <c r="A32" i="1"/>
  <c r="A19" i="1"/>
  <c r="F52" i="1"/>
  <c r="G52" i="1"/>
  <c r="H52" i="1"/>
  <c r="I52" i="1"/>
  <c r="J52" i="1"/>
  <c r="K52" i="1"/>
  <c r="F32" i="1"/>
  <c r="G32" i="1"/>
  <c r="H32" i="1"/>
  <c r="I32" i="1"/>
  <c r="J32" i="1"/>
  <c r="K32" i="1"/>
  <c r="F19" i="1"/>
  <c r="G19" i="1"/>
  <c r="H19" i="1"/>
  <c r="I19" i="1"/>
  <c r="J19" i="1"/>
  <c r="K19" i="1"/>
  <c r="A23" i="1" l="1"/>
  <c r="A31" i="1"/>
  <c r="A35" i="1"/>
  <c r="A30" i="1"/>
  <c r="A40" i="1"/>
  <c r="F23" i="1"/>
  <c r="G23" i="1"/>
  <c r="H23" i="1"/>
  <c r="I23" i="1"/>
  <c r="J23" i="1"/>
  <c r="K23" i="1"/>
  <c r="F31" i="1"/>
  <c r="G31" i="1"/>
  <c r="H31" i="1"/>
  <c r="I31" i="1"/>
  <c r="J31" i="1"/>
  <c r="K31" i="1"/>
  <c r="F35" i="1"/>
  <c r="G35" i="1"/>
  <c r="H35" i="1"/>
  <c r="I35" i="1"/>
  <c r="J35" i="1"/>
  <c r="K35" i="1"/>
  <c r="F30" i="1"/>
  <c r="G30" i="1"/>
  <c r="H30" i="1"/>
  <c r="I30" i="1"/>
  <c r="J30" i="1"/>
  <c r="K30" i="1"/>
  <c r="F40" i="1"/>
  <c r="G40" i="1"/>
  <c r="H40" i="1"/>
  <c r="I40" i="1"/>
  <c r="J40" i="1"/>
  <c r="K40" i="1"/>
  <c r="A34" i="1"/>
  <c r="A18" i="1"/>
  <c r="A51" i="1"/>
  <c r="A50" i="1"/>
  <c r="A17" i="1"/>
  <c r="A16" i="1"/>
  <c r="A15" i="1"/>
  <c r="A14" i="1"/>
  <c r="A13" i="1"/>
  <c r="A29" i="1"/>
  <c r="A12" i="1"/>
  <c r="F34" i="1"/>
  <c r="G34" i="1"/>
  <c r="H34" i="1"/>
  <c r="I34" i="1"/>
  <c r="J34" i="1"/>
  <c r="K34" i="1"/>
  <c r="F18" i="1"/>
  <c r="G18" i="1"/>
  <c r="H18" i="1"/>
  <c r="I18" i="1"/>
  <c r="J18" i="1"/>
  <c r="K18" i="1"/>
  <c r="F51" i="1"/>
  <c r="G51" i="1"/>
  <c r="H51" i="1"/>
  <c r="I51" i="1"/>
  <c r="J51" i="1"/>
  <c r="K51" i="1"/>
  <c r="F50" i="1"/>
  <c r="G50" i="1"/>
  <c r="H50" i="1"/>
  <c r="I50" i="1"/>
  <c r="J50" i="1"/>
  <c r="K50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29" i="1"/>
  <c r="G29" i="1"/>
  <c r="H29" i="1"/>
  <c r="I29" i="1"/>
  <c r="J29" i="1"/>
  <c r="K29" i="1"/>
  <c r="F12" i="1"/>
  <c r="G12" i="1"/>
  <c r="H12" i="1"/>
  <c r="I12" i="1"/>
  <c r="J12" i="1"/>
  <c r="K12" i="1"/>
  <c r="A38" i="1" l="1"/>
  <c r="A37" i="1"/>
  <c r="A22" i="1"/>
  <c r="A49" i="1"/>
  <c r="A48" i="1"/>
  <c r="A47" i="1"/>
  <c r="A42" i="1"/>
  <c r="F38" i="1"/>
  <c r="G38" i="1"/>
  <c r="H38" i="1"/>
  <c r="I38" i="1"/>
  <c r="J38" i="1"/>
  <c r="K38" i="1"/>
  <c r="F37" i="1"/>
  <c r="G37" i="1"/>
  <c r="H37" i="1"/>
  <c r="I37" i="1"/>
  <c r="J37" i="1"/>
  <c r="K37" i="1"/>
  <c r="F22" i="1"/>
  <c r="G22" i="1"/>
  <c r="H22" i="1"/>
  <c r="I22" i="1"/>
  <c r="J22" i="1"/>
  <c r="K22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2" i="1"/>
  <c r="G42" i="1"/>
  <c r="H42" i="1"/>
  <c r="I42" i="1"/>
  <c r="J42" i="1"/>
  <c r="K42" i="1"/>
  <c r="A5" i="1"/>
  <c r="F5" i="1"/>
  <c r="G5" i="1"/>
  <c r="H5" i="1"/>
  <c r="I5" i="1"/>
  <c r="J5" i="1"/>
  <c r="K5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36" i="1"/>
  <c r="F36" i="1"/>
  <c r="G36" i="1"/>
  <c r="H36" i="1"/>
  <c r="I36" i="1"/>
  <c r="J36" i="1"/>
  <c r="K36" i="1"/>
  <c r="F41" i="1" l="1"/>
  <c r="G41" i="1"/>
  <c r="H41" i="1"/>
  <c r="I41" i="1"/>
  <c r="J41" i="1"/>
  <c r="K41" i="1"/>
  <c r="A41" i="1"/>
  <c r="F28" i="1" l="1"/>
  <c r="G28" i="1"/>
  <c r="H28" i="1"/>
  <c r="I28" i="1"/>
  <c r="J28" i="1"/>
  <c r="K28" i="1"/>
  <c r="A28" i="1"/>
  <c r="G7" i="16" l="1"/>
  <c r="A6" i="1"/>
  <c r="A7" i="1"/>
  <c r="F7" i="1" l="1"/>
  <c r="G7" i="1"/>
  <c r="H7" i="1"/>
  <c r="I7" i="1"/>
  <c r="J7" i="1"/>
  <c r="K7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6" i="1" l="1"/>
  <c r="G6" i="1"/>
  <c r="H6" i="1"/>
  <c r="I6" i="1"/>
  <c r="J6" i="1"/>
  <c r="K6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<sst xmlns="http://schemas.openxmlformats.org/spreadsheetml/2006/main" count="13382" uniqueCount="2604">
  <si>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</si>
  <si>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</si>
  <si>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</si>
  <si>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</si>
  <si>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</si>
  <si>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</si>
  <si>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</si>
  <si>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</si>
  <si>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</si>
  <si>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</si>
  <si>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</si>
  <si>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</si>
  <si>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</si>
  <si>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</si>
  <si>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</si>
  <si>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</si>
  <si>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</si>
  <si>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</si>
  <si>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</si>
  <si>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</si>
  <si>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</si>
  <si>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</si>
  <si>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</si>
  <si>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</si>
  <si>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</si>
  <si>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</si>
  <si>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</si>
  <si>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</si>
  <si>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</si>
  <si>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</si>
  <si>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</si>
  <si>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</si>
  <si>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</si>
  <si>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</si>
  <si>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</si>
  <si>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</si>
  <si>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</si>
  <si>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</si>
  <si>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</si>
  <si>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</si>
  <si>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</si>
  <si>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</si>
  <si>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</si>
  <si>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</si>
  <si>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</si>
  <si>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</si>
  <si>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</si>
  <si>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</si>
  <si>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</si>
  <si>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</si>
  <si>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</si>
  <si>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</si>
  <si>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</si>
  <si>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</si>
  <si>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</si>
  <si>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</si>
  <si>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</si>
  <si>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</si>
  <si>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</si>
  <si>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</si>
  <si>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</si>
  <si>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</si>
  <si>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</si>
  <si>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</si>
  <si>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</si>
  <si>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</si>
  <si>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</si>
  <si>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</si>
  <si>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</si>
  <si>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</si>
  <si>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</si>
  <si>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</si>
  <si>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</si>
  <si>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</si>
  <si>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</si>
  <si>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</si>
  <si>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</si>
  <si>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</si>
  <si>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</si>
  <si>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</si>
  <si>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</si>
  <si>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</si>
  <si>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</si>
  <si>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</si>
  <si>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</si>
  <si>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</si>
  <si>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</si>
  <si>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</si>
  <si>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</si>
  <si>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</si>
  <si>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</si>
  <si>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</si>
  <si>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</si>
  <si>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</si>
  <si>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</si>
  <si>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</si>
  <si>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</si>
  <si>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</si>
  <si>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</si>
  <si>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</si>
  <si>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</si>
  <si>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</si>
  <si>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</si>
  <si>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</si>
  <si>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</si>
  <si>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</si>
  <si>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</si>
  <si>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</si>
  <si>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</si>
  <si>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</si>
  <si>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</si>
  <si>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</si>
  <si>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</si>
  <si>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</si>
  <si>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</si>
  <si>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</si>
  <si>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</si>
  <si>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</si>
  <si>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</si>
  <si>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</si>
  <si>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</si>
  <si>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</si>
  <si>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</si>
  <si>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</si>
  <si>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</si>
  <si>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</si>
  <si>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</si>
  <si>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</si>
  <si>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</si>
  <si>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</si>
  <si>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</si>
  <si>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</si>
  <si>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</si>
  <si>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</si>
  <si>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</si>
  <si>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</si>
  <si>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</si>
  <si>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</si>
  <si>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</si>
  <si>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</si>
  <si>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</si>
  <si>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</si>
  <si>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</si>
  <si>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</si>
  <si>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</si>
  <si>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</si>
  <si>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</si>
  <si>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</si>
  <si>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</si>
  <si>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</si>
  <si>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</si>
  <si>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</si>
  <si>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</si>
  <si>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</si>
  <si>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</si>
  <si>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</si>
  <si>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</si>
  <si>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</si>
  <si>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</si>
  <si>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</si>
  <si>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</si>
  <si>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</si>
  <si>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</si>
  <si>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</si>
  <si>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</si>
  <si>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</si>
  <si>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</si>
  <si>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</si>
  <si>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</si>
  <si>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</si>
  <si>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</si>
  <si>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</si>
  <si>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</si>
  <si>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</si>
  <si>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</si>
  <si>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</si>
  <si>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</si>
  <si>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</si>
  <si>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</si>
  <si>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</si>
  <si>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</si>
  <si>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</si>
  <si>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</si>
  <si>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</si>
  <si>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</si>
  <si>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</si>
  <si>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</si>
  <si>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</si>
  <si>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</si>
  <si>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</si>
  <si>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</si>
  <si>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</si>
  <si>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</si>
  <si>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</si>
  <si>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</si>
  <si>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</si>
  <si>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</si>
  <si>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</si>
  <si>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</si>
  <si>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</si>
  <si>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</si>
  <si>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</si>
  <si>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</si>
  <si>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</si>
  <si>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</si>
  <si>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</si>
  <si>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</si>
  <si>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</si>
  <si>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</si>
  <si>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</si>
  <si>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</si>
  <si>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</si>
  <si>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</si>
  <si>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</si>
  <si>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</si>
  <si>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</si>
  <si>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</si>
  <si>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</si>
  <si>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</si>
  <si>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</si>
  <si>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</si>
  <si>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</si>
  <si>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</si>
  <si>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</si>
  <si>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</si>
  <si>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</si>
  <si>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</si>
  <si>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</si>
  <si>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</si>
  <si>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</si>
  <si>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</si>
  <si>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</si>
  <si>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</si>
  <si>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</si>
  <si>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</si>
  <si>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</si>
  <si>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</si>
  <si>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</si>
  <si>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</si>
  <si>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</si>
  <si>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</si>
  <si>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</si>
  <si>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</si>
  <si>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</si>
  <si>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</si>
  <si>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</si>
  <si>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</si>
  <si>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</si>
  <si>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</si>
  <si>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</si>
  <si>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</si>
  <si>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</si>
  <si>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</si>
  <si>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</si>
  <si>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</si>
  <si>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</si>
  <si>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</si>
  <si>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</si>
  <si>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</si>
  <si>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</si>
  <si>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</si>
  <si>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</si>
  <si>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</si>
  <si>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</si>
  <si>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</si>
  <si>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</si>
  <si>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</si>
  <si>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</si>
  <si>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</si>
  <si>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</si>
  <si>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</si>
  <si>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</si>
  <si>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</si>
  <si>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</si>
  <si>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</si>
  <si>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</si>
  <si>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</si>
  <si>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</si>
  <si>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</si>
  <si>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</si>
  <si>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</si>
  <si>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</si>
  <si>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</si>
  <si>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</si>
  <si>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</si>
  <si>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</si>
  <si>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</si>
  <si>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</si>
  <si>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</si>
  <si>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</si>
  <si>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</si>
  <si>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</si>
  <si>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</si>
  <si>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</si>
  <si>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</si>
  <si>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</si>
  <si>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</si>
  <si>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</si>
  <si>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</si>
  <si>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</si>
  <si>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</si>
  <si>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</si>
  <si>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</si>
  <si>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</si>
  <si>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</si>
  <si>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</si>
  <si>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</si>
  <si>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</si>
  <si>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</si>
  <si>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</si>
  <si>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</si>
  <si>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</si>
  <si>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</si>
  <si>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</si>
  <si>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</si>
  <si>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</si>
  <si>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</si>
  <si>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</si>
  <si>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</si>
  <si>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</si>
  <si>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</si>
  <si>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</si>
  <si>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</si>
  <si>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</si>
  <si>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</si>
  <si>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</si>
  <si>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</si>
  <si>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</si>
  <si>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</si>
  <si>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</si>
  <si>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</si>
  <si>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</si>
  <si>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</si>
  <si>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</si>
  <si>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</si>
  <si>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</si>
  <si>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</si>
  <si>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</si>
  <si>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</si>
  <si>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</si>
  <si>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</si>
  <si>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</si>
  <si>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</si>
  <si>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</si>
  <si>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</si>
  <si>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</si>
  <si>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</si>
  <si>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</si>
  <si>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</si>
  <si>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</si>
  <si>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</si>
  <si>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</si>
  <si>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</si>
  <si>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</si>
  <si>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</si>
  <si>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</si>
  <si>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</si>
  <si>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</si>
  <si>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</si>
  <si>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</si>
  <si>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</si>
  <si>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</si>
  <si>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</si>
  <si>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</si>
  <si>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</si>
  <si>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</si>
  <si>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</si>
  <si>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</si>
  <si>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</si>
  <si>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</si>
  <si>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</si>
  <si>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</si>
  <si>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</si>
  <si>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</si>
  <si>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</si>
  <si>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</si>
  <si>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</si>
  <si>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</si>
  <si>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</si>
  <si>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</si>
  <si>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</si>
  <si>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</si>
  <si>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</si>
  <si>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</si>
  <si>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</si>
  <si>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</si>
  <si>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</si>
  <si>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</si>
  <si>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</si>
  <si>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</si>
  <si>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</si>
  <si>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</si>
  <si>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</si>
  <si>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</si>
  <si>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</si>
  <si>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</si>
  <si>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</si>
  <si>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</si>
  <si>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</si>
  <si>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</si>
  <si>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</si>
  <si>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</si>
  <si>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</si>
  <si>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</si>
  <si>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</si>
  <si>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</si>
  <si>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</si>
  <si>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</si>
  <si>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</si>
  <si>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</si>
  <si>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</si>
  <si>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</si>
  <si>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</si>
  <si>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</si>
  <si>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</si>
  <si>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</si>
  <si>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</si>
  <si>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</si>
  <si>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</si>
  <si>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</si>
  <si>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</si>
  <si>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</si>
  <si>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</si>
  <si>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</si>
  <si>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</si>
  <si>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</si>
  <si>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</si>
  <si>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</si>
  <si>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</si>
  <si>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</si>
  <si>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</si>
  <si>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</si>
  <si>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</si>
  <si>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</si>
  <si>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</si>
  <si>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</si>
  <si>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</si>
  <si>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</si>
  <si>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</si>
  <si>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</si>
  <si>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</si>
  <si>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</si>
  <si>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</si>
  <si>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</si>
  <si>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</si>
  <si>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</si>
  <si>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</si>
  <si>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</si>
  <si>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</si>
  <si>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</si>
  <si>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</si>
  <si>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</si>
  <si>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</si>
  <si>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</si>
  <si>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</si>
  <si>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</si>
  <si>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</si>
  <si>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</si>
  <si>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</si>
  <si>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</si>
  <si>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</si>
  <si>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</si>
  <si>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</si>
  <si>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</si>
  <si>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</si>
  <si>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</si>
  <si>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</si>
  <si>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</si>
  <si>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</si>
  <si>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</si>
  <si>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</si>
  <si>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</si>
  <si>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</si>
  <si>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</si>
  <si>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</si>
  <si>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</si>
  <si>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</si>
  <si>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</si>
  <si>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</si>
  <si>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</si>
  <si>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</si>
  <si>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</si>
  <si>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</si>
  <si>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</si>
  <si>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</si>
  <si>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</si>
  <si>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</si>
  <si>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</si>
  <si>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</si>
  <si>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</si>
  <si>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</si>
  <si>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</si>
  <si>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</si>
  <si>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</si>
  <si>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</si>
  <si>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</si>
  <si>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</si>
  <si>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</si>
  <si>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</si>
  <si>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</si>
  <si>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</si>
  <si>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</si>
  <si>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</si>
  <si>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</si>
  <si>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</si>
  <si>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</si>
  <si>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</si>
  <si>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</si>
  <si>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</si>
  <si>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</si>
  <si>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</si>
  <si>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</si>
  <si>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</si>
  <si>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</si>
  <si>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</si>
  <si>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</si>
  <si>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</si>
  <si>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</si>
  <si>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</si>
  <si>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</si>
  <si>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</si>
  <si>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</si>
  <si>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</si>
  <si>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</si>
  <si>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</si>
  <si>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</si>
  <si>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</si>
  <si>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</si>
  <si>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</si>
  <si>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</si>
  <si>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</si>
  <si>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</si>
  <si>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</si>
  <si>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</si>
  <si>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</si>
  <si>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</si>
  <si>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</si>
  <si>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</si>
  <si>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</si>
  <si>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</si>
  <si>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</si>
  <si>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</si>
  <si>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</si>
  <si>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</si>
  <si>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</si>
  <si>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</si>
  <si>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</si>
  <si>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</si>
  <si>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</si>
  <si>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</si>
  <si>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</si>
  <si>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</si>
  <si>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</si>
  <si>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</si>
  <si>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</si>
  <si>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</si>
  <si>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</si>
  <si>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</si>
  <si>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</si>
  <si>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</si>
  <si>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</si>
  <si>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</si>
  <si>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</si>
  <si>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</si>
  <si>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</si>
  <si>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</si>
  <si>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</si>
  <si>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</si>
  <si>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</si>
  <si>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</si>
  <si>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</si>
  <si>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</si>
  <si>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</si>
  <si>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</si>
  <si>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</si>
  <si>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</si>
  <si>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</si>
  <si>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</si>
  <si>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</si>
  <si>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</si>
  <si>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</si>
  <si>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</si>
  <si>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</si>
  <si>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</si>
  <si>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</si>
  <si>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</si>
  <si>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</si>
  <si>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</si>
  <si>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</si>
  <si>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</si>
  <si>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</si>
  <si>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</si>
  <si>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</si>
  <si>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</si>
  <si>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</si>
  <si>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</si>
  <si>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</si>
  <si>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</si>
  <si>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</si>
  <si>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</si>
  <si>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</si>
  <si>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</si>
  <si>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</si>
  <si>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</si>
  <si>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</si>
  <si>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</si>
  <si>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</si>
  <si>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</si>
  <si>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</si>
  <si>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</si>
  <si>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</si>
  <si>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</si>
  <si>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</si>
  <si>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</si>
  <si>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</si>
  <si>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</si>
  <si>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</si>
  <si>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</si>
  <si>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</si>
  <si>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</si>
  <si>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</si>
  <si>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</si>
  <si>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</si>
  <si>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</si>
  <si>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</si>
  <si>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</si>
  <si>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</si>
  <si>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</si>
  <si>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</si>
  <si>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</si>
  <si>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</si>
  <si>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</si>
  <si>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</si>
  <si>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</si>
  <si>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</si>
  <si>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</si>
  <si>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</si>
  <si>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</si>
  <si>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</si>
  <si>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</si>
  <si>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</si>
  <si>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</si>
  <si>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</si>
  <si>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</si>
  <si>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</si>
  <si>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</si>
  <si>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</si>
  <si>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</si>
  <si>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</si>
  <si>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</si>
  <si>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</si>
  <si>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</si>
  <si>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</si>
  <si>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</si>
  <si>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</si>
  <si>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</si>
  <si>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</si>
  <si>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</si>
  <si>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</si>
  <si>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</si>
  <si>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</si>
  <si>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</si>
  <si>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</si>
  <si>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</si>
  <si>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</si>
  <si>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</si>
  <si>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</si>
  <si>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</si>
  <si>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</si>
  <si>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</si>
  <si>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</si>
  <si>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</si>
  <si>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</si>
  <si>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</si>
  <si>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</si>
  <si>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</si>
  <si>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</si>
  <si>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</si>
  <si>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</si>
  <si>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</si>
  <si>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</si>
  <si>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</si>
  <si>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</si>
  <si>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</si>
  <si>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</si>
  <si>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</si>
  <si>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</si>
  <si>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</si>
  <si>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</si>
  <si>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</si>
  <si>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</si>
  <si>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</si>
  <si>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</si>
  <si>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</si>
  <si>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</si>
  <si>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</si>
  <si>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</si>
  <si>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</si>
  <si>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</si>
  <si>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</si>
  <si>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</si>
  <si>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</si>
  <si>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</si>
  <si>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</si>
  <si>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</si>
  <si>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</si>
  <si>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</si>
  <si>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</si>
  <si>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</si>
  <si>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</si>
  <si>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</si>
  <si>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</si>
  <si>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</si>
  <si>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</si>
  <si>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</si>
  <si>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</si>
  <si>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</si>
  <si>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</si>
  <si>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</si>
  <si>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</si>
  <si>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</si>
  <si>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</si>
  <si>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</si>
  <si>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</si>
  <si>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</si>
  <si>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</si>
  <si>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</si>
  <si>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</si>
  <si>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</si>
  <si>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</si>
  <si>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</si>
  <si>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</si>
  <si>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</si>
  <si>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</si>
  <si>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</si>
  <si>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</si>
  <si>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</si>
  <si>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</si>
  <si>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</si>
  <si>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</si>
  <si>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</si>
  <si>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</si>
  <si>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</si>
  <si>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</si>
  <si>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</si>
  <si>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</si>
  <si>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</si>
  <si>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</si>
  <si>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</si>
  <si>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</si>
  <si>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</si>
  <si>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</si>
  <si>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</si>
  <si>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</si>
  <si>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</si>
  <si>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</si>
  <si>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</si>
  <si>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</si>
  <si>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</si>
  <si>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</si>
  <si>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</si>
  <si>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</si>
  <si>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</si>
  <si>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</si>
  <si>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</si>
  <si>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</si>
  <si>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</si>
  <si>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</si>
  <si>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</si>
  <si>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</si>
  <si>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</si>
  <si>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</si>
  <si>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</si>
  <si>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</si>
  <si>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</si>
  <si>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</si>
  <si>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</si>
  <si>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</si>
  <si>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</si>
  <si>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</si>
  <si>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</si>
  <si>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</si>
  <si>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</si>
  <si>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</si>
  <si>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</si>
  <si>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</si>
  <si>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</si>
  <si>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</si>
  <si>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</si>
  <si>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</si>
  <si>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</si>
  <si>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</si>
  <si>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</si>
  <si>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</si>
  <si>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</si>
  <si>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</si>
  <si>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</si>
  <si>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</si>
  <si>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</si>
  <si>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</si>
  <si>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</si>
  <si>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</si>
  <si>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</si>
  <si>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</si>
  <si>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</si>
  <si>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</si>
  <si>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</si>
  <si>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</si>
  <si>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</si>
  <si>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</si>
  <si>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</si>
  <si>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</si>
  <si>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</si>
  <si>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</si>
  <si>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</si>
  <si>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</si>
  <si>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</si>
  <si>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</si>
  <si>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</si>
  <si>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</si>
  <si>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</si>
  <si>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</si>
  <si>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</si>
  <si>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</si>
  <si>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</si>
  <si>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</si>
  <si>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</si>
  <si>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</si>
  <si>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</si>
  <si>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</si>
  <si>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</si>
  <si>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</si>
  <si>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</si>
  <si>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</si>
  <si>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</si>
  <si>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</si>
  <si>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</si>
  <si>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</si>
  <si>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</si>
  <si>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</si>
  <si>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</si>
  <si>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</si>
  <si>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</si>
  <si>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</si>
  <si>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</si>
  <si>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</si>
  <si>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</si>
  <si>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</si>
  <si>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</si>
  <si>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</si>
  <si>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</si>
  <si>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</si>
  <si>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</si>
  <si>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</si>
  <si>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</si>
  <si>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</si>
  <si>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</si>
  <si>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</si>
  <si>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</si>
  <si>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</si>
  <si>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</si>
  <si>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</si>
  <si>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</si>
  <si>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</si>
  <si>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</si>
  <si>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</si>
  <si>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</si>
  <si>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</si>
  <si>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</si>
  <si>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</si>
  <si>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</si>
  <si>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</si>
  <si>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</si>
  <si>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</si>
  <si>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</si>
  <si>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</si>
  <si>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</si>
  <si>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</si>
  <si>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</si>
  <si>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</si>
  <si>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</si>
  <si>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</si>
  <si>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</si>
  <si>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</si>
  <si>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</si>
  <si>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</si>
  <si>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</si>
  <si>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</si>
  <si>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</si>
  <si>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</si>
  <si>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</si>
  <si>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</si>
  <si>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</si>
  <si>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</si>
  <si>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</si>
  <si>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</si>
  <si>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</si>
  <si>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</si>
  <si>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</si>
  <si>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</si>
  <si>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</si>
  <si>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</si>
  <si>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</si>
  <si>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</si>
  <si>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</si>
  <si>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</si>
  <si>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</si>
  <si>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</si>
  <si>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</si>
  <si>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</si>
  <si>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</si>
  <si>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</si>
  <si>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</si>
  <si>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</si>
  <si>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</si>
  <si>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</si>
  <si>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</si>
  <si>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</si>
  <si>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</si>
  <si>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</si>
  <si>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</si>
  <si>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</si>
  <si>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</si>
  <si>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</si>
  <si>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</si>
  <si>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</si>
  <si>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</si>
  <si>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</si>
  <si>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</si>
  <si>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</si>
  <si>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</si>
  <si>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</si>
  <si>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</si>
  <si>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</si>
  <si>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</si>
  <si>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</si>
  <si>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</si>
  <si>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</si>
  <si>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</si>
  <si>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</si>
  <si>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</si>
  <si>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</si>
  <si>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</si>
  <si>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</si>
  <si>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</si>
  <si>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</si>
  <si>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</si>
  <si>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</si>
  <si>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</si>
  <si>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</si>
  <si>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</si>
  <si>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</si>
  <si>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</si>
  <si>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</si>
  <si>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</si>
  <si>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</si>
  <si>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</si>
  <si>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</si>
  <si>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</si>
  <si>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</si>
  <si>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</si>
  <si>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</si>
  <si>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</si>
  <si>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</si>
  <si>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</si>
  <si>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</si>
  <si>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</si>
  <si>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</si>
  <si>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</si>
  <si>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</si>
  <si>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</si>
  <si>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</si>
  <si>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</si>
  <si>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</si>
  <si>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</si>
  <si>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</si>
  <si>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</si>
  <si>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</si>
  <si>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</si>
  <si>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</si>
  <si>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</si>
  <si>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</si>
  <si>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</si>
  <si>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</si>
  <si>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</si>
  <si>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</si>
  <si>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</si>
  <si>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</si>
  <si>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</si>
  <si>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</si>
  <si>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</si>
  <si>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</si>
  <si>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</si>
  <si>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</si>
  <si>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</si>
  <si>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</si>
  <si>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</si>
  <si>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</si>
  <si>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</si>
  <si>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</si>
  <si>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</si>
  <si>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</si>
  <si>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</si>
  <si>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</si>
  <si>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</si>
  <si>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</si>
  <si>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</si>
  <si>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</si>
  <si>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</si>
  <si>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</si>
  <si>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</si>
  <si>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</si>
  <si>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</si>
  <si>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</si>
  <si>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</si>
  <si>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</si>
  <si>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</si>
  <si>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</si>
  <si>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</si>
  <si>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</si>
  <si>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</si>
  <si>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</si>
  <si>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</si>
  <si>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</si>
  <si>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</si>
  <si>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</si>
  <si>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</si>
  <si>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</si>
  <si>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</si>
  <si>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</si>
  <si>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</si>
  <si>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</si>
  <si>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</si>
  <si>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</si>
  <si>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</si>
  <si>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</si>
  <si>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</si>
  <si>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</si>
  <si>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</si>
  <si>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</si>
  <si>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</si>
  <si>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</si>
  <si>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</si>
  <si>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</si>
  <si>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</si>
  <si>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</si>
  <si>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</si>
  <si>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</si>
  <si>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</si>
  <si>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</si>
  <si>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</si>
  <si>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</si>
  <si>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</si>
  <si>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</si>
  <si>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</si>
  <si>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</si>
  <si>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</si>
  <si>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</si>
  <si>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</si>
  <si>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</si>
  <si>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</si>
  <si>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</si>
  <si>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</si>
  <si>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</si>
  <si>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</si>
  <si>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</si>
  <si>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</si>
  <si>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</si>
  <si>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</si>
  <si>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</si>
  <si>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</si>
  <si>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</si>
  <si>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</si>
  <si>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</si>
  <si>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</si>
  <si>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</si>
  <si>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</si>
  <si>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</si>
  <si>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</si>
  <si>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</si>
  <si>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</si>
  <si>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</si>
  <si>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</si>
  <si>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</si>
  <si>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</si>
  <si>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</si>
  <si>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</si>
  <si>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</si>
  <si>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</si>
  <si>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</si>
  <si>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</si>
  <si>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</si>
  <si>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</si>
  <si>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</si>
  <si>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</si>
  <si>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</si>
  <si>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</si>
  <si>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</si>
  <si>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</si>
  <si>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</si>
  <si>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</si>
  <si>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</si>
  <si>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</si>
  <si>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</si>
  <si>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</si>
  <si>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</si>
  <si>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</si>
  <si>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</si>
  <si>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</si>
  <si>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</si>
  <si>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</si>
  <si>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</si>
  <si>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</si>
  <si>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</si>
  <si>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</si>
  <si>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</si>
  <si>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</si>
  <si>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</si>
  <si>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</si>
  <si>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</si>
  <si>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</si>
  <si>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</si>
  <si>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</si>
  <si>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</si>
  <si>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</si>
  <si>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</si>
  <si>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</si>
  <si>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</si>
  <si>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</si>
  <si>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</si>
  <si>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</si>
  <si>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</si>
  <si>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</si>
  <si>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</si>
  <si>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</si>
  <si>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</si>
  <si>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</si>
  <si>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</si>
  <si>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</si>
  <si>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</si>
  <si>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</si>
  <si>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</si>
  <si>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</si>
  <si>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</si>
  <si>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</si>
  <si>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</si>
  <si>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</si>
  <si>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</si>
  <si>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</si>
  <si>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</si>
  <si>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</si>
  <si>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</si>
  <si>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</si>
  <si>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</si>
  <si>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</si>
  <si>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</si>
  <si>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</si>
  <si>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</si>
  <si>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</si>
  <si>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</si>
  <si>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</si>
  <si>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</si>
  <si>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</si>
  <si>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</si>
  <si>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</si>
  <si>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</si>
  <si>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</si>
  <si>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</si>
  <si>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</si>
  <si>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</si>
  <si>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</si>
  <si>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</si>
  <si>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</si>
  <si>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</si>
  <si>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</si>
  <si>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</si>
  <si>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</si>
  <si>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</si>
  <si>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</si>
  <si>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</si>
  <si>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</si>
  <si>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</si>
  <si>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</si>
  <si>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</si>
  <si>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</si>
  <si>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</si>
  <si>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</si>
  <si>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</si>
  <si>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</si>
  <si>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</si>
  <si>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</si>
  <si>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</si>
  <si>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</si>
  <si>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</si>
  <si>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</si>
  <si>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</si>
  <si>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</si>
  <si>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</si>
  <si>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</si>
  <si>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</si>
  <si>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</si>
  <si>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</si>
  <si>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</si>
  <si>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</si>
  <si>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</si>
  <si>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</si>
  <si>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</si>
  <si>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</si>
  <si>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</si>
  <si>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</si>
  <si>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</si>
  <si>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</si>
  <si>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</si>
  <si>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</si>
  <si>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</si>
  <si>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</si>
  <si>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</si>
  <si>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</si>
  <si>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</si>
  <si>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</si>
  <si>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</si>
  <si>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</si>
  <si>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</si>
  <si>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</si>
  <si>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</si>
  <si>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</si>
  <si>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</si>
  <si>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</si>
  <si>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</si>
  <si>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</si>
  <si>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</si>
  <si>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</si>
  <si>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</si>
  <si>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</si>
  <si>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</si>
  <si>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</si>
  <si>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</si>
  <si>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</si>
  <si>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</si>
  <si>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</si>
  <si>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</si>
  <si>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</si>
  <si>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</si>
  <si>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</si>
  <si>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</si>
  <si>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</si>
  <si>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</si>
  <si>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</si>
  <si>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</si>
  <si>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</si>
  <si>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</si>
  <si>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</si>
  <si>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</si>
  <si>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</si>
  <si>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</si>
  <si>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</si>
  <si>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</si>
  <si>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</si>
  <si>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</si>
  <si>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</si>
  <si>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</si>
  <si>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</si>
  <si>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</si>
  <si>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</si>
  <si>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</si>
  <si>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</si>
  <si>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</si>
  <si>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</si>
  <si>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</si>
  <si>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</si>
  <si>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</si>
  <si>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</si>
  <si>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</si>
  <si>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</si>
  <si>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</si>
  <si>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</si>
  <si>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</si>
  <si>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</si>
  <si>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</si>
  <si>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</si>
  <si>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</si>
  <si>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</si>
  <si>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</si>
  <si>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</si>
  <si>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</si>
  <si>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</si>
  <si>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</si>
  <si>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</si>
  <si>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</si>
  <si>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</si>
  <si>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</si>
  <si>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</si>
  <si>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</si>
  <si>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</si>
  <si>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</si>
  <si>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</si>
  <si>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</si>
  <si>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</si>
  <si>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</si>
  <si>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</si>
  <si>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</si>
  <si>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</si>
  <si>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</si>
  <si>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</si>
  <si>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</si>
  <si>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</si>
  <si>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</si>
  <si>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</si>
  <si>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</si>
  <si>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</si>
  <si>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</si>
  <si>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</si>
  <si>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</si>
  <si>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</si>
  <si>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</si>
  <si>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</si>
  <si>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</si>
  <si>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</si>
  <si>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</si>
  <si>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</si>
  <si>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</si>
  <si>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</si>
  <si>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</si>
  <si>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</si>
  <si>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</si>
  <si>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</si>
  <si>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</si>
  <si>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</si>
  <si>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</si>
  <si>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</si>
  <si>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</si>
  <si>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</si>
  <si>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</si>
  <si>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</si>
  <si>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</si>
  <si>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</si>
  <si>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</si>
  <si>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</si>
  <si>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</si>
  <si>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</si>
  <si>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</si>
  <si>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</si>
  <si>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</si>
  <si>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</si>
  <si>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</si>
  <si>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</si>
  <si>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</si>
  <si>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</si>
  <si>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</si>
  <si>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</si>
  <si>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</si>
  <si>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</si>
  <si>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</si>
  <si>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</si>
  <si>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</si>
  <si>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</si>
  <si>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</si>
  <si>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</si>
  <si>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</si>
  <si>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</si>
  <si>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</si>
  <si>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</si>
  <si>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</si>
  <si>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</si>
  <si>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</si>
  <si>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</si>
  <si>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</si>
  <si>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</si>
  <si>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</si>
  <si>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</si>
  <si>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</si>
  <si>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</si>
  <si>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</si>
  <si>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</si>
  <si>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</si>
  <si>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</si>
  <si>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</si>
  <si>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</si>
  <si>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</si>
  <si>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</si>
  <si>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</si>
  <si>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</si>
  <si>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</si>
  <si>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</si>
  <si>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</si>
  <si>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</si>
  <si>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</si>
  <si>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</si>
  <si>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</si>
  <si>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</si>
  <si>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</si>
  <si>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</si>
  <si>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</si>
  <si>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</si>
  <si>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</si>
  <si>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</si>
  <si>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</si>
  <si>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</si>
  <si>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</si>
  <si>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</si>
  <si>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</si>
  <si>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</si>
  <si>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</si>
  <si>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</si>
  <si>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</si>
  <si>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</si>
  <si>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</si>
  <si>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</si>
  <si>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</si>
  <si>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</si>
  <si>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</si>
  <si>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</si>
  <si>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</si>
  <si>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</si>
  <si>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</si>
  <si>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</si>
  <si>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</si>
  <si>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</si>
  <si>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</si>
  <si>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</si>
  <si>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</si>
  <si>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</si>
  <si>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</si>
  <si>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</si>
  <si>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</si>
  <si>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</si>
  <si>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</si>
  <si>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</si>
  <si>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</si>
  <si>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</si>
  <si>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</si>
  <si>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</si>
  <si>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</si>
  <si>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</si>
  <si>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</si>
  <si>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</si>
  <si>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</si>
  <si>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</si>
  <si>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</si>
  <si>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</si>
  <si>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</si>
  <si>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</si>
  <si>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</si>
  <si>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</si>
  <si>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</si>
  <si>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</si>
  <si>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</si>
  <si>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</si>
  <si>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</si>
  <si>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</si>
  <si>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</si>
  <si>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</si>
  <si>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</si>
  <si>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</si>
  <si>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</si>
  <si>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</si>
  <si>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</si>
  <si>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</si>
  <si>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</si>
  <si>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</si>
  <si>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</si>
  <si>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</si>
  <si>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</si>
  <si>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</si>
  <si>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</si>
  <si>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</si>
  <si>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</si>
  <si>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</si>
  <si>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</si>
  <si>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</si>
  <si>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</si>
  <si>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</si>
  <si>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</si>
  <si>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</si>
  <si>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</si>
  <si>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</si>
  <si>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</si>
  <si>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</si>
  <si>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</si>
  <si>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</si>
  <si>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</si>
  <si>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</si>
  <si>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</si>
  <si>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</si>
  <si>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</si>
  <si>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</si>
  <si>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</si>
  <si>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</si>
  <si>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</si>
  <si>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</si>
  <si>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</si>
  <si>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</si>
  <si>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</si>
  <si>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</si>
  <si>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</si>
  <si>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</si>
  <si>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</si>
  <si>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</si>
  <si>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</si>
  <si>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</si>
  <si>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</si>
  <si>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</si>
  <si>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</si>
  <si>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</si>
  <si>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</si>
  <si>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</si>
  <si>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</si>
  <si>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</si>
  <si>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</si>
  <si>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</si>
  <si>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</si>
  <si>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</si>
  <si>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</si>
  <si>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</si>
  <si>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</si>
  <si>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</si>
  <si>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</si>
  <si>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</si>
  <si>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</si>
  <si>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</si>
  <si>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</si>
  <si>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</si>
  <si>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</si>
  <si>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</si>
  <si>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</si>
  <si>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</si>
  <si>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</si>
  <si>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</si>
  <si>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</si>
  <si>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</si>
  <si>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</si>
  <si>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</si>
  <si>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</si>
  <si>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</si>
  <si>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</si>
  <si>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</si>
  <si>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</si>
  <si>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</si>
  <si>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</si>
  <si>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</si>
  <si>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</si>
  <si>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</si>
  <si>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</si>
  <si>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</si>
  <si>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</si>
  <si>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</si>
  <si>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</si>
  <si>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</si>
  <si>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</si>
  <si>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</si>
  <si>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</si>
  <si>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</si>
  <si>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</si>
  <si>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</si>
  <si>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</si>
  <si>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</si>
  <si>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</si>
  <si>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</si>
  <si>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</si>
  <si>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</si>
  <si>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</si>
  <si>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</si>
  <si>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</si>
  <si>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</si>
  <si>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</si>
  <si>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</si>
  <si>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</si>
  <si>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</si>
  <si>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</si>
  <si>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</si>
  <si>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</si>
  <si>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</si>
  <si>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</si>
  <si>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</si>
  <si>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</si>
  <si>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</si>
  <si>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</si>
  <si>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</si>
  <si>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</si>
  <si>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</si>
  <si>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</si>
  <si>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</si>
  <si>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</si>
  <si>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</si>
  <si>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</si>
  <si>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</si>
  <si>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</si>
  <si>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</si>
  <si>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</si>
  <si>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</si>
  <si>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</si>
  <si>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</si>
  <si>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</si>
  <si>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</si>
  <si>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</si>
  <si>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</si>
  <si>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</si>
  <si>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</si>
  <si>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</si>
  <si>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</si>
  <si>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</si>
  <si>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</si>
  <si>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</si>
  <si>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</si>
  <si>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</si>
  <si>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</si>
  <si>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</si>
  <si>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</si>
  <si>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</si>
  <si>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</si>
  <si>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</si>
  <si>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</si>
  <si>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</si>
  <si>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</si>
  <si>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</si>
  <si>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</si>
  <si>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</si>
  <si>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</si>
  <si>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</si>
  <si>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</si>
  <si>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</si>
  <si>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</si>
  <si>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</si>
  <si>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</si>
  <si>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</si>
  <si>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</si>
  <si>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</si>
  <si>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</si>
  <si>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</si>
  <si>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</si>
  <si>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</si>
  <si>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</si>
  <si>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</si>
  <si>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</si>
  <si>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</si>
  <si>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</si>
  <si>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</si>
  <si>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</si>
  <si>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</si>
  <si>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</si>
  <si>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</si>
  <si>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</si>
  <si>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</si>
  <si>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</si>
  <si>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</si>
  <si>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</si>
  <si>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</si>
  <si>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</si>
  <si>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</si>
  <si>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</si>
  <si>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</si>
  <si>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</si>
  <si>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</si>
  <si>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</si>
  <si>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</si>
  <si>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</si>
  <si>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</si>
  <si>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</si>
  <si>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</si>
  <si>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</si>
  <si>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</si>
  <si>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</si>
  <si>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</si>
  <si>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</si>
  <si>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</si>
  <si>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</si>
  <si>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</si>
  <si>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</si>
  <si>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</si>
  <si>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</si>
  <si>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</si>
  <si>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</si>
  <si>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</si>
  <si>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</si>
  <si>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</si>
  <si>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</si>
  <si>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</si>
  <si>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</si>
  <si>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</si>
  <si>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</si>
  <si>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</si>
  <si>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</si>
  <si>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</si>
  <si>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</si>
  <si>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</si>
  <si>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</si>
  <si>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</si>
  <si>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</si>
  <si>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</si>
  <si>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</si>
  <si>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</si>
  <si>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</si>
  <si>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</si>
  <si>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</si>
  <si>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</si>
  <si>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</si>
  <si>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</si>
  <si>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</si>
  <si>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</si>
  <si>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</si>
  <si>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</si>
  <si>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</si>
  <si>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</si>
  <si>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</si>
  <si>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</si>
  <si>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</si>
  <si>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</si>
  <si>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</si>
  <si>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</si>
  <si>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</si>
  <si>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</si>
  <si>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</si>
  <si>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</si>
  <si>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</si>
  <si>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</si>
  <si>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</si>
  <si>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</si>
  <si>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</si>
  <si>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</si>
  <si>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</si>
  <si>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</si>
  <si>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</si>
  <si>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</si>
  <si>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</si>
  <si>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</si>
  <si>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</si>
  <si>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</si>
  <si>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</si>
  <si>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</si>
  <si>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</si>
  <si>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</si>
  <si>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</si>
  <si>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</si>
  <si>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</si>
  <si>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</si>
  <si>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</si>
  <si>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</si>
  <si>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</si>
  <si>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</si>
  <si>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</si>
  <si>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</si>
  <si>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</si>
  <si>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</si>
  <si>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</si>
  <si>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</si>
  <si>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</si>
  <si>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</si>
  <si>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</si>
  <si>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</si>
  <si>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</si>
  <si>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</si>
  <si>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</si>
  <si>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</si>
  <si>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</si>
  <si>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</si>
  <si>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</si>
  <si>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</si>
  <si>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</si>
  <si>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</si>
  <si>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</si>
  <si>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</si>
  <si>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</si>
  <si>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</si>
  <si>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</si>
  <si>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</si>
  <si>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</si>
  <si>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</si>
  <si>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</si>
  <si>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</si>
  <si>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</si>
  <si>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</si>
  <si>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</si>
  <si>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</si>
  <si>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</si>
  <si>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</si>
  <si>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</si>
  <si>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</si>
  <si>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</si>
  <si>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</si>
  <si>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</si>
  <si>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</si>
  <si>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</si>
  <si>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</si>
  <si>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</si>
  <si>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</si>
  <si>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</si>
  <si>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</si>
  <si>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</si>
  <si>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</si>
  <si>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</si>
  <si>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</si>
  <si>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</si>
  <si>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</si>
  <si>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</si>
  <si>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</si>
  <si>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</si>
  <si>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</si>
  <si>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</si>
  <si>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</si>
  <si>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</si>
  <si>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</si>
  <si>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</si>
  <si>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</si>
  <si>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</si>
  <si>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</si>
  <si>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</si>
  <si>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</si>
  <si>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</si>
  <si>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</si>
  <si>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</si>
  <si>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</si>
  <si>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</si>
  <si>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</si>
  <si>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</si>
  <si>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</si>
  <si>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</si>
  <si>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</si>
  <si>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</si>
  <si>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</si>
  <si>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</si>
  <si>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</si>
  <si>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</si>
  <si>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</si>
  <si>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</si>
  <si>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</si>
  <si>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</si>
  <si>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</si>
  <si>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</si>
  <si>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</si>
  <si>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</si>
  <si>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</si>
  <si>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</si>
  <si>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</si>
  <si>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</si>
  <si>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</si>
  <si>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</si>
  <si>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</si>
  <si>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</si>
  <si>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</si>
  <si>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</si>
  <si>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</si>
  <si>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</si>
  <si>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</si>
  <si>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</si>
  <si>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</si>
  <si>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</si>
  <si>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</si>
  <si>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</si>
  <si>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</si>
  <si>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</si>
  <si>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</si>
  <si>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</si>
  <si>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</si>
  <si>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</si>
  <si>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</si>
  <si>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</si>
  <si>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</si>
  <si>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</si>
  <si>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</si>
  <si>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</si>
  <si>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</si>
  <si>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</si>
  <si>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</si>
  <si>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</si>
  <si>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</si>
  <si>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</si>
  <si>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</si>
  <si>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</si>
  <si>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</si>
  <si>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</si>
  <si>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</si>
  <si>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</si>
  <si>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</si>
  <si>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</si>
  <si>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</si>
  <si>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</si>
  <si>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</si>
  <si>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</si>
  <si>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</si>
  <si>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</si>
  <si>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</si>
  <si>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</si>
  <si>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</si>
  <si>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</si>
  <si>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</si>
  <si>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</si>
  <si>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</si>
  <si>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</si>
  <si>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</si>
  <si>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</si>
  <si>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</si>
  <si>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</si>
  <si>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</si>
  <si>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</si>
  <si>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</si>
  <si>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</si>
  <si>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</si>
  <si>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</si>
  <si>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</si>
  <si>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</si>
  <si>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</si>
  <si>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</si>
  <si>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</si>
  <si>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</si>
  <si>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</si>
  <si>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</si>
  <si>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</si>
  <si>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</si>
  <si>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</si>
  <si>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</si>
  <si>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</si>
  <si>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</si>
  <si>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</si>
  <si>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</si>
  <si>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</si>
  <si>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</si>
  <si>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</si>
  <si>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</si>
  <si>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</si>
  <si>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</si>
  <si>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</si>
  <si>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</si>
  <si>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</si>
  <si>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</si>
  <si>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</si>
  <si>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</si>
  <si>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</si>
  <si>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</si>
  <si>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</si>
  <si>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</si>
  <si>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</si>
  <si>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</si>
  <si>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</si>
  <si>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</si>
  <si>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</si>
  <si>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</si>
  <si>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</si>
  <si>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</si>
  <si>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</si>
  <si>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</si>
  <si>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</si>
  <si>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</si>
  <si>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</si>
  <si>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</si>
  <si>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</si>
  <si>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</si>
  <si>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</si>
  <si>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</si>
  <si>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</si>
  <si>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</si>
  <si>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</si>
  <si>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</si>
  <si>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</si>
  <si>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</si>
  <si>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</si>
  <si>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</si>
  <si>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</si>
  <si>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</si>
  <si>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</si>
  <si>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</si>
  <si>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</si>
  <si>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</si>
  <si>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</si>
  <si>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</si>
  <si>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</si>
  <si>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</si>
  <si>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</si>
  <si>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</si>
  <si>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</si>
  <si>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</si>
  <si>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</si>
  <si>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</si>
  <si>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</si>
  <si>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</si>
  <si>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</si>
  <si>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</si>
  <si>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</si>
  <si>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</si>
  <si>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</si>
  <si>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</si>
  <si>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</si>
  <si>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</si>
  <si>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</si>
  <si>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</si>
  <si>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</si>
  <si>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</si>
  <si>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</si>
  <si>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</si>
  <si>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</si>
  <si>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</si>
  <si>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</si>
  <si>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</si>
  <si>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</si>
  <si>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</si>
  <si>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</si>
  <si>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</si>
  <si>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</si>
  <si>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</si>
  <si>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</si>
  <si>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</si>
  <si>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</si>
  <si>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</si>
  <si>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</si>
  <si>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</si>
  <si>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</si>
  <si>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</si>
  <si>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</si>
  <si>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</si>
  <si>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</si>
  <si>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</si>
  <si>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</si>
  <si>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</si>
  <si>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</si>
  <si>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</si>
  <si>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</si>
  <si>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</si>
  <si>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</si>
  <si>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</si>
  <si>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</si>
  <si>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</si>
  <si>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</si>
  <si>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</si>
  <si>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</si>
  <si>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</si>
  <si>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</si>
  <si>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</si>
  <si>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</si>
  <si>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</si>
  <si>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</si>
  <si>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</si>
  <si>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</si>
  <si>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</si>
  <si>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</si>
  <si>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</si>
  <si>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</si>
  <si>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</si>
  <si>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</si>
  <si>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</si>
  <si>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</si>
  <si>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</si>
  <si>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</si>
  <si>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</si>
  <si>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</si>
  <si>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</si>
  <si>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</si>
  <si>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</si>
  <si>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</si>
  <si>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</si>
  <si>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</si>
  <si>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</si>
  <si>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</si>
  <si>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</si>
  <si>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</si>
  <si>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</si>
  <si>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</si>
  <si>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</si>
  <si>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</si>
  <si>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</si>
  <si>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</si>
  <si>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</si>
  <si>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</si>
  <si>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</si>
  <si>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</si>
  <si>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</si>
  <si>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</si>
  <si>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</si>
  <si>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</si>
  <si>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</si>
  <si>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</si>
  <si>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</si>
  <si>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</si>
  <si>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</si>
  <si>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</si>
  <si>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</si>
  <si>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</si>
  <si>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</si>
  <si>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</si>
  <si>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</si>
  <si>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</si>
  <si>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</si>
  <si>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</si>
  <si>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</si>
  <si>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</si>
  <si>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</si>
  <si>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</si>
  <si>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</si>
  <si>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</si>
  <si>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</si>
  <si>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</si>
  <si>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</si>
  <si>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</si>
  <si>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</si>
  <si>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</si>
  <si>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</si>
  <si>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</si>
  <si>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</si>
  <si>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</si>
  <si>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</si>
  <si>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</si>
  <si>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</si>
  <si>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</si>
  <si>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</si>
  <si>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</si>
  <si>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</si>
  <si>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</si>
  <si>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</si>
  <si>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</si>
  <si>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</si>
  <si>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</si>
  <si>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</si>
  <si>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</si>
  <si>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</si>
  <si>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</si>
  <si>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</si>
  <si>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</si>
  <si>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</si>
  <si>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</si>
  <si>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</si>
  <si>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</si>
  <si>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</si>
  <si>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</si>
  <si>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</si>
  <si>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</si>
  <si>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</si>
  <si>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</si>
  <si>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</si>
  <si>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</si>
  <si>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</si>
  <si>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</si>
  <si>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</si>
  <si>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</si>
  <si>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</si>
  <si>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</si>
  <si>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</si>
  <si>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</si>
  <si>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</si>
  <si>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</si>
  <si>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</si>
  <si>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</si>
  <si>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</si>
  <si>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</si>
  <si>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</si>
  <si>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</si>
  <si>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</si>
  <si>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</si>
  <si>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</si>
  <si>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</si>
  <si>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</si>
  <si>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</si>
  <si>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</si>
  <si>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</si>
  <si>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</si>
  <si>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</si>
  <si>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</si>
  <si>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</si>
  <si>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</si>
  <si>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</si>
  <si>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</si>
  <si>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</si>
  <si>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</si>
  <si>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</si>
  <si>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</si>
  <si>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</si>
  <si>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</si>
  <si>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</si>
  <si>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</si>
  <si>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</si>
  <si>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</si>
  <si>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</si>
  <si>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</si>
  <si>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</si>
  <si>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</si>
  <si>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</si>
  <si>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</si>
  <si>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</si>
  <si>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</si>
  <si>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</si>
  <si>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</si>
  <si>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</si>
  <si>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</si>
  <si>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</si>
  <si>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</si>
  <si>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</si>
  <si>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</si>
  <si>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</si>
  <si>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</si>
  <si>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</si>
  <si>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</si>
  <si>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</si>
  <si>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</si>
  <si>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</si>
  <si>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</si>
  <si>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</si>
  <si>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</si>
  <si>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</si>
  <si>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</si>
  <si>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</si>
  <si>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</si>
  <si>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</si>
  <si>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</si>
  <si>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</si>
  <si>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</si>
  <si>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</si>
  <si>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</si>
  <si>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</si>
  <si>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</si>
  <si>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</si>
  <si>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</si>
  <si>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</si>
  <si>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</si>
  <si>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</si>
  <si>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</si>
  <si>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</si>
  <si>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</si>
  <si>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</si>
  <si>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</si>
  <si>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</si>
  <si>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</si>
  <si>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</si>
  <si>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</si>
  <si>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</si>
  <si>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</si>
  <si>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</si>
  <si>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</si>
  <si>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</si>
  <si>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</si>
  <si>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</si>
  <si>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</si>
  <si>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</si>
  <si>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</si>
  <si>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</si>
  <si>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</si>
  <si>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</si>
  <si>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</si>
  <si>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</si>
  <si>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</si>
  <si>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</si>
  <si>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</si>
  <si>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</si>
  <si>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</si>
  <si>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</si>
  <si>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</si>
  <si>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</si>
  <si>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</si>
  <si>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</si>
  <si>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</si>
  <si>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</si>
  <si>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</si>
  <si>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</si>
  <si>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</si>
  <si>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</si>
  <si>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</si>
  <si>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</si>
  <si>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</si>
  <si>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</si>
  <si>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</si>
  <si>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</si>
  <si>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</si>
  <si>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</si>
  <si>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</si>
  <si>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</si>
  <si>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</si>
  <si>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</si>
  <si>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</si>
  <si>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</si>
  <si>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</si>
  <si>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</si>
  <si>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</si>
  <si>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</si>
  <si>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</si>
  <si>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</si>
  <si>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</si>
  <si>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</si>
  <si>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</si>
  <si>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</si>
  <si>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</si>
  <si>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</si>
  <si>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</si>
  <si>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</si>
  <si>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</si>
  <si>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</si>
  <si>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</si>
  <si>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</si>
  <si>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</si>
  <si>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</si>
  <si>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</si>
  <si>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</si>
  <si>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</si>
  <si>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</si>
  <si>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</si>
  <si>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</si>
  <si>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</si>
  <si>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</si>
  <si>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</si>
  <si>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</si>
  <si>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</si>
  <si>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</si>
  <si>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</si>
  <si>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</si>
  <si>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</si>
  <si>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</si>
  <si>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</si>
  <si>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</si>
  <si>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</si>
  <si>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</si>
  <si>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</si>
  <si>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</si>
  <si>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</si>
  <si>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</si>
  <si>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</si>
  <si>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</si>
  <si>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</si>
  <si>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</si>
  <si>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</si>
  <si>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</si>
  <si>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</si>
  <si>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</si>
  <si>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</si>
  <si>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</si>
  <si>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</si>
  <si>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</si>
  <si>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</si>
  <si>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</si>
  <si>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</si>
  <si>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</si>
  <si>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</si>
  <si>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</si>
  <si>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</si>
  <si>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</si>
  <si>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</si>
  <si>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</si>
  <si>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</si>
  <si>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</si>
  <si>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</si>
  <si>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</si>
  <si>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</si>
  <si>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</si>
  <si>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</si>
  <si>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</si>
  <si>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</si>
  <si>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</si>
  <si>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</si>
  <si>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</si>
  <si>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</si>
  <si>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</si>
  <si>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</si>
  <si>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</si>
  <si>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</si>
  <si>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</si>
  <si>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</si>
  <si>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</si>
  <si>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</si>
  <si>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</si>
  <si>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</si>
  <si>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</si>
  <si>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</si>
  <si>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</si>
  <si>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</si>
  <si>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</si>
  <si>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</si>
  <si>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</si>
  <si>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</si>
  <si>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</si>
  <si>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</si>
  <si>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</si>
  <si>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</si>
  <si>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</si>
  <si>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</si>
  <si>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</si>
  <si>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</si>
  <si>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</si>
  <si>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</si>
  <si>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</si>
  <si>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</si>
  <si>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</si>
  <si>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</si>
  <si>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</si>
  <si>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</si>
  <si>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</si>
  <si>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</si>
  <si>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</si>
  <si>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</si>
  <si>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</si>
  <si>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</si>
  <si>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</si>
  <si>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</si>
  <si>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</si>
  <si>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</si>
  <si>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</si>
  <si>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</si>
  <si>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</si>
  <si>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</si>
  <si>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</si>
  <si>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</si>
  <si>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</si>
  <si>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</si>
  <si>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</si>
  <si>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</si>
  <si>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</si>
  <si>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</si>
  <si>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</si>
  <si>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</si>
  <si>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</si>
  <si>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</si>
  <si>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</si>
  <si>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</si>
  <si>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</si>
  <si>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</si>
  <si>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</si>
  <si>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</si>
  <si>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</si>
  <si>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</si>
  <si>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</si>
  <si>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</si>
  <si>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</si>
  <si>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</si>
  <si>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</si>
  <si>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</si>
  <si>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</si>
  <si>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</si>
  <si>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</si>
  <si>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</si>
  <si>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</si>
  <si>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</si>
  <si>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</si>
  <si>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</si>
  <si>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</si>
  <si>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</si>
  <si>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</si>
  <si>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</si>
  <si>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</si>
  <si>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</si>
  <si>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</si>
  <si>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</si>
  <si>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</si>
  <si>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</si>
  <si>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</si>
  <si>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</si>
  <si>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</si>
  <si>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</si>
  <si>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</si>
  <si>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</si>
  <si>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</si>
  <si>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</si>
  <si>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</si>
  <si>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</si>
  <si>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</si>
  <si>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</si>
  <si>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</si>
  <si>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</si>
  <si>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</si>
  <si>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</si>
  <si>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</si>
  <si>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</si>
  <si>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</si>
  <si>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</si>
  <si>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</si>
  <si>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</si>
  <si>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</si>
  <si>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</si>
  <si>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</si>
  <si>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</si>
  <si>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</si>
  <si>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</si>
  <si>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</si>
  <si>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</si>
  <si>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</si>
  <si>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</si>
  <si>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</si>
  <si>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</si>
  <si>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</si>
  <si>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</si>
  <si>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</si>
  <si>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</si>
  <si>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</si>
  <si>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</si>
  <si>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</si>
  <si>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</si>
  <si>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</si>
  <si>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</si>
  <si>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</si>
  <si>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</si>
  <si>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</si>
  <si>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</si>
  <si>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</si>
  <si>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</si>
  <si>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</si>
  <si>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</si>
  <si>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</si>
  <si>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</si>
  <si>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</si>
  <si>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</si>
  <si>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</si>
  <si>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</si>
  <si>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</si>
  <si>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</si>
  <si>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</si>
  <si>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</si>
  <si>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</si>
  <si>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</si>
  <si>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</si>
  <si>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</si>
  <si>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</si>
  <si>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</si>
  <si>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</si>
  <si>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</si>
  <si>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</si>
  <si>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</si>
  <si>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</si>
  <si>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</si>
  <si>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</si>
  <si>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</si>
  <si>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</si>
  <si>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</si>
  <si>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</si>
  <si>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</si>
  <si>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</si>
  <si>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</si>
  <si>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</si>
  <si>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</si>
  <si>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</si>
  <si>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</si>
  <si>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</si>
  <si>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</si>
  <si>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</si>
  <si>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</si>
  <si>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</si>
  <si>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</si>
  <si>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</si>
  <si>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</si>
  <si>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</si>
  <si>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</si>
  <si>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</si>
  <si>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</si>
  <si>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</si>
  <si>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</si>
  <si>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</si>
  <si>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</si>
  <si>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</si>
  <si>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</si>
  <si>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</si>
  <si>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</si>
  <si>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</si>
  <si>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</si>
  <si>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</si>
  <si>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</si>
  <si>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</si>
  <si>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</si>
  <si>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</si>
  <si>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</si>
  <si>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</si>
  <si>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</si>
  <si>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</si>
  <si>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</si>
  <si>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</si>
  <si>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</si>
  <si>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</si>
  <si>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</si>
  <si>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</si>
  <si>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</si>
  <si>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</si>
  <si>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</si>
  <si>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</si>
  <si>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</si>
  <si>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</si>
  <si>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</si>
  <si>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</si>
  <si>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</si>
  <si>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</si>
  <si>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</si>
  <si>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</si>
  <si>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</si>
  <si>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</si>
  <si>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</si>
  <si>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</si>
  <si>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</si>
  <si>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</si>
  <si>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</si>
  <si>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</si>
  <si>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</si>
  <si>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</si>
  <si>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</si>
  <si>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</si>
  <si>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</si>
  <si>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</si>
  <si>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</si>
  <si>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</si>
  <si>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</si>
  <si>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</si>
  <si>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</si>
  <si>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</si>
  <si>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</si>
  <si>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GAVETA DE ECHAZO LLENA</t>
  </si>
  <si>
    <t>SIN ACTIVIDAD DE RETIRO</t>
  </si>
  <si>
    <t>Perez Almonte, Franklin</t>
  </si>
  <si>
    <t>Triinet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</si>
  <si>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</si>
  <si>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</si>
  <si>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</si>
  <si>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</si>
  <si>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</si>
  <si>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</si>
  <si>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</si>
  <si>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2 Gavetas Vacias y 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</si>
</sst>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9"/>
      <tableStyleElement type="headerRow" dxfId="258"/>
      <tableStyleElement type="totalRow" dxfId="257"/>
      <tableStyleElement type="firstColumn" dxfId="256"/>
      <tableStyleElement type="lastColumn" dxfId="255"/>
      <tableStyleElement type="firstRowStripe" dxfId="254"/>
      <tableStyleElement type="firstColumnStripe" dxfId="2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8" t="str">
        <f ca="1">CONCATENATE(TODAY()-C3," días")</f>
        <v>61.8324421296275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8" t="str">
        <f t="shared" ref="A4:A12" ca="1" si="0">CONCATENATE(TODAY()-C4," días")</f>
        <v>35.3409722222204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8" t="str">
        <f t="shared" ca="1" si="0"/>
        <v>24.4985879629603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8" t="str">
        <f ca="1">CONCATENATE(TODAY()-C6," días")</f>
        <v>14.4985879629603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8" t="str">
        <f t="shared" ca="1" si="0"/>
        <v>14.5651273148178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7" t="s">
        <v>2219</v>
      </c>
    </row>
    <row r="8" spans="1:11" ht="18" x14ac:dyDescent="0.25">
      <c r="A8" s="138" t="str">
        <f t="shared" ca="1" si="0"/>
        <v>13.6175231481466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7" t="s">
        <v>2245</v>
      </c>
    </row>
    <row r="9" spans="1:11" ht="18" x14ac:dyDescent="0.25">
      <c r="A9" s="138" t="str">
        <f t="shared" ca="1" si="0"/>
        <v>10.6447916666657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7" t="s">
        <v>2219</v>
      </c>
    </row>
    <row r="10" spans="1:11" ht="18" x14ac:dyDescent="0.25">
      <c r="A10" s="138" t="str">
        <f t="shared" ca="1" si="0"/>
        <v>8.63126157407532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7" t="s">
        <v>2219</v>
      </c>
    </row>
    <row r="11" spans="1:11" ht="18" x14ac:dyDescent="0.25">
      <c r="A11" s="138" t="str">
        <f t="shared" ca="1" si="0"/>
        <v>8.56855324074422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7" t="s">
        <v>2245</v>
      </c>
    </row>
    <row r="12" spans="1:11" ht="18" x14ac:dyDescent="0.25">
      <c r="A12" s="138" t="str">
        <f t="shared" ca="1" si="0"/>
        <v>4.68958333333285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7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2"/>
  <sheetViews>
    <sheetView tabSelected="1" zoomScale="70" zoomScaleNormal="70" workbookViewId="0">
      <pane ySplit="4" topLeftCell="A5" activePane="bottomLeft" state="frozen"/>
      <selection pane="bottomLeft" activeCell="F13" sqref="F13"/>
    </sheetView>
  </sheetViews>
  <sheetFormatPr baseColWidth="10" defaultColWidth="20.28515625" defaultRowHeight="15" x14ac:dyDescent="0.25"/>
  <cols>
    <col min="1" max="1" width="25.7109375" style="107" bestFit="1" customWidth="1"/>
    <col min="2" max="2" width="21.140625" style="85" bestFit="1" customWidth="1"/>
    <col min="3" max="3" width="16.42578125" style="43" bestFit="1" customWidth="1"/>
    <col min="4" max="4" width="28.28515625" style="107" bestFit="1" customWidth="1"/>
    <col min="5" max="5" width="13.42578125" style="76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7" bestFit="1" customWidth="1"/>
    <col min="14" max="14" width="18.85546875" style="107" bestFit="1" customWidth="1"/>
    <col min="15" max="15" width="42.5703125" style="107" bestFit="1" customWidth="1"/>
    <col min="16" max="16" width="17.42578125" style="80" bestFit="1" customWidth="1"/>
    <col min="17" max="17" width="52" style="70" bestFit="1" customWidth="1"/>
    <col min="18" max="16384" width="20.28515625" style="42"/>
  </cols>
  <sheetData>
    <row r="1" spans="1:17" ht="18" x14ac:dyDescent="0.25">
      <c r="A1" s="146" t="s">
        <v>2153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8"/>
    </row>
    <row r="2" spans="1:17" ht="18" x14ac:dyDescent="0.25">
      <c r="A2" s="143" t="s">
        <v>2150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7" ht="18.75" thickBot="1" x14ac:dyDescent="0.3">
      <c r="A3" s="149" t="s">
        <v>2597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21" customHeight="1" x14ac:dyDescent="0.25">
      <c r="A5" s="136" t="str">
        <f>VLOOKUP(E5,'LISTADO ATM'!$A$2:$C$898,3,0)</f>
        <v>DISTRITO NACIONAL</v>
      </c>
      <c r="B5" s="132">
        <v>3335945087</v>
      </c>
      <c r="C5" s="101">
        <v>44383.585416666669</v>
      </c>
      <c r="D5" s="101" t="s">
        <v>2180</v>
      </c>
      <c r="E5" s="127">
        <v>224</v>
      </c>
      <c r="F5" s="136" t="str">
        <f>VLOOKUP(E5,VIP!$A$2:$O14168,2,0)</f>
        <v>DRBR224</v>
      </c>
      <c r="G5" s="136" t="str">
        <f>VLOOKUP(E5,'LISTADO ATM'!$A$2:$B$897,2,0)</f>
        <v xml:space="preserve">ATM S/M Nacional El Millón (Núñez de Cáceres) </v>
      </c>
      <c r="H5" s="136" t="str">
        <f>VLOOKUP(E5,VIP!$A$2:$O19129,7,FALSE)</f>
        <v>Si</v>
      </c>
      <c r="I5" s="136" t="str">
        <f>VLOOKUP(E5,VIP!$A$2:$O11094,8,FALSE)</f>
        <v>Si</v>
      </c>
      <c r="J5" s="136" t="str">
        <f>VLOOKUP(E5,VIP!$A$2:$O11044,8,FALSE)</f>
        <v>Si</v>
      </c>
      <c r="K5" s="136" t="str">
        <f>VLOOKUP(E5,VIP!$A$2:$O14618,6,0)</f>
        <v>SI</v>
      </c>
      <c r="L5" s="137" t="s">
        <v>2219</v>
      </c>
      <c r="M5" s="100" t="s">
        <v>2445</v>
      </c>
      <c r="N5" s="100" t="s">
        <v>2452</v>
      </c>
      <c r="O5" s="136" t="s">
        <v>2454</v>
      </c>
      <c r="P5" s="136"/>
      <c r="Q5" s="100" t="s">
        <v>2219</v>
      </c>
    </row>
    <row r="6" spans="1:17" ht="18" x14ac:dyDescent="0.25">
      <c r="A6" s="136" t="str">
        <f>VLOOKUP(E6,'LISTADO ATM'!$A$2:$C$898,3,0)</f>
        <v>DISTRITO NACIONAL</v>
      </c>
      <c r="B6" s="132">
        <v>3335945153</v>
      </c>
      <c r="C6" s="101">
        <v>44383.601168981484</v>
      </c>
      <c r="D6" s="101" t="s">
        <v>2180</v>
      </c>
      <c r="E6" s="127">
        <v>425</v>
      </c>
      <c r="F6" s="136" t="str">
        <f>VLOOKUP(E6,VIP!$A$2:$O14079,2,0)</f>
        <v>DRBR425</v>
      </c>
      <c r="G6" s="136" t="str">
        <f>VLOOKUP(E6,'LISTADO ATM'!$A$2:$B$897,2,0)</f>
        <v xml:space="preserve">ATM UNP Jumbo Luperón II </v>
      </c>
      <c r="H6" s="136" t="str">
        <f>VLOOKUP(E6,VIP!$A$2:$O19040,7,FALSE)</f>
        <v>Si</v>
      </c>
      <c r="I6" s="136" t="str">
        <f>VLOOKUP(E6,VIP!$A$2:$O11005,8,FALSE)</f>
        <v>Si</v>
      </c>
      <c r="J6" s="136" t="str">
        <f>VLOOKUP(E6,VIP!$A$2:$O10955,8,FALSE)</f>
        <v>Si</v>
      </c>
      <c r="K6" s="136" t="str">
        <f>VLOOKUP(E6,VIP!$A$2:$O14529,6,0)</f>
        <v>NO</v>
      </c>
      <c r="L6" s="137" t="s">
        <v>2219</v>
      </c>
      <c r="M6" s="100" t="s">
        <v>2445</v>
      </c>
      <c r="N6" s="100" t="s">
        <v>2452</v>
      </c>
      <c r="O6" s="136" t="s">
        <v>2454</v>
      </c>
      <c r="P6" s="136"/>
      <c r="Q6" s="100" t="s">
        <v>2219</v>
      </c>
    </row>
    <row r="7" spans="1:17" ht="18" x14ac:dyDescent="0.25">
      <c r="A7" s="136" t="str">
        <f>VLOOKUP(E7,'LISTADO ATM'!$A$2:$C$898,3,0)</f>
        <v>NORTE</v>
      </c>
      <c r="B7" s="132">
        <v>3335946664</v>
      </c>
      <c r="C7" s="101">
        <v>44384.65425925926</v>
      </c>
      <c r="D7" s="101" t="s">
        <v>2180</v>
      </c>
      <c r="E7" s="127">
        <v>266</v>
      </c>
      <c r="F7" s="136" t="str">
        <f>VLOOKUP(E7,VIP!$A$2:$O14145,2,0)</f>
        <v>DRBR266</v>
      </c>
      <c r="G7" s="136" t="str">
        <f>VLOOKUP(E7,'LISTADO ATM'!$A$2:$B$897,2,0)</f>
        <v xml:space="preserve">ATM Oficina Villa Francisca </v>
      </c>
      <c r="H7" s="136" t="str">
        <f>VLOOKUP(E7,VIP!$A$2:$O19106,7,FALSE)</f>
        <v>Si</v>
      </c>
      <c r="I7" s="136" t="str">
        <f>VLOOKUP(E7,VIP!$A$2:$O11071,8,FALSE)</f>
        <v>Si</v>
      </c>
      <c r="J7" s="136" t="str">
        <f>VLOOKUP(E7,VIP!$A$2:$O11021,8,FALSE)</f>
        <v>Si</v>
      </c>
      <c r="K7" s="136" t="str">
        <f>VLOOKUP(E7,VIP!$A$2:$O14595,6,0)</f>
        <v>NO</v>
      </c>
      <c r="L7" s="137" t="s">
        <v>2219</v>
      </c>
      <c r="M7" s="100" t="s">
        <v>2445</v>
      </c>
      <c r="N7" s="100" t="s">
        <v>2452</v>
      </c>
      <c r="O7" s="136" t="s">
        <v>2454</v>
      </c>
      <c r="P7" s="136"/>
      <c r="Q7" s="100" t="s">
        <v>2219</v>
      </c>
    </row>
    <row r="8" spans="1:17" ht="18" x14ac:dyDescent="0.25">
      <c r="A8" s="136" t="str">
        <f>VLOOKUP(E8,'LISTADO ATM'!$A$2:$C$898,3,0)</f>
        <v>DISTRITO NACIONAL</v>
      </c>
      <c r="B8" s="132">
        <v>3335948495</v>
      </c>
      <c r="C8" s="101">
        <v>44386.367013888892</v>
      </c>
      <c r="D8" s="101" t="s">
        <v>2180</v>
      </c>
      <c r="E8" s="127">
        <v>575</v>
      </c>
      <c r="F8" s="136" t="str">
        <f>VLOOKUP(E8,VIP!$A$2:$O14182,2,0)</f>
        <v>DRBR16P</v>
      </c>
      <c r="G8" s="136" t="str">
        <f>VLOOKUP(E8,'LISTADO ATM'!$A$2:$B$897,2,0)</f>
        <v xml:space="preserve">ATM EDESUR Tiradentes </v>
      </c>
      <c r="H8" s="136" t="str">
        <f>VLOOKUP(E8,VIP!$A$2:$O19143,7,FALSE)</f>
        <v>Si</v>
      </c>
      <c r="I8" s="136" t="str">
        <f>VLOOKUP(E8,VIP!$A$2:$O11108,8,FALSE)</f>
        <v>Si</v>
      </c>
      <c r="J8" s="136" t="str">
        <f>VLOOKUP(E8,VIP!$A$2:$O11058,8,FALSE)</f>
        <v>Si</v>
      </c>
      <c r="K8" s="136" t="str">
        <f>VLOOKUP(E8,VIP!$A$2:$O14632,6,0)</f>
        <v>NO</v>
      </c>
      <c r="L8" s="137" t="s">
        <v>2219</v>
      </c>
      <c r="M8" s="100" t="s">
        <v>2445</v>
      </c>
      <c r="N8" s="100" t="s">
        <v>2553</v>
      </c>
      <c r="O8" s="136" t="s">
        <v>2454</v>
      </c>
      <c r="P8" s="136"/>
      <c r="Q8" s="100" t="s">
        <v>2219</v>
      </c>
    </row>
    <row r="9" spans="1:17" ht="18" x14ac:dyDescent="0.25">
      <c r="A9" s="136" t="str">
        <f>VLOOKUP(E9,'LISTADO ATM'!$A$2:$C$898,3,0)</f>
        <v>NORTE</v>
      </c>
      <c r="B9" s="132">
        <v>3335948961</v>
      </c>
      <c r="C9" s="101">
        <v>44386.487997685188</v>
      </c>
      <c r="D9" s="101" t="s">
        <v>2181</v>
      </c>
      <c r="E9" s="127">
        <v>62</v>
      </c>
      <c r="F9" s="136" t="str">
        <f>VLOOKUP(E9,VIP!$A$2:$O14199,2,0)</f>
        <v>DRBR062</v>
      </c>
      <c r="G9" s="136" t="str">
        <f>VLOOKUP(E9,'LISTADO ATM'!$A$2:$B$897,2,0)</f>
        <v xml:space="preserve">ATM Oficina Dajabón </v>
      </c>
      <c r="H9" s="136" t="str">
        <f>VLOOKUP(E9,VIP!$A$2:$O19160,7,FALSE)</f>
        <v>Si</v>
      </c>
      <c r="I9" s="136" t="str">
        <f>VLOOKUP(E9,VIP!$A$2:$O11125,8,FALSE)</f>
        <v>Si</v>
      </c>
      <c r="J9" s="136" t="str">
        <f>VLOOKUP(E9,VIP!$A$2:$O11075,8,FALSE)</f>
        <v>Si</v>
      </c>
      <c r="K9" s="136" t="str">
        <f>VLOOKUP(E9,VIP!$A$2:$O14649,6,0)</f>
        <v>SI</v>
      </c>
      <c r="L9" s="137" t="s">
        <v>2219</v>
      </c>
      <c r="M9" s="100" t="s">
        <v>2445</v>
      </c>
      <c r="N9" s="100" t="s">
        <v>2452</v>
      </c>
      <c r="O9" s="136" t="s">
        <v>2589</v>
      </c>
      <c r="P9" s="136"/>
      <c r="Q9" s="100" t="s">
        <v>2219</v>
      </c>
    </row>
    <row r="10" spans="1:17" ht="18" x14ac:dyDescent="0.25">
      <c r="A10" s="136" t="str">
        <f>VLOOKUP(E10,'LISTADO ATM'!$A$2:$C$898,3,0)</f>
        <v>SUR</v>
      </c>
      <c r="B10" s="132">
        <v>3335948974</v>
      </c>
      <c r="C10" s="101">
        <v>44386.491898148146</v>
      </c>
      <c r="D10" s="101" t="s">
        <v>2180</v>
      </c>
      <c r="E10" s="127">
        <v>360</v>
      </c>
      <c r="F10" s="136" t="str">
        <f>VLOOKUP(E10,VIP!$A$2:$O14197,2,0)</f>
        <v>DRBR360</v>
      </c>
      <c r="G10" s="136" t="str">
        <f>VLOOKUP(E10,'LISTADO ATM'!$A$2:$B$897,2,0)</f>
        <v>ATM Ayuntamiento Guayabal</v>
      </c>
      <c r="H10" s="136" t="str">
        <f>VLOOKUP(E10,VIP!$A$2:$O19158,7,FALSE)</f>
        <v>si</v>
      </c>
      <c r="I10" s="136" t="str">
        <f>VLOOKUP(E10,VIP!$A$2:$O11123,8,FALSE)</f>
        <v>si</v>
      </c>
      <c r="J10" s="136" t="str">
        <f>VLOOKUP(E10,VIP!$A$2:$O11073,8,FALSE)</f>
        <v>si</v>
      </c>
      <c r="K10" s="136" t="str">
        <f>VLOOKUP(E10,VIP!$A$2:$O14647,6,0)</f>
        <v>NO</v>
      </c>
      <c r="L10" s="137" t="s">
        <v>2219</v>
      </c>
      <c r="M10" s="100" t="s">
        <v>2445</v>
      </c>
      <c r="N10" s="100" t="s">
        <v>2553</v>
      </c>
      <c r="O10" s="136" t="s">
        <v>2454</v>
      </c>
      <c r="P10" s="136"/>
      <c r="Q10" s="100" t="s">
        <v>2219</v>
      </c>
    </row>
    <row r="11" spans="1:17" ht="18" x14ac:dyDescent="0.25">
      <c r="A11" s="136" t="str">
        <f>VLOOKUP(E11,'LISTADO ATM'!$A$2:$C$898,3,0)</f>
        <v>DISTRITO NACIONAL</v>
      </c>
      <c r="B11" s="132">
        <v>3335948982</v>
      </c>
      <c r="C11" s="101">
        <v>44386.493657407409</v>
      </c>
      <c r="D11" s="101" t="s">
        <v>2180</v>
      </c>
      <c r="E11" s="127">
        <v>623</v>
      </c>
      <c r="F11" s="136" t="str">
        <f>VLOOKUP(E11,VIP!$A$2:$O14196,2,0)</f>
        <v>DRBR623</v>
      </c>
      <c r="G11" s="136" t="str">
        <f>VLOOKUP(E11,'LISTADO ATM'!$A$2:$B$897,2,0)</f>
        <v xml:space="preserve">ATM Operaciones Especiales (Manoguayabo) </v>
      </c>
      <c r="H11" s="136" t="str">
        <f>VLOOKUP(E11,VIP!$A$2:$O19157,7,FALSE)</f>
        <v>Si</v>
      </c>
      <c r="I11" s="136" t="str">
        <f>VLOOKUP(E11,VIP!$A$2:$O11122,8,FALSE)</f>
        <v>Si</v>
      </c>
      <c r="J11" s="136" t="str">
        <f>VLOOKUP(E11,VIP!$A$2:$O11072,8,FALSE)</f>
        <v>Si</v>
      </c>
      <c r="K11" s="136" t="str">
        <f>VLOOKUP(E11,VIP!$A$2:$O14646,6,0)</f>
        <v>No</v>
      </c>
      <c r="L11" s="137" t="s">
        <v>2219</v>
      </c>
      <c r="M11" s="100" t="s">
        <v>2445</v>
      </c>
      <c r="N11" s="100" t="s">
        <v>2553</v>
      </c>
      <c r="O11" s="136" t="s">
        <v>2454</v>
      </c>
      <c r="P11" s="136"/>
      <c r="Q11" s="100" t="s">
        <v>2219</v>
      </c>
    </row>
    <row r="12" spans="1:17" ht="18" x14ac:dyDescent="0.25">
      <c r="A12" s="136" t="str">
        <f>VLOOKUP(E12,'LISTADO ATM'!$A$2:$C$898,3,0)</f>
        <v>NORTE</v>
      </c>
      <c r="B12" s="132">
        <v>3335949575</v>
      </c>
      <c r="C12" s="101">
        <v>44386.737488425926</v>
      </c>
      <c r="D12" s="101" t="s">
        <v>2181</v>
      </c>
      <c r="E12" s="127">
        <v>716</v>
      </c>
      <c r="F12" s="136" t="str">
        <f>VLOOKUP(E12,VIP!$A$2:$O14214,2,0)</f>
        <v>DRBR340</v>
      </c>
      <c r="G12" s="136" t="str">
        <f>VLOOKUP(E12,'LISTADO ATM'!$A$2:$B$897,2,0)</f>
        <v xml:space="preserve">ATM Oficina Zona Franca (Santiago) </v>
      </c>
      <c r="H12" s="136" t="str">
        <f>VLOOKUP(E12,VIP!$A$2:$O19175,7,FALSE)</f>
        <v>Si</v>
      </c>
      <c r="I12" s="136" t="str">
        <f>VLOOKUP(E12,VIP!$A$2:$O11140,8,FALSE)</f>
        <v>Si</v>
      </c>
      <c r="J12" s="136" t="str">
        <f>VLOOKUP(E12,VIP!$A$2:$O11090,8,FALSE)</f>
        <v>Si</v>
      </c>
      <c r="K12" s="136" t="str">
        <f>VLOOKUP(E12,VIP!$A$2:$O14664,6,0)</f>
        <v>SI</v>
      </c>
      <c r="L12" s="137" t="s">
        <v>2219</v>
      </c>
      <c r="M12" s="100" t="s">
        <v>2445</v>
      </c>
      <c r="N12" s="100" t="s">
        <v>2452</v>
      </c>
      <c r="O12" s="136" t="s">
        <v>2587</v>
      </c>
      <c r="P12" s="100"/>
      <c r="Q12" s="100" t="s">
        <v>2219</v>
      </c>
    </row>
    <row r="13" spans="1:17" ht="18" x14ac:dyDescent="0.25">
      <c r="A13" s="136" t="str">
        <f>VLOOKUP(E13,'LISTADO ATM'!$A$2:$C$898,3,0)</f>
        <v>DISTRITO NACIONAL</v>
      </c>
      <c r="B13" s="132">
        <v>3335949578</v>
      </c>
      <c r="C13" s="101">
        <v>44386.741064814814</v>
      </c>
      <c r="D13" s="101" t="s">
        <v>2180</v>
      </c>
      <c r="E13" s="127">
        <v>244</v>
      </c>
      <c r="F13" s="136" t="str">
        <f>VLOOKUP(E13,VIP!$A$2:$O14212,2,0)</f>
        <v>DRBR244</v>
      </c>
      <c r="G13" s="136" t="str">
        <f>VLOOKUP(E13,'LISTADO ATM'!$A$2:$B$897,2,0)</f>
        <v xml:space="preserve">ATM Ministerio de Hacienda (antiguo Finanzas) </v>
      </c>
      <c r="H13" s="136" t="str">
        <f>VLOOKUP(E13,VIP!$A$2:$O19173,7,FALSE)</f>
        <v>Si</v>
      </c>
      <c r="I13" s="136" t="str">
        <f>VLOOKUP(E13,VIP!$A$2:$O11138,8,FALSE)</f>
        <v>Si</v>
      </c>
      <c r="J13" s="136" t="str">
        <f>VLOOKUP(E13,VIP!$A$2:$O11088,8,FALSE)</f>
        <v>Si</v>
      </c>
      <c r="K13" s="136" t="str">
        <f>VLOOKUP(E13,VIP!$A$2:$O14662,6,0)</f>
        <v>NO</v>
      </c>
      <c r="L13" s="137" t="s">
        <v>2219</v>
      </c>
      <c r="M13" s="100" t="s">
        <v>2445</v>
      </c>
      <c r="N13" s="100" t="s">
        <v>2452</v>
      </c>
      <c r="O13" s="136" t="s">
        <v>2454</v>
      </c>
      <c r="P13" s="100"/>
      <c r="Q13" s="100" t="s">
        <v>2219</v>
      </c>
    </row>
    <row r="14" spans="1:17" ht="18" x14ac:dyDescent="0.25">
      <c r="A14" s="136" t="str">
        <f>VLOOKUP(E14,'LISTADO ATM'!$A$2:$C$898,3,0)</f>
        <v>DISTRITO NACIONAL</v>
      </c>
      <c r="B14" s="132">
        <v>3335949581</v>
      </c>
      <c r="C14" s="101">
        <v>44386.743437500001</v>
      </c>
      <c r="D14" s="101" t="s">
        <v>2180</v>
      </c>
      <c r="E14" s="127">
        <v>180</v>
      </c>
      <c r="F14" s="136" t="str">
        <f>VLOOKUP(E14,VIP!$A$2:$O14211,2,0)</f>
        <v>DRBR180</v>
      </c>
      <c r="G14" s="136" t="str">
        <f>VLOOKUP(E14,'LISTADO ATM'!$A$2:$B$897,2,0)</f>
        <v xml:space="preserve">ATM Megacentro II </v>
      </c>
      <c r="H14" s="136" t="str">
        <f>VLOOKUP(E14,VIP!$A$2:$O19172,7,FALSE)</f>
        <v>Si</v>
      </c>
      <c r="I14" s="136" t="str">
        <f>VLOOKUP(E14,VIP!$A$2:$O11137,8,FALSE)</f>
        <v>Si</v>
      </c>
      <c r="J14" s="136" t="str">
        <f>VLOOKUP(E14,VIP!$A$2:$O11087,8,FALSE)</f>
        <v>Si</v>
      </c>
      <c r="K14" s="136" t="str">
        <f>VLOOKUP(E14,VIP!$A$2:$O14661,6,0)</f>
        <v>SI</v>
      </c>
      <c r="L14" s="137" t="s">
        <v>2219</v>
      </c>
      <c r="M14" s="100" t="s">
        <v>2445</v>
      </c>
      <c r="N14" s="100" t="s">
        <v>2452</v>
      </c>
      <c r="O14" s="136" t="s">
        <v>2454</v>
      </c>
      <c r="P14" s="100"/>
      <c r="Q14" s="100" t="s">
        <v>2219</v>
      </c>
    </row>
    <row r="15" spans="1:17" ht="18" x14ac:dyDescent="0.25">
      <c r="A15" s="136" t="str">
        <f>VLOOKUP(E15,'LISTADO ATM'!$A$2:$C$898,3,0)</f>
        <v>DISTRITO NACIONAL</v>
      </c>
      <c r="B15" s="132">
        <v>3335949583</v>
      </c>
      <c r="C15" s="101">
        <v>44386.745185185187</v>
      </c>
      <c r="D15" s="101" t="s">
        <v>2180</v>
      </c>
      <c r="E15" s="127">
        <v>639</v>
      </c>
      <c r="F15" s="136" t="str">
        <f>VLOOKUP(E15,VIP!$A$2:$O14210,2,0)</f>
        <v>DRBR639</v>
      </c>
      <c r="G15" s="136" t="str">
        <f>VLOOKUP(E15,'LISTADO ATM'!$A$2:$B$897,2,0)</f>
        <v xml:space="preserve">ATM Comisión Militar MOPC </v>
      </c>
      <c r="H15" s="136" t="str">
        <f>VLOOKUP(E15,VIP!$A$2:$O19171,7,FALSE)</f>
        <v>Si</v>
      </c>
      <c r="I15" s="136" t="str">
        <f>VLOOKUP(E15,VIP!$A$2:$O11136,8,FALSE)</f>
        <v>Si</v>
      </c>
      <c r="J15" s="136" t="str">
        <f>VLOOKUP(E15,VIP!$A$2:$O11086,8,FALSE)</f>
        <v>Si</v>
      </c>
      <c r="K15" s="136" t="str">
        <f>VLOOKUP(E15,VIP!$A$2:$O14660,6,0)</f>
        <v>NO</v>
      </c>
      <c r="L15" s="137" t="s">
        <v>2219</v>
      </c>
      <c r="M15" s="100" t="s">
        <v>2445</v>
      </c>
      <c r="N15" s="100" t="s">
        <v>2452</v>
      </c>
      <c r="O15" s="136" t="s">
        <v>2454</v>
      </c>
      <c r="P15" s="100"/>
      <c r="Q15" s="100" t="s">
        <v>2219</v>
      </c>
    </row>
    <row r="16" spans="1:17" ht="18" x14ac:dyDescent="0.25">
      <c r="A16" s="136" t="str">
        <f>VLOOKUP(E16,'LISTADO ATM'!$A$2:$C$898,3,0)</f>
        <v>NORTE</v>
      </c>
      <c r="B16" s="132">
        <v>3335949584</v>
      </c>
      <c r="C16" s="101">
        <v>44386.746006944442</v>
      </c>
      <c r="D16" s="101" t="s">
        <v>2181</v>
      </c>
      <c r="E16" s="127">
        <v>806</v>
      </c>
      <c r="F16" s="136" t="str">
        <f>VLOOKUP(E16,VIP!$A$2:$O14209,2,0)</f>
        <v>DRBR806</v>
      </c>
      <c r="G16" s="136" t="str">
        <f>VLOOKUP(E16,'LISTADO ATM'!$A$2:$B$897,2,0)</f>
        <v xml:space="preserve">ATM SEWN (Zona Franca (Santiago)) </v>
      </c>
      <c r="H16" s="136" t="str">
        <f>VLOOKUP(E16,VIP!$A$2:$O19170,7,FALSE)</f>
        <v>Si</v>
      </c>
      <c r="I16" s="136" t="str">
        <f>VLOOKUP(E16,VIP!$A$2:$O11135,8,FALSE)</f>
        <v>Si</v>
      </c>
      <c r="J16" s="136" t="str">
        <f>VLOOKUP(E16,VIP!$A$2:$O11085,8,FALSE)</f>
        <v>Si</v>
      </c>
      <c r="K16" s="136" t="str">
        <f>VLOOKUP(E16,VIP!$A$2:$O14659,6,0)</f>
        <v>NO</v>
      </c>
      <c r="L16" s="137" t="s">
        <v>2219</v>
      </c>
      <c r="M16" s="100" t="s">
        <v>2445</v>
      </c>
      <c r="N16" s="100" t="s">
        <v>2452</v>
      </c>
      <c r="O16" s="136" t="s">
        <v>2587</v>
      </c>
      <c r="P16" s="100"/>
      <c r="Q16" s="100" t="s">
        <v>2219</v>
      </c>
    </row>
    <row r="17" spans="1:17" ht="18" x14ac:dyDescent="0.25">
      <c r="A17" s="136" t="str">
        <f>VLOOKUP(E17,'LISTADO ATM'!$A$2:$C$898,3,0)</f>
        <v>DISTRITO NACIONAL</v>
      </c>
      <c r="B17" s="132">
        <v>3335949594</v>
      </c>
      <c r="C17" s="101">
        <v>44386.758692129632</v>
      </c>
      <c r="D17" s="101" t="s">
        <v>2180</v>
      </c>
      <c r="E17" s="127">
        <v>744</v>
      </c>
      <c r="F17" s="136" t="str">
        <f>VLOOKUP(E17,VIP!$A$2:$O14208,2,0)</f>
        <v>DRBR289</v>
      </c>
      <c r="G17" s="136" t="str">
        <f>VLOOKUP(E17,'LISTADO ATM'!$A$2:$B$897,2,0)</f>
        <v xml:space="preserve">ATM Multicentro La Sirena Venezuela </v>
      </c>
      <c r="H17" s="136" t="str">
        <f>VLOOKUP(E17,VIP!$A$2:$O19169,7,FALSE)</f>
        <v>Si</v>
      </c>
      <c r="I17" s="136" t="str">
        <f>VLOOKUP(E17,VIP!$A$2:$O11134,8,FALSE)</f>
        <v>Si</v>
      </c>
      <c r="J17" s="136" t="str">
        <f>VLOOKUP(E17,VIP!$A$2:$O11084,8,FALSE)</f>
        <v>Si</v>
      </c>
      <c r="K17" s="136" t="str">
        <f>VLOOKUP(E17,VIP!$A$2:$O14658,6,0)</f>
        <v>SI</v>
      </c>
      <c r="L17" s="137" t="s">
        <v>2219</v>
      </c>
      <c r="M17" s="100" t="s">
        <v>2445</v>
      </c>
      <c r="N17" s="100" t="s">
        <v>2452</v>
      </c>
      <c r="O17" s="136" t="s">
        <v>2454</v>
      </c>
      <c r="P17" s="100"/>
      <c r="Q17" s="100" t="s">
        <v>2219</v>
      </c>
    </row>
    <row r="18" spans="1:17" ht="18" x14ac:dyDescent="0.25">
      <c r="A18" s="136" t="str">
        <f>VLOOKUP(E18,'LISTADO ATM'!$A$2:$C$898,3,0)</f>
        <v>DISTRITO NACIONAL</v>
      </c>
      <c r="B18" s="132">
        <v>3335949607</v>
      </c>
      <c r="C18" s="101">
        <v>44386.773692129631</v>
      </c>
      <c r="D18" s="101" t="s">
        <v>2180</v>
      </c>
      <c r="E18" s="127">
        <v>318</v>
      </c>
      <c r="F18" s="136" t="str">
        <f>VLOOKUP(E18,VIP!$A$2:$O14205,2,0)</f>
        <v>DRBR318</v>
      </c>
      <c r="G18" s="136" t="str">
        <f>VLOOKUP(E18,'LISTADO ATM'!$A$2:$B$897,2,0)</f>
        <v>ATM Autoservicio Lope de Vega</v>
      </c>
      <c r="H18" s="136" t="str">
        <f>VLOOKUP(E18,VIP!$A$2:$O19166,7,FALSE)</f>
        <v>Si</v>
      </c>
      <c r="I18" s="136" t="str">
        <f>VLOOKUP(E18,VIP!$A$2:$O11131,8,FALSE)</f>
        <v>Si</v>
      </c>
      <c r="J18" s="136" t="str">
        <f>VLOOKUP(E18,VIP!$A$2:$O11081,8,FALSE)</f>
        <v>Si</v>
      </c>
      <c r="K18" s="136" t="str">
        <f>VLOOKUP(E18,VIP!$A$2:$O14655,6,0)</f>
        <v>NO</v>
      </c>
      <c r="L18" s="137" t="s">
        <v>2219</v>
      </c>
      <c r="M18" s="100" t="s">
        <v>2445</v>
      </c>
      <c r="N18" s="100" t="s">
        <v>2452</v>
      </c>
      <c r="O18" s="136" t="s">
        <v>2454</v>
      </c>
      <c r="P18" s="100"/>
      <c r="Q18" s="100" t="s">
        <v>2219</v>
      </c>
    </row>
    <row r="19" spans="1:17" ht="18" x14ac:dyDescent="0.25">
      <c r="A19" s="136" t="str">
        <f>VLOOKUP(E19,'LISTADO ATM'!$A$2:$C$898,3,0)</f>
        <v>NORTE</v>
      </c>
      <c r="B19" s="132">
        <v>3335949620</v>
      </c>
      <c r="C19" s="101">
        <v>44386.805717592593</v>
      </c>
      <c r="D19" s="101" t="s">
        <v>2181</v>
      </c>
      <c r="E19" s="127">
        <v>357</v>
      </c>
      <c r="F19" s="136" t="str">
        <f>VLOOKUP(E19,VIP!$A$2:$O14208,2,0)</f>
        <v>DRBR357</v>
      </c>
      <c r="G19" s="136" t="str">
        <f>VLOOKUP(E19,'LISTADO ATM'!$A$2:$B$897,2,0)</f>
        <v xml:space="preserve">ATM Universidad Nacional Evangélica (Santiago) </v>
      </c>
      <c r="H19" s="136" t="str">
        <f>VLOOKUP(E19,VIP!$A$2:$O19169,7,FALSE)</f>
        <v>Si</v>
      </c>
      <c r="I19" s="136" t="str">
        <f>VLOOKUP(E19,VIP!$A$2:$O11134,8,FALSE)</f>
        <v>Si</v>
      </c>
      <c r="J19" s="136" t="str">
        <f>VLOOKUP(E19,VIP!$A$2:$O11084,8,FALSE)</f>
        <v>Si</v>
      </c>
      <c r="K19" s="136" t="str">
        <f>VLOOKUP(E19,VIP!$A$2:$O14658,6,0)</f>
        <v>NO</v>
      </c>
      <c r="L19" s="137" t="s">
        <v>2219</v>
      </c>
      <c r="M19" s="100" t="s">
        <v>2445</v>
      </c>
      <c r="N19" s="100" t="s">
        <v>2452</v>
      </c>
      <c r="O19" s="136" t="s">
        <v>2587</v>
      </c>
      <c r="P19" s="100"/>
      <c r="Q19" s="100" t="s">
        <v>2219</v>
      </c>
    </row>
    <row r="20" spans="1:17" ht="18" x14ac:dyDescent="0.25">
      <c r="A20" s="136" t="str">
        <f>VLOOKUP(E20,'LISTADO ATM'!$A$2:$C$898,3,0)</f>
        <v>DISTRITO NACIONAL</v>
      </c>
      <c r="B20" s="132">
        <v>3335949624</v>
      </c>
      <c r="C20" s="101">
        <v>44386.816747685189</v>
      </c>
      <c r="D20" s="101" t="s">
        <v>2180</v>
      </c>
      <c r="E20" s="127">
        <v>160</v>
      </c>
      <c r="F20" s="136" t="str">
        <f>VLOOKUP(E20,VIP!$A$2:$O14223,2,0)</f>
        <v>DRBR160</v>
      </c>
      <c r="G20" s="136" t="str">
        <f>VLOOKUP(E20,'LISTADO ATM'!$A$2:$B$897,2,0)</f>
        <v xml:space="preserve">ATM Oficina Herrera </v>
      </c>
      <c r="H20" s="136" t="str">
        <f>VLOOKUP(E20,VIP!$A$2:$O19184,7,FALSE)</f>
        <v>Si</v>
      </c>
      <c r="I20" s="136" t="str">
        <f>VLOOKUP(E20,VIP!$A$2:$O11149,8,FALSE)</f>
        <v>Si</v>
      </c>
      <c r="J20" s="136" t="str">
        <f>VLOOKUP(E20,VIP!$A$2:$O11099,8,FALSE)</f>
        <v>Si</v>
      </c>
      <c r="K20" s="136" t="str">
        <f>VLOOKUP(E20,VIP!$A$2:$O14673,6,0)</f>
        <v>NO</v>
      </c>
      <c r="L20" s="137" t="s">
        <v>2219</v>
      </c>
      <c r="M20" s="100" t="s">
        <v>2445</v>
      </c>
      <c r="N20" s="100" t="s">
        <v>2452</v>
      </c>
      <c r="O20" s="136" t="s">
        <v>2454</v>
      </c>
      <c r="P20" s="100"/>
      <c r="Q20" s="100" t="s">
        <v>2219</v>
      </c>
    </row>
    <row r="21" spans="1:17" ht="18" x14ac:dyDescent="0.25">
      <c r="A21" s="136" t="str">
        <f>VLOOKUP(E21,'LISTADO ATM'!$A$2:$C$898,3,0)</f>
        <v>NORTE</v>
      </c>
      <c r="B21" s="132" t="s">
        <v>2598</v>
      </c>
      <c r="C21" s="101">
        <v>44387.202210648145</v>
      </c>
      <c r="D21" s="101" t="s">
        <v>2181</v>
      </c>
      <c r="E21" s="127">
        <v>373</v>
      </c>
      <c r="F21" s="136" t="str">
        <f>VLOOKUP(E21,VIP!$A$2:$O14210,2,0)</f>
        <v>DRBR373</v>
      </c>
      <c r="G21" s="136" t="str">
        <f>VLOOKUP(E21,'LISTADO ATM'!$A$2:$B$897,2,0)</f>
        <v>S/M Tangui Nagua</v>
      </c>
      <c r="H21" s="136" t="str">
        <f>VLOOKUP(E21,VIP!$A$2:$O19171,7,FALSE)</f>
        <v>N/A</v>
      </c>
      <c r="I21" s="136" t="str">
        <f>VLOOKUP(E21,VIP!$A$2:$O11136,8,FALSE)</f>
        <v>N/A</v>
      </c>
      <c r="J21" s="136" t="str">
        <f>VLOOKUP(E21,VIP!$A$2:$O11086,8,FALSE)</f>
        <v>N/A</v>
      </c>
      <c r="K21" s="136" t="str">
        <f>VLOOKUP(E21,VIP!$A$2:$O14660,6,0)</f>
        <v>N/A</v>
      </c>
      <c r="L21" s="137" t="s">
        <v>2601</v>
      </c>
      <c r="M21" s="100" t="s">
        <v>2445</v>
      </c>
      <c r="N21" s="100" t="s">
        <v>2452</v>
      </c>
      <c r="O21" s="136" t="s">
        <v>2589</v>
      </c>
      <c r="P21" s="100"/>
      <c r="Q21" s="100" t="s">
        <v>2601</v>
      </c>
    </row>
    <row r="22" spans="1:17" ht="18" x14ac:dyDescent="0.25">
      <c r="A22" s="136" t="str">
        <f>VLOOKUP(E22,'LISTADO ATM'!$A$2:$C$898,3,0)</f>
        <v>NORTE</v>
      </c>
      <c r="B22" s="132">
        <v>3335949494</v>
      </c>
      <c r="C22" s="101">
        <v>44386.692361111112</v>
      </c>
      <c r="D22" s="101" t="s">
        <v>2181</v>
      </c>
      <c r="E22" s="127">
        <v>606</v>
      </c>
      <c r="F22" s="136" t="str">
        <f>VLOOKUP(E22,VIP!$A$2:$O14205,2,0)</f>
        <v>DRBR704</v>
      </c>
      <c r="G22" s="136" t="str">
        <f>VLOOKUP(E22,'LISTADO ATM'!$A$2:$B$897,2,0)</f>
        <v xml:space="preserve">ATM UNP Manolo Tavarez Justo </v>
      </c>
      <c r="H22" s="136" t="str">
        <f>VLOOKUP(E22,VIP!$A$2:$O19166,7,FALSE)</f>
        <v>Si</v>
      </c>
      <c r="I22" s="136" t="str">
        <f>VLOOKUP(E22,VIP!$A$2:$O11131,8,FALSE)</f>
        <v>Si</v>
      </c>
      <c r="J22" s="136" t="str">
        <f>VLOOKUP(E22,VIP!$A$2:$O11081,8,FALSE)</f>
        <v>Si</v>
      </c>
      <c r="K22" s="136" t="str">
        <f>VLOOKUP(E22,VIP!$A$2:$O14655,6,0)</f>
        <v>NO</v>
      </c>
      <c r="L22" s="137" t="s">
        <v>2245</v>
      </c>
      <c r="M22" s="100" t="s">
        <v>2445</v>
      </c>
      <c r="N22" s="100" t="s">
        <v>2452</v>
      </c>
      <c r="O22" s="136" t="s">
        <v>2587</v>
      </c>
      <c r="P22" s="100"/>
      <c r="Q22" s="100" t="s">
        <v>2245</v>
      </c>
    </row>
    <row r="23" spans="1:17" ht="18" x14ac:dyDescent="0.25">
      <c r="A23" s="136" t="str">
        <f>VLOOKUP(E23,'LISTADO ATM'!$A$2:$C$898,3,0)</f>
        <v>DISTRITO NACIONAL</v>
      </c>
      <c r="B23" s="132">
        <v>3335949617</v>
      </c>
      <c r="C23" s="101">
        <v>44386.798252314817</v>
      </c>
      <c r="D23" s="101" t="s">
        <v>2469</v>
      </c>
      <c r="E23" s="127">
        <v>549</v>
      </c>
      <c r="F23" s="136" t="str">
        <f>VLOOKUP(E23,VIP!$A$2:$O14205,2,0)</f>
        <v>DRBR026</v>
      </c>
      <c r="G23" s="136" t="str">
        <f>VLOOKUP(E23,'LISTADO ATM'!$A$2:$B$897,2,0)</f>
        <v xml:space="preserve">ATM Ministerio de Turismo (Oficinas Gubernamentales) </v>
      </c>
      <c r="H23" s="136" t="str">
        <f>VLOOKUP(E23,VIP!$A$2:$O19166,7,FALSE)</f>
        <v>Si</v>
      </c>
      <c r="I23" s="136" t="str">
        <f>VLOOKUP(E23,VIP!$A$2:$O11131,8,FALSE)</f>
        <v>Si</v>
      </c>
      <c r="J23" s="136" t="str">
        <f>VLOOKUP(E23,VIP!$A$2:$O11081,8,FALSE)</f>
        <v>Si</v>
      </c>
      <c r="K23" s="136" t="str">
        <f>VLOOKUP(E23,VIP!$A$2:$O14655,6,0)</f>
        <v>NO</v>
      </c>
      <c r="L23" s="137" t="s">
        <v>2245</v>
      </c>
      <c r="M23" s="100" t="s">
        <v>2445</v>
      </c>
      <c r="N23" s="100" t="s">
        <v>2452</v>
      </c>
      <c r="O23" s="136" t="s">
        <v>2454</v>
      </c>
      <c r="P23" s="100"/>
      <c r="Q23" s="100" t="s">
        <v>2245</v>
      </c>
    </row>
    <row r="24" spans="1:17" ht="18" x14ac:dyDescent="0.25">
      <c r="A24" s="136" t="str">
        <f>VLOOKUP(E24,'LISTADO ATM'!$A$2:$C$898,3,0)</f>
        <v>SUR</v>
      </c>
      <c r="B24" s="132">
        <v>3335949625</v>
      </c>
      <c r="C24" s="101">
        <v>44386.818657407406</v>
      </c>
      <c r="D24" s="101" t="s">
        <v>2180</v>
      </c>
      <c r="E24" s="127">
        <v>135</v>
      </c>
      <c r="F24" s="136" t="str">
        <f>VLOOKUP(E24,VIP!$A$2:$O14222,2,0)</f>
        <v>DRBR135</v>
      </c>
      <c r="G24" s="136" t="str">
        <f>VLOOKUP(E24,'LISTADO ATM'!$A$2:$B$897,2,0)</f>
        <v xml:space="preserve">ATM Oficina Las Dunas Baní </v>
      </c>
      <c r="H24" s="136" t="str">
        <f>VLOOKUP(E24,VIP!$A$2:$O19183,7,FALSE)</f>
        <v>Si</v>
      </c>
      <c r="I24" s="136" t="str">
        <f>VLOOKUP(E24,VIP!$A$2:$O11148,8,FALSE)</f>
        <v>Si</v>
      </c>
      <c r="J24" s="136" t="str">
        <f>VLOOKUP(E24,VIP!$A$2:$O11098,8,FALSE)</f>
        <v>Si</v>
      </c>
      <c r="K24" s="136" t="str">
        <f>VLOOKUP(E24,VIP!$A$2:$O14672,6,0)</f>
        <v>SI</v>
      </c>
      <c r="L24" s="137" t="s">
        <v>2245</v>
      </c>
      <c r="M24" s="100" t="s">
        <v>2445</v>
      </c>
      <c r="N24" s="100" t="s">
        <v>2452</v>
      </c>
      <c r="O24" s="136" t="s">
        <v>2454</v>
      </c>
      <c r="P24" s="100"/>
      <c r="Q24" s="100" t="s">
        <v>2245</v>
      </c>
    </row>
    <row r="25" spans="1:17" ht="18" x14ac:dyDescent="0.25">
      <c r="A25" s="136" t="str">
        <f>VLOOKUP(E25,'LISTADO ATM'!$A$2:$C$898,3,0)</f>
        <v>NORTE</v>
      </c>
      <c r="B25" s="132">
        <v>3335949648</v>
      </c>
      <c r="C25" s="101">
        <v>44386.893888888888</v>
      </c>
      <c r="D25" s="101" t="s">
        <v>2181</v>
      </c>
      <c r="E25" s="127">
        <v>198</v>
      </c>
      <c r="F25" s="136" t="str">
        <f>VLOOKUP(E25,VIP!$A$2:$O14207,2,0)</f>
        <v>DRBR198</v>
      </c>
      <c r="G25" s="136" t="str">
        <f>VLOOKUP(E25,'LISTADO ATM'!$A$2:$B$897,2,0)</f>
        <v xml:space="preserve">ATM Almacenes El Encanto  (Santiago) </v>
      </c>
      <c r="H25" s="136" t="str">
        <f>VLOOKUP(E25,VIP!$A$2:$O19168,7,FALSE)</f>
        <v>NO</v>
      </c>
      <c r="I25" s="136" t="str">
        <f>VLOOKUP(E25,VIP!$A$2:$O11133,8,FALSE)</f>
        <v>NO</v>
      </c>
      <c r="J25" s="136" t="str">
        <f>VLOOKUP(E25,VIP!$A$2:$O11083,8,FALSE)</f>
        <v>NO</v>
      </c>
      <c r="K25" s="136" t="str">
        <f>VLOOKUP(E25,VIP!$A$2:$O14657,6,0)</f>
        <v>NO</v>
      </c>
      <c r="L25" s="137" t="s">
        <v>2245</v>
      </c>
      <c r="M25" s="100" t="s">
        <v>2445</v>
      </c>
      <c r="N25" s="100" t="s">
        <v>2452</v>
      </c>
      <c r="O25" s="136" t="s">
        <v>2587</v>
      </c>
      <c r="P25" s="100"/>
      <c r="Q25" s="100" t="s">
        <v>2245</v>
      </c>
    </row>
    <row r="26" spans="1:17" ht="18" x14ac:dyDescent="0.25">
      <c r="A26" s="136" t="str">
        <f>VLOOKUP(E26,'LISTADO ATM'!$A$2:$C$898,3,0)</f>
        <v>DISTRITO NACIONAL</v>
      </c>
      <c r="B26" s="132" t="s">
        <v>2600</v>
      </c>
      <c r="C26" s="101">
        <v>44387.123055555552</v>
      </c>
      <c r="D26" s="101" t="s">
        <v>2180</v>
      </c>
      <c r="E26" s="127">
        <v>507</v>
      </c>
      <c r="F26" s="136" t="str">
        <f>VLOOKUP(E26,VIP!$A$2:$O14212,2,0)</f>
        <v>DRBR507</v>
      </c>
      <c r="G26" s="136" t="str">
        <f>VLOOKUP(E26,'LISTADO ATM'!$A$2:$B$897,2,0)</f>
        <v>ATM Estación Sigma Boca Chica</v>
      </c>
      <c r="H26" s="136" t="str">
        <f>VLOOKUP(E26,VIP!$A$2:$O19173,7,FALSE)</f>
        <v>Si</v>
      </c>
      <c r="I26" s="136" t="str">
        <f>VLOOKUP(E26,VIP!$A$2:$O11138,8,FALSE)</f>
        <v>Si</v>
      </c>
      <c r="J26" s="136" t="str">
        <f>VLOOKUP(E26,VIP!$A$2:$O11088,8,FALSE)</f>
        <v>Si</v>
      </c>
      <c r="K26" s="136" t="str">
        <f>VLOOKUP(E26,VIP!$A$2:$O14662,6,0)</f>
        <v>NO</v>
      </c>
      <c r="L26" s="137" t="s">
        <v>2245</v>
      </c>
      <c r="M26" s="100" t="s">
        <v>2445</v>
      </c>
      <c r="N26" s="100" t="s">
        <v>2452</v>
      </c>
      <c r="O26" s="136" t="s">
        <v>2454</v>
      </c>
      <c r="P26" s="100"/>
      <c r="Q26" s="100" t="s">
        <v>2245</v>
      </c>
    </row>
    <row r="27" spans="1:17" ht="18" x14ac:dyDescent="0.25">
      <c r="A27" s="136" t="str">
        <f>VLOOKUP(E27,'LISTADO ATM'!$A$2:$C$898,3,0)</f>
        <v>DISTRITO NACIONAL</v>
      </c>
      <c r="B27" s="132" t="s">
        <v>2599</v>
      </c>
      <c r="C27" s="101">
        <v>44387.12400462963</v>
      </c>
      <c r="D27" s="101" t="s">
        <v>2180</v>
      </c>
      <c r="E27" s="127">
        <v>622</v>
      </c>
      <c r="F27" s="136" t="str">
        <f>VLOOKUP(E27,VIP!$A$2:$O14211,2,0)</f>
        <v>DRBR622</v>
      </c>
      <c r="G27" s="136" t="str">
        <f>VLOOKUP(E27,'LISTADO ATM'!$A$2:$B$897,2,0)</f>
        <v xml:space="preserve">ATM Ayuntamiento D.N. </v>
      </c>
      <c r="H27" s="136" t="str">
        <f>VLOOKUP(E27,VIP!$A$2:$O19172,7,FALSE)</f>
        <v>Si</v>
      </c>
      <c r="I27" s="136" t="str">
        <f>VLOOKUP(E27,VIP!$A$2:$O11137,8,FALSE)</f>
        <v>Si</v>
      </c>
      <c r="J27" s="136" t="str">
        <f>VLOOKUP(E27,VIP!$A$2:$O11087,8,FALSE)</f>
        <v>Si</v>
      </c>
      <c r="K27" s="136" t="str">
        <f>VLOOKUP(E27,VIP!$A$2:$O14661,6,0)</f>
        <v>NO</v>
      </c>
      <c r="L27" s="137" t="s">
        <v>2245</v>
      </c>
      <c r="M27" s="100" t="s">
        <v>2445</v>
      </c>
      <c r="N27" s="100" t="s">
        <v>2452</v>
      </c>
      <c r="O27" s="136" t="s">
        <v>2454</v>
      </c>
      <c r="P27" s="100"/>
      <c r="Q27" s="100" t="s">
        <v>2245</v>
      </c>
    </row>
    <row r="28" spans="1:17" ht="18" x14ac:dyDescent="0.25">
      <c r="A28" s="136" t="str">
        <f>VLOOKUP(E28,'LISTADO ATM'!$A$2:$C$898,3,0)</f>
        <v>DISTRITO NACIONAL</v>
      </c>
      <c r="B28" s="132">
        <v>3335947094</v>
      </c>
      <c r="C28" s="101">
        <v>44385.361111111109</v>
      </c>
      <c r="D28" s="101" t="s">
        <v>2448</v>
      </c>
      <c r="E28" s="127">
        <v>980</v>
      </c>
      <c r="F28" s="136" t="str">
        <f>VLOOKUP(E28,VIP!$A$2:$O14167,2,0)</f>
        <v>DRBR980</v>
      </c>
      <c r="G28" s="136" t="str">
        <f>VLOOKUP(E28,'LISTADO ATM'!$A$2:$B$897,2,0)</f>
        <v xml:space="preserve">ATM Oficina Bella Vista Mall II </v>
      </c>
      <c r="H28" s="136" t="str">
        <f>VLOOKUP(E28,VIP!$A$2:$O19128,7,FALSE)</f>
        <v>Si</v>
      </c>
      <c r="I28" s="136" t="str">
        <f>VLOOKUP(E28,VIP!$A$2:$O11093,8,FALSE)</f>
        <v>Si</v>
      </c>
      <c r="J28" s="136" t="str">
        <f>VLOOKUP(E28,VIP!$A$2:$O11043,8,FALSE)</f>
        <v>Si</v>
      </c>
      <c r="K28" s="136" t="str">
        <f>VLOOKUP(E28,VIP!$A$2:$O14617,6,0)</f>
        <v>NO</v>
      </c>
      <c r="L28" s="137" t="s">
        <v>2562</v>
      </c>
      <c r="M28" s="100" t="s">
        <v>2445</v>
      </c>
      <c r="N28" s="100" t="s">
        <v>2452</v>
      </c>
      <c r="O28" s="136" t="s">
        <v>2453</v>
      </c>
      <c r="P28" s="136"/>
      <c r="Q28" s="100" t="s">
        <v>2562</v>
      </c>
    </row>
    <row r="29" spans="1:17" ht="18" x14ac:dyDescent="0.25">
      <c r="A29" s="136" t="str">
        <f>VLOOKUP(E29,'LISTADO ATM'!$A$2:$C$898,3,0)</f>
        <v>NORTE</v>
      </c>
      <c r="B29" s="132">
        <v>3335949577</v>
      </c>
      <c r="C29" s="101">
        <v>44386.739930555559</v>
      </c>
      <c r="D29" s="101" t="s">
        <v>2469</v>
      </c>
      <c r="E29" s="127">
        <v>304</v>
      </c>
      <c r="F29" s="136" t="str">
        <f>VLOOKUP(E29,VIP!$A$2:$O14213,2,0)</f>
        <v>DRBR304</v>
      </c>
      <c r="G29" s="136" t="str">
        <f>VLOOKUP(E29,'LISTADO ATM'!$A$2:$B$897,2,0)</f>
        <v xml:space="preserve">ATM Multicentro La Sirena Estrella Sadhala </v>
      </c>
      <c r="H29" s="136" t="str">
        <f>VLOOKUP(E29,VIP!$A$2:$O19174,7,FALSE)</f>
        <v>Si</v>
      </c>
      <c r="I29" s="136" t="str">
        <f>VLOOKUP(E29,VIP!$A$2:$O11139,8,FALSE)</f>
        <v>Si</v>
      </c>
      <c r="J29" s="136" t="str">
        <f>VLOOKUP(E29,VIP!$A$2:$O11089,8,FALSE)</f>
        <v>Si</v>
      </c>
      <c r="K29" s="136" t="str">
        <f>VLOOKUP(E29,VIP!$A$2:$O14663,6,0)</f>
        <v>NO</v>
      </c>
      <c r="L29" s="137" t="s">
        <v>2562</v>
      </c>
      <c r="M29" s="100" t="s">
        <v>2445</v>
      </c>
      <c r="N29" s="100" t="s">
        <v>2452</v>
      </c>
      <c r="O29" s="136" t="s">
        <v>2470</v>
      </c>
      <c r="P29" s="100"/>
      <c r="Q29" s="100" t="s">
        <v>2562</v>
      </c>
    </row>
    <row r="30" spans="1:17" ht="18" x14ac:dyDescent="0.25">
      <c r="A30" s="136" t="str">
        <f>VLOOKUP(E30,'LISTADO ATM'!$A$2:$C$898,3,0)</f>
        <v>SUR</v>
      </c>
      <c r="B30" s="132">
        <v>3335949611</v>
      </c>
      <c r="C30" s="101">
        <v>44386.78025462963</v>
      </c>
      <c r="D30" s="101" t="s">
        <v>2469</v>
      </c>
      <c r="E30" s="127">
        <v>829</v>
      </c>
      <c r="F30" s="136" t="str">
        <f>VLOOKUP(E30,VIP!$A$2:$O14208,2,0)</f>
        <v>DRBR829</v>
      </c>
      <c r="G30" s="136" t="str">
        <f>VLOOKUP(E30,'LISTADO ATM'!$A$2:$B$897,2,0)</f>
        <v xml:space="preserve">ATM UNP Multicentro Sirena Baní </v>
      </c>
      <c r="H30" s="136" t="str">
        <f>VLOOKUP(E30,VIP!$A$2:$O19169,7,FALSE)</f>
        <v>Si</v>
      </c>
      <c r="I30" s="136" t="str">
        <f>VLOOKUP(E30,VIP!$A$2:$O11134,8,FALSE)</f>
        <v>Si</v>
      </c>
      <c r="J30" s="136" t="str">
        <f>VLOOKUP(E30,VIP!$A$2:$O11084,8,FALSE)</f>
        <v>Si</v>
      </c>
      <c r="K30" s="136" t="str">
        <f>VLOOKUP(E30,VIP!$A$2:$O14658,6,0)</f>
        <v>NO</v>
      </c>
      <c r="L30" s="137" t="s">
        <v>2562</v>
      </c>
      <c r="M30" s="100" t="s">
        <v>2445</v>
      </c>
      <c r="N30" s="100" t="s">
        <v>2452</v>
      </c>
      <c r="O30" s="136" t="s">
        <v>2470</v>
      </c>
      <c r="P30" s="100"/>
      <c r="Q30" s="100" t="s">
        <v>2562</v>
      </c>
    </row>
    <row r="31" spans="1:17" ht="18" x14ac:dyDescent="0.25">
      <c r="A31" s="136" t="str">
        <f>VLOOKUP(E31,'LISTADO ATM'!$A$2:$C$898,3,0)</f>
        <v>ESTE</v>
      </c>
      <c r="B31" s="132">
        <v>3335949616</v>
      </c>
      <c r="C31" s="101">
        <v>44386.790555555555</v>
      </c>
      <c r="D31" s="101" t="s">
        <v>2469</v>
      </c>
      <c r="E31" s="127">
        <v>158</v>
      </c>
      <c r="F31" s="136" t="str">
        <f>VLOOKUP(E31,VIP!$A$2:$O14206,2,0)</f>
        <v>DRBR158</v>
      </c>
      <c r="G31" s="136" t="str">
        <f>VLOOKUP(E31,'LISTADO ATM'!$A$2:$B$897,2,0)</f>
        <v xml:space="preserve">ATM Oficina Romana Norte </v>
      </c>
      <c r="H31" s="136" t="str">
        <f>VLOOKUP(E31,VIP!$A$2:$O19167,7,FALSE)</f>
        <v>Si</v>
      </c>
      <c r="I31" s="136" t="str">
        <f>VLOOKUP(E31,VIP!$A$2:$O11132,8,FALSE)</f>
        <v>Si</v>
      </c>
      <c r="J31" s="136" t="str">
        <f>VLOOKUP(E31,VIP!$A$2:$O11082,8,FALSE)</f>
        <v>Si</v>
      </c>
      <c r="K31" s="136" t="str">
        <f>VLOOKUP(E31,VIP!$A$2:$O14656,6,0)</f>
        <v>SI</v>
      </c>
      <c r="L31" s="137" t="s">
        <v>2562</v>
      </c>
      <c r="M31" s="100" t="s">
        <v>2445</v>
      </c>
      <c r="N31" s="100" t="s">
        <v>2452</v>
      </c>
      <c r="O31" s="136" t="s">
        <v>2470</v>
      </c>
      <c r="P31" s="100"/>
      <c r="Q31" s="100" t="s">
        <v>2562</v>
      </c>
    </row>
    <row r="32" spans="1:17" ht="18" x14ac:dyDescent="0.25">
      <c r="A32" s="136" t="str">
        <f>VLOOKUP(E32,'LISTADO ATM'!$A$2:$C$898,3,0)</f>
        <v>DISTRITO NACIONAL</v>
      </c>
      <c r="B32" s="132">
        <v>3335949621</v>
      </c>
      <c r="C32" s="101">
        <v>44386.807395833333</v>
      </c>
      <c r="D32" s="101" t="s">
        <v>2469</v>
      </c>
      <c r="E32" s="127">
        <v>410</v>
      </c>
      <c r="F32" s="136" t="str">
        <f>VLOOKUP(E32,VIP!$A$2:$O14207,2,0)</f>
        <v>DRBR410</v>
      </c>
      <c r="G32" s="136" t="str">
        <f>VLOOKUP(E32,'LISTADO ATM'!$A$2:$B$897,2,0)</f>
        <v xml:space="preserve">ATM Oficina Las Palmas de Herrera II </v>
      </c>
      <c r="H32" s="136" t="str">
        <f>VLOOKUP(E32,VIP!$A$2:$O19168,7,FALSE)</f>
        <v>Si</v>
      </c>
      <c r="I32" s="136" t="str">
        <f>VLOOKUP(E32,VIP!$A$2:$O11133,8,FALSE)</f>
        <v>Si</v>
      </c>
      <c r="J32" s="136" t="str">
        <f>VLOOKUP(E32,VIP!$A$2:$O11083,8,FALSE)</f>
        <v>Si</v>
      </c>
      <c r="K32" s="136" t="str">
        <f>VLOOKUP(E32,VIP!$A$2:$O14657,6,0)</f>
        <v>NO</v>
      </c>
      <c r="L32" s="137" t="s">
        <v>2562</v>
      </c>
      <c r="M32" s="100" t="s">
        <v>2445</v>
      </c>
      <c r="N32" s="100" t="s">
        <v>2452</v>
      </c>
      <c r="O32" s="136" t="s">
        <v>2470</v>
      </c>
      <c r="P32" s="100"/>
      <c r="Q32" s="100" t="s">
        <v>2562</v>
      </c>
    </row>
    <row r="33" spans="1:17" ht="18" x14ac:dyDescent="0.25">
      <c r="A33" s="136" t="str">
        <f>VLOOKUP(E33,'LISTADO ATM'!$A$2:$C$898,3,0)</f>
        <v>ESTE</v>
      </c>
      <c r="B33" s="132">
        <v>3335949652</v>
      </c>
      <c r="C33" s="101">
        <v>44386.940254629626</v>
      </c>
      <c r="D33" s="101" t="s">
        <v>2469</v>
      </c>
      <c r="E33" s="127">
        <v>219</v>
      </c>
      <c r="F33" s="136" t="str">
        <f>VLOOKUP(E33,VIP!$A$2:$O14208,2,0)</f>
        <v>DRBR219</v>
      </c>
      <c r="G33" s="136" t="str">
        <f>VLOOKUP(E33,'LISTADO ATM'!$A$2:$B$897,2,0)</f>
        <v xml:space="preserve">ATM Oficina La Altagracia (Higuey) </v>
      </c>
      <c r="H33" s="136" t="str">
        <f>VLOOKUP(E33,VIP!$A$2:$O19169,7,FALSE)</f>
        <v>Si</v>
      </c>
      <c r="I33" s="136" t="str">
        <f>VLOOKUP(E33,VIP!$A$2:$O11134,8,FALSE)</f>
        <v>Si</v>
      </c>
      <c r="J33" s="136" t="str">
        <f>VLOOKUP(E33,VIP!$A$2:$O11084,8,FALSE)</f>
        <v>Si</v>
      </c>
      <c r="K33" s="136" t="str">
        <f>VLOOKUP(E33,VIP!$A$2:$O14658,6,0)</f>
        <v>NO</v>
      </c>
      <c r="L33" s="137" t="s">
        <v>2562</v>
      </c>
      <c r="M33" s="100" t="s">
        <v>2445</v>
      </c>
      <c r="N33" s="100" t="s">
        <v>2452</v>
      </c>
      <c r="O33" s="136" t="s">
        <v>2470</v>
      </c>
      <c r="P33" s="100"/>
      <c r="Q33" s="100" t="s">
        <v>2562</v>
      </c>
    </row>
    <row r="34" spans="1:17" ht="18" x14ac:dyDescent="0.25">
      <c r="A34" s="136" t="str">
        <f>VLOOKUP(E34,'LISTADO ATM'!$A$2:$C$898,3,0)</f>
        <v>DISTRITO NACIONAL</v>
      </c>
      <c r="B34" s="132">
        <v>3335949608</v>
      </c>
      <c r="C34" s="101">
        <v>44386.776307870372</v>
      </c>
      <c r="D34" s="101" t="s">
        <v>2469</v>
      </c>
      <c r="E34" s="127">
        <v>39</v>
      </c>
      <c r="F34" s="136" t="str">
        <f>VLOOKUP(E34,VIP!$A$2:$O14204,2,0)</f>
        <v>DRBR039</v>
      </c>
      <c r="G34" s="136" t="str">
        <f>VLOOKUP(E34,'LISTADO ATM'!$A$2:$B$897,2,0)</f>
        <v xml:space="preserve">ATM Oficina Ovando </v>
      </c>
      <c r="H34" s="136" t="str">
        <f>VLOOKUP(E34,VIP!$A$2:$O19165,7,FALSE)</f>
        <v>Si</v>
      </c>
      <c r="I34" s="136" t="str">
        <f>VLOOKUP(E34,VIP!$A$2:$O11130,8,FALSE)</f>
        <v>No</v>
      </c>
      <c r="J34" s="136" t="str">
        <f>VLOOKUP(E34,VIP!$A$2:$O11080,8,FALSE)</f>
        <v>No</v>
      </c>
      <c r="K34" s="136" t="str">
        <f>VLOOKUP(E34,VIP!$A$2:$O14654,6,0)</f>
        <v>NO</v>
      </c>
      <c r="L34" s="137" t="s">
        <v>2561</v>
      </c>
      <c r="M34" s="100" t="s">
        <v>2445</v>
      </c>
      <c r="N34" s="100" t="s">
        <v>2452</v>
      </c>
      <c r="O34" s="136" t="s">
        <v>2470</v>
      </c>
      <c r="P34" s="100"/>
      <c r="Q34" s="100" t="s">
        <v>2592</v>
      </c>
    </row>
    <row r="35" spans="1:17" ht="18" x14ac:dyDescent="0.25">
      <c r="A35" s="136" t="str">
        <f>VLOOKUP(E35,'LISTADO ATM'!$A$2:$C$898,3,0)</f>
        <v>DISTRITO NACIONAL</v>
      </c>
      <c r="B35" s="132">
        <v>3335949614</v>
      </c>
      <c r="C35" s="101">
        <v>44386.786423611113</v>
      </c>
      <c r="D35" s="101" t="s">
        <v>2469</v>
      </c>
      <c r="E35" s="127">
        <v>701</v>
      </c>
      <c r="F35" s="136" t="str">
        <f>VLOOKUP(E35,VIP!$A$2:$O14207,2,0)</f>
        <v>DRBR701</v>
      </c>
      <c r="G35" s="136" t="str">
        <f>VLOOKUP(E35,'LISTADO ATM'!$A$2:$B$897,2,0)</f>
        <v>ATM Autoservicio Los Alcarrizos</v>
      </c>
      <c r="H35" s="136" t="str">
        <f>VLOOKUP(E35,VIP!$A$2:$O19168,7,FALSE)</f>
        <v>Si</v>
      </c>
      <c r="I35" s="136" t="str">
        <f>VLOOKUP(E35,VIP!$A$2:$O11133,8,FALSE)</f>
        <v>Si</v>
      </c>
      <c r="J35" s="136" t="str">
        <f>VLOOKUP(E35,VIP!$A$2:$O11083,8,FALSE)</f>
        <v>Si</v>
      </c>
      <c r="K35" s="136" t="str">
        <f>VLOOKUP(E35,VIP!$A$2:$O14657,6,0)</f>
        <v>NO</v>
      </c>
      <c r="L35" s="137" t="s">
        <v>2561</v>
      </c>
      <c r="M35" s="100" t="s">
        <v>2445</v>
      </c>
      <c r="N35" s="100" t="s">
        <v>2452</v>
      </c>
      <c r="O35" s="136" t="s">
        <v>2470</v>
      </c>
      <c r="P35" s="100"/>
      <c r="Q35" s="100" t="s">
        <v>2561</v>
      </c>
    </row>
    <row r="36" spans="1:17" ht="18" x14ac:dyDescent="0.25">
      <c r="A36" s="136" t="str">
        <f>VLOOKUP(E36,'LISTADO ATM'!$A$2:$C$898,3,0)</f>
        <v>DISTRITO NACIONAL</v>
      </c>
      <c r="B36" s="132">
        <v>3335949222</v>
      </c>
      <c r="C36" s="101">
        <v>44386.575219907405</v>
      </c>
      <c r="D36" s="101" t="s">
        <v>2448</v>
      </c>
      <c r="E36" s="127">
        <v>139</v>
      </c>
      <c r="F36" s="136" t="str">
        <f>VLOOKUP(E36,VIP!$A$2:$O14191,2,0)</f>
        <v>DRBR139</v>
      </c>
      <c r="G36" s="136" t="str">
        <f>VLOOKUP(E36,'LISTADO ATM'!$A$2:$B$897,2,0)</f>
        <v xml:space="preserve">ATM Oficina Plaza Lama Zona Oriental I </v>
      </c>
      <c r="H36" s="136" t="str">
        <f>VLOOKUP(E36,VIP!$A$2:$O19152,7,FALSE)</f>
        <v>Si</v>
      </c>
      <c r="I36" s="136" t="str">
        <f>VLOOKUP(E36,VIP!$A$2:$O11117,8,FALSE)</f>
        <v>Si</v>
      </c>
      <c r="J36" s="136" t="str">
        <f>VLOOKUP(E36,VIP!$A$2:$O11067,8,FALSE)</f>
        <v>Si</v>
      </c>
      <c r="K36" s="136" t="str">
        <f>VLOOKUP(E36,VIP!$A$2:$O14641,6,0)</f>
        <v>NO</v>
      </c>
      <c r="L36" s="137" t="s">
        <v>2441</v>
      </c>
      <c r="M36" s="100" t="s">
        <v>2445</v>
      </c>
      <c r="N36" s="100" t="s">
        <v>2452</v>
      </c>
      <c r="O36" s="136" t="s">
        <v>2453</v>
      </c>
      <c r="P36" s="136"/>
      <c r="Q36" s="100" t="s">
        <v>2441</v>
      </c>
    </row>
    <row r="37" spans="1:17" ht="18" x14ac:dyDescent="0.25">
      <c r="A37" s="136" t="str">
        <f>VLOOKUP(E37,'LISTADO ATM'!$A$2:$C$898,3,0)</f>
        <v>ESTE</v>
      </c>
      <c r="B37" s="132">
        <v>3335949525</v>
      </c>
      <c r="C37" s="101">
        <v>44386.702557870369</v>
      </c>
      <c r="D37" s="101" t="s">
        <v>2469</v>
      </c>
      <c r="E37" s="127">
        <v>612</v>
      </c>
      <c r="F37" s="136" t="str">
        <f>VLOOKUP(E37,VIP!$A$2:$O14204,2,0)</f>
        <v>DRBR220</v>
      </c>
      <c r="G37" s="136" t="str">
        <f>VLOOKUP(E37,'LISTADO ATM'!$A$2:$B$897,2,0)</f>
        <v xml:space="preserve">ATM Plaza Orense (La Romana) </v>
      </c>
      <c r="H37" s="136" t="str">
        <f>VLOOKUP(E37,VIP!$A$2:$O19165,7,FALSE)</f>
        <v>Si</v>
      </c>
      <c r="I37" s="136" t="str">
        <f>VLOOKUP(E37,VIP!$A$2:$O11130,8,FALSE)</f>
        <v>Si</v>
      </c>
      <c r="J37" s="136" t="str">
        <f>VLOOKUP(E37,VIP!$A$2:$O11080,8,FALSE)</f>
        <v>Si</v>
      </c>
      <c r="K37" s="136" t="str">
        <f>VLOOKUP(E37,VIP!$A$2:$O14654,6,0)</f>
        <v>NO</v>
      </c>
      <c r="L37" s="137" t="s">
        <v>2441</v>
      </c>
      <c r="M37" s="100" t="s">
        <v>2445</v>
      </c>
      <c r="N37" s="100" t="s">
        <v>2452</v>
      </c>
      <c r="O37" s="136" t="s">
        <v>2470</v>
      </c>
      <c r="P37" s="100"/>
      <c r="Q37" s="100" t="s">
        <v>2441</v>
      </c>
    </row>
    <row r="38" spans="1:17" ht="18" x14ac:dyDescent="0.25">
      <c r="A38" s="136" t="str">
        <f>VLOOKUP(E38,'LISTADO ATM'!$A$2:$C$898,3,0)</f>
        <v>DISTRITO NACIONAL</v>
      </c>
      <c r="B38" s="132">
        <v>3335949534</v>
      </c>
      <c r="C38" s="101">
        <v>44386.705752314818</v>
      </c>
      <c r="D38" s="101" t="s">
        <v>2448</v>
      </c>
      <c r="E38" s="127">
        <v>620</v>
      </c>
      <c r="F38" s="136" t="str">
        <f>VLOOKUP(E38,VIP!$A$2:$O14203,2,0)</f>
        <v>DRBR620</v>
      </c>
      <c r="G38" s="136" t="str">
        <f>VLOOKUP(E38,'LISTADO ATM'!$A$2:$B$897,2,0)</f>
        <v xml:space="preserve">ATM Ministerio de Medio Ambiente </v>
      </c>
      <c r="H38" s="136" t="str">
        <f>VLOOKUP(E38,VIP!$A$2:$O19164,7,FALSE)</f>
        <v>Si</v>
      </c>
      <c r="I38" s="136" t="str">
        <f>VLOOKUP(E38,VIP!$A$2:$O11129,8,FALSE)</f>
        <v>No</v>
      </c>
      <c r="J38" s="136" t="str">
        <f>VLOOKUP(E38,VIP!$A$2:$O11079,8,FALSE)</f>
        <v>No</v>
      </c>
      <c r="K38" s="136" t="str">
        <f>VLOOKUP(E38,VIP!$A$2:$O14653,6,0)</f>
        <v>NO</v>
      </c>
      <c r="L38" s="137" t="s">
        <v>2441</v>
      </c>
      <c r="M38" s="100" t="s">
        <v>2445</v>
      </c>
      <c r="N38" s="100" t="s">
        <v>2452</v>
      </c>
      <c r="O38" s="136" t="s">
        <v>2453</v>
      </c>
      <c r="P38" s="100"/>
      <c r="Q38" s="100" t="s">
        <v>2441</v>
      </c>
    </row>
    <row r="39" spans="1:17" ht="18" x14ac:dyDescent="0.25">
      <c r="A39" s="136" t="str">
        <f>VLOOKUP(E39,'LISTADO ATM'!$A$2:$C$898,3,0)</f>
        <v>SUR</v>
      </c>
      <c r="B39" s="132">
        <v>3335949646</v>
      </c>
      <c r="C39" s="101">
        <v>44386.87909722222</v>
      </c>
      <c r="D39" s="101" t="s">
        <v>2469</v>
      </c>
      <c r="E39" s="127">
        <v>870</v>
      </c>
      <c r="F39" s="136" t="str">
        <f>VLOOKUP(E39,VIP!$A$2:$O14209,2,0)</f>
        <v>DRBR870</v>
      </c>
      <c r="G39" s="136" t="str">
        <f>VLOOKUP(E39,'LISTADO ATM'!$A$2:$B$897,2,0)</f>
        <v xml:space="preserve">ATM Willbes Dominicana (Barahona) </v>
      </c>
      <c r="H39" s="136" t="str">
        <f>VLOOKUP(E39,VIP!$A$2:$O19170,7,FALSE)</f>
        <v>Si</v>
      </c>
      <c r="I39" s="136" t="str">
        <f>VLOOKUP(E39,VIP!$A$2:$O11135,8,FALSE)</f>
        <v>Si</v>
      </c>
      <c r="J39" s="136" t="str">
        <f>VLOOKUP(E39,VIP!$A$2:$O11085,8,FALSE)</f>
        <v>Si</v>
      </c>
      <c r="K39" s="136" t="str">
        <f>VLOOKUP(E39,VIP!$A$2:$O14659,6,0)</f>
        <v>NO</v>
      </c>
      <c r="L39" s="137" t="s">
        <v>2441</v>
      </c>
      <c r="M39" s="100" t="s">
        <v>2445</v>
      </c>
      <c r="N39" s="100" t="s">
        <v>2452</v>
      </c>
      <c r="O39" s="136" t="s">
        <v>2470</v>
      </c>
      <c r="P39" s="100"/>
      <c r="Q39" s="100" t="s">
        <v>2441</v>
      </c>
    </row>
    <row r="40" spans="1:17" ht="18" x14ac:dyDescent="0.25">
      <c r="A40" s="136" t="str">
        <f>VLOOKUP(E40,'LISTADO ATM'!$A$2:$C$898,3,0)</f>
        <v>DISTRITO NACIONAL</v>
      </c>
      <c r="B40" s="132">
        <v>3335949610</v>
      </c>
      <c r="C40" s="101">
        <v>44386.778298611112</v>
      </c>
      <c r="D40" s="101" t="s">
        <v>2469</v>
      </c>
      <c r="E40" s="127">
        <v>787</v>
      </c>
      <c r="F40" s="136" t="str">
        <f>VLOOKUP(E40,VIP!$A$2:$O14209,2,0)</f>
        <v>DRBR278</v>
      </c>
      <c r="G40" s="136" t="str">
        <f>VLOOKUP(E40,'LISTADO ATM'!$A$2:$B$897,2,0)</f>
        <v xml:space="preserve">ATM Cafetería CTB II </v>
      </c>
      <c r="H40" s="136" t="str">
        <f>VLOOKUP(E40,VIP!$A$2:$O19170,7,FALSE)</f>
        <v>Si</v>
      </c>
      <c r="I40" s="136" t="str">
        <f>VLOOKUP(E40,VIP!$A$2:$O11135,8,FALSE)</f>
        <v>Si</v>
      </c>
      <c r="J40" s="136" t="str">
        <f>VLOOKUP(E40,VIP!$A$2:$O11085,8,FALSE)</f>
        <v>Si</v>
      </c>
      <c r="K40" s="136" t="str">
        <f>VLOOKUP(E40,VIP!$A$2:$O14659,6,0)</f>
        <v>NO</v>
      </c>
      <c r="L40" s="137" t="s">
        <v>2591</v>
      </c>
      <c r="M40" s="100" t="s">
        <v>2445</v>
      </c>
      <c r="N40" s="100" t="s">
        <v>2452</v>
      </c>
      <c r="O40" s="136" t="s">
        <v>2454</v>
      </c>
      <c r="P40" s="100"/>
      <c r="Q40" s="100" t="s">
        <v>2591</v>
      </c>
    </row>
    <row r="41" spans="1:17" ht="18" x14ac:dyDescent="0.25">
      <c r="A41" s="136" t="str">
        <f>VLOOKUP(E41,'LISTADO ATM'!$A$2:$C$898,3,0)</f>
        <v>SUR</v>
      </c>
      <c r="B41" s="132">
        <v>3335947978</v>
      </c>
      <c r="C41" s="101">
        <v>44385.632349537038</v>
      </c>
      <c r="D41" s="101" t="s">
        <v>2595</v>
      </c>
      <c r="E41" s="127">
        <v>360</v>
      </c>
      <c r="F41" s="136" t="str">
        <f>VLOOKUP(E41,VIP!$A$2:$O14157,2,0)</f>
        <v>DRBR360</v>
      </c>
      <c r="G41" s="136" t="str">
        <f>VLOOKUP(E41,'LISTADO ATM'!$A$2:$B$897,2,0)</f>
        <v>ATM Ayuntamiento Guayabal</v>
      </c>
      <c r="H41" s="136" t="str">
        <f>VLOOKUP(E41,VIP!$A$2:$O19118,7,FALSE)</f>
        <v>si</v>
      </c>
      <c r="I41" s="136" t="str">
        <f>VLOOKUP(E41,VIP!$A$2:$O11083,8,FALSE)</f>
        <v>si</v>
      </c>
      <c r="J41" s="136" t="str">
        <f>VLOOKUP(E41,VIP!$A$2:$O11033,8,FALSE)</f>
        <v>si</v>
      </c>
      <c r="K41" s="136" t="str">
        <f>VLOOKUP(E41,VIP!$A$2:$O14607,6,0)</f>
        <v>NO</v>
      </c>
      <c r="L41" s="137" t="s">
        <v>2593</v>
      </c>
      <c r="M41" s="100" t="s">
        <v>2445</v>
      </c>
      <c r="N41" s="100" t="s">
        <v>2452</v>
      </c>
      <c r="O41" s="136" t="s">
        <v>2594</v>
      </c>
      <c r="P41" s="136"/>
      <c r="Q41" s="100" t="s">
        <v>2593</v>
      </c>
    </row>
    <row r="42" spans="1:17" ht="18" x14ac:dyDescent="0.25">
      <c r="A42" s="136" t="str">
        <f>VLOOKUP(E42,'LISTADO ATM'!$A$2:$C$898,3,0)</f>
        <v>DISTRITO NACIONAL</v>
      </c>
      <c r="B42" s="132">
        <v>3335949259</v>
      </c>
      <c r="C42" s="101">
        <v>44386.591053240743</v>
      </c>
      <c r="D42" s="101" t="s">
        <v>2448</v>
      </c>
      <c r="E42" s="127">
        <v>947</v>
      </c>
      <c r="F42" s="136" t="str">
        <f>VLOOKUP(E42,VIP!$A$2:$O14211,2,0)</f>
        <v>DRBR03F</v>
      </c>
      <c r="G42" s="136" t="str">
        <f>VLOOKUP(E42,'LISTADO ATM'!$A$2:$B$897,2,0)</f>
        <v xml:space="preserve">ATM Superintendencia de Bancos </v>
      </c>
      <c r="H42" s="136" t="str">
        <f>VLOOKUP(E42,VIP!$A$2:$O19172,7,FALSE)</f>
        <v>Si</v>
      </c>
      <c r="I42" s="136" t="str">
        <f>VLOOKUP(E42,VIP!$A$2:$O11137,8,FALSE)</f>
        <v>Si</v>
      </c>
      <c r="J42" s="136" t="str">
        <f>VLOOKUP(E42,VIP!$A$2:$O11087,8,FALSE)</f>
        <v>Si</v>
      </c>
      <c r="K42" s="136" t="str">
        <f>VLOOKUP(E42,VIP!$A$2:$O14661,6,0)</f>
        <v>SI</v>
      </c>
      <c r="L42" s="137" t="s">
        <v>2417</v>
      </c>
      <c r="M42" s="100" t="s">
        <v>2445</v>
      </c>
      <c r="N42" s="100" t="s">
        <v>2452</v>
      </c>
      <c r="O42" s="136" t="s">
        <v>2453</v>
      </c>
      <c r="P42" s="100"/>
      <c r="Q42" s="100" t="s">
        <v>2417</v>
      </c>
    </row>
    <row r="43" spans="1:17" ht="18" x14ac:dyDescent="0.25">
      <c r="A43" s="136" t="str">
        <f>VLOOKUP(E43,'LISTADO ATM'!$A$2:$C$898,3,0)</f>
        <v>SUR</v>
      </c>
      <c r="B43" s="132">
        <v>3335949642</v>
      </c>
      <c r="C43" s="101">
        <v>44386.860960648148</v>
      </c>
      <c r="D43" s="101" t="s">
        <v>2469</v>
      </c>
      <c r="E43" s="127">
        <v>89</v>
      </c>
      <c r="F43" s="136" t="str">
        <f>VLOOKUP(E43,VIP!$A$2:$O14213,2,0)</f>
        <v>DRBR089</v>
      </c>
      <c r="G43" s="136" t="str">
        <f>VLOOKUP(E43,'LISTADO ATM'!$A$2:$B$897,2,0)</f>
        <v xml:space="preserve">ATM UNP El Cercado (San Juan) </v>
      </c>
      <c r="H43" s="136" t="str">
        <f>VLOOKUP(E43,VIP!$A$2:$O19174,7,FALSE)</f>
        <v>Si</v>
      </c>
      <c r="I43" s="136" t="str">
        <f>VLOOKUP(E43,VIP!$A$2:$O11139,8,FALSE)</f>
        <v>Si</v>
      </c>
      <c r="J43" s="136" t="str">
        <f>VLOOKUP(E43,VIP!$A$2:$O11089,8,FALSE)</f>
        <v>Si</v>
      </c>
      <c r="K43" s="136" t="str">
        <f>VLOOKUP(E43,VIP!$A$2:$O14663,6,0)</f>
        <v>NO</v>
      </c>
      <c r="L43" s="137" t="s">
        <v>2417</v>
      </c>
      <c r="M43" s="100" t="s">
        <v>2445</v>
      </c>
      <c r="N43" s="100" t="s">
        <v>2452</v>
      </c>
      <c r="O43" s="136" t="s">
        <v>2470</v>
      </c>
      <c r="P43" s="100"/>
      <c r="Q43" s="100" t="s">
        <v>2417</v>
      </c>
    </row>
    <row r="44" spans="1:17" ht="18" x14ac:dyDescent="0.25">
      <c r="A44" s="136" t="str">
        <f>VLOOKUP(E44,'LISTADO ATM'!$A$2:$C$898,3,0)</f>
        <v>NORTE</v>
      </c>
      <c r="B44" s="132">
        <v>3335949643</v>
      </c>
      <c r="C44" s="101">
        <v>44386.862928240742</v>
      </c>
      <c r="D44" s="101" t="s">
        <v>2469</v>
      </c>
      <c r="E44" s="127">
        <v>288</v>
      </c>
      <c r="F44" s="136" t="str">
        <f>VLOOKUP(E44,VIP!$A$2:$O14212,2,0)</f>
        <v>DRBR288</v>
      </c>
      <c r="G44" s="136" t="str">
        <f>VLOOKUP(E44,'LISTADO ATM'!$A$2:$B$897,2,0)</f>
        <v xml:space="preserve">ATM Oficina Camino Real II (Puerto Plata) </v>
      </c>
      <c r="H44" s="136" t="str">
        <f>VLOOKUP(E44,VIP!$A$2:$O19173,7,FALSE)</f>
        <v>N/A</v>
      </c>
      <c r="I44" s="136" t="str">
        <f>VLOOKUP(E44,VIP!$A$2:$O11138,8,FALSE)</f>
        <v>N/A</v>
      </c>
      <c r="J44" s="136" t="str">
        <f>VLOOKUP(E44,VIP!$A$2:$O11088,8,FALSE)</f>
        <v>N/A</v>
      </c>
      <c r="K44" s="136" t="str">
        <f>VLOOKUP(E44,VIP!$A$2:$O14662,6,0)</f>
        <v>N/A</v>
      </c>
      <c r="L44" s="137" t="s">
        <v>2417</v>
      </c>
      <c r="M44" s="100" t="s">
        <v>2445</v>
      </c>
      <c r="N44" s="100" t="s">
        <v>2452</v>
      </c>
      <c r="O44" s="136" t="s">
        <v>2470</v>
      </c>
      <c r="P44" s="100"/>
      <c r="Q44" s="100" t="s">
        <v>2417</v>
      </c>
    </row>
    <row r="45" spans="1:17" ht="18" x14ac:dyDescent="0.25">
      <c r="A45" s="136" t="str">
        <f>VLOOKUP(E45,'LISTADO ATM'!$A$2:$C$898,3,0)</f>
        <v>NORTE</v>
      </c>
      <c r="B45" s="132">
        <v>3335949644</v>
      </c>
      <c r="C45" s="101">
        <v>44386.866863425923</v>
      </c>
      <c r="D45" s="101" t="s">
        <v>2590</v>
      </c>
      <c r="E45" s="127">
        <v>599</v>
      </c>
      <c r="F45" s="136" t="str">
        <f>VLOOKUP(E45,VIP!$A$2:$O14211,2,0)</f>
        <v>DRBR258</v>
      </c>
      <c r="G45" s="136" t="str">
        <f>VLOOKUP(E45,'LISTADO ATM'!$A$2:$B$897,2,0)</f>
        <v xml:space="preserve">ATM Oficina Plaza Internacional (Santiago) </v>
      </c>
      <c r="H45" s="136" t="str">
        <f>VLOOKUP(E45,VIP!$A$2:$O19172,7,FALSE)</f>
        <v>Si</v>
      </c>
      <c r="I45" s="136" t="str">
        <f>VLOOKUP(E45,VIP!$A$2:$O11137,8,FALSE)</f>
        <v>Si</v>
      </c>
      <c r="J45" s="136" t="str">
        <f>VLOOKUP(E45,VIP!$A$2:$O11087,8,FALSE)</f>
        <v>Si</v>
      </c>
      <c r="K45" s="136" t="str">
        <f>VLOOKUP(E45,VIP!$A$2:$O14661,6,0)</f>
        <v>NO</v>
      </c>
      <c r="L45" s="137" t="s">
        <v>2417</v>
      </c>
      <c r="M45" s="100" t="s">
        <v>2445</v>
      </c>
      <c r="N45" s="100" t="s">
        <v>2452</v>
      </c>
      <c r="O45" s="136" t="s">
        <v>2596</v>
      </c>
      <c r="P45" s="100"/>
      <c r="Q45" s="100" t="s">
        <v>2417</v>
      </c>
    </row>
    <row r="46" spans="1:17" ht="18" x14ac:dyDescent="0.25">
      <c r="A46" s="136" t="str">
        <f>VLOOKUP(E46,'LISTADO ATM'!$A$2:$C$898,3,0)</f>
        <v>DISTRITO NACIONAL</v>
      </c>
      <c r="B46" s="132">
        <v>3335949645</v>
      </c>
      <c r="C46" s="101">
        <v>44386.873356481483</v>
      </c>
      <c r="D46" s="101" t="s">
        <v>2448</v>
      </c>
      <c r="E46" s="127">
        <v>955</v>
      </c>
      <c r="F46" s="136" t="str">
        <f>VLOOKUP(E46,VIP!$A$2:$O14210,2,0)</f>
        <v>DRBR955</v>
      </c>
      <c r="G46" s="136" t="str">
        <f>VLOOKUP(E46,'LISTADO ATM'!$A$2:$B$897,2,0)</f>
        <v xml:space="preserve">ATM Oficina Americana Independencia II </v>
      </c>
      <c r="H46" s="136" t="str">
        <f>VLOOKUP(E46,VIP!$A$2:$O19171,7,FALSE)</f>
        <v>Si</v>
      </c>
      <c r="I46" s="136" t="str">
        <f>VLOOKUP(E46,VIP!$A$2:$O11136,8,FALSE)</f>
        <v>Si</v>
      </c>
      <c r="J46" s="136" t="str">
        <f>VLOOKUP(E46,VIP!$A$2:$O11086,8,FALSE)</f>
        <v>Si</v>
      </c>
      <c r="K46" s="136" t="str">
        <f>VLOOKUP(E46,VIP!$A$2:$O14660,6,0)</f>
        <v>NO</v>
      </c>
      <c r="L46" s="137" t="s">
        <v>2417</v>
      </c>
      <c r="M46" s="100" t="s">
        <v>2445</v>
      </c>
      <c r="N46" s="100" t="s">
        <v>2452</v>
      </c>
      <c r="O46" s="136" t="s">
        <v>2453</v>
      </c>
      <c r="P46" s="100"/>
      <c r="Q46" s="100" t="s">
        <v>2417</v>
      </c>
    </row>
    <row r="47" spans="1:17" ht="18" x14ac:dyDescent="0.25">
      <c r="A47" s="136" t="str">
        <f>VLOOKUP(E47,'LISTADO ATM'!$A$2:$C$898,3,0)</f>
        <v>DISTRITO NACIONAL</v>
      </c>
      <c r="B47" s="132">
        <v>3335949484</v>
      </c>
      <c r="C47" s="101">
        <v>44386.686874999999</v>
      </c>
      <c r="D47" s="101" t="s">
        <v>2180</v>
      </c>
      <c r="E47" s="127">
        <v>696</v>
      </c>
      <c r="F47" s="136" t="str">
        <f>VLOOKUP(E47,VIP!$A$2:$O14208,2,0)</f>
        <v>DRBR696</v>
      </c>
      <c r="G47" s="136" t="str">
        <f>VLOOKUP(E47,'LISTADO ATM'!$A$2:$B$897,2,0)</f>
        <v>ATM Olé Jacobo Majluta</v>
      </c>
      <c r="H47" s="136" t="str">
        <f>VLOOKUP(E47,VIP!$A$2:$O19169,7,FALSE)</f>
        <v>Si</v>
      </c>
      <c r="I47" s="136" t="str">
        <f>VLOOKUP(E47,VIP!$A$2:$O11134,8,FALSE)</f>
        <v>Si</v>
      </c>
      <c r="J47" s="136" t="str">
        <f>VLOOKUP(E47,VIP!$A$2:$O11084,8,FALSE)</f>
        <v>Si</v>
      </c>
      <c r="K47" s="136" t="str">
        <f>VLOOKUP(E47,VIP!$A$2:$O14658,6,0)</f>
        <v>NO</v>
      </c>
      <c r="L47" s="137" t="s">
        <v>2465</v>
      </c>
      <c r="M47" s="100" t="s">
        <v>2445</v>
      </c>
      <c r="N47" s="100" t="s">
        <v>2452</v>
      </c>
      <c r="O47" s="136" t="s">
        <v>2454</v>
      </c>
      <c r="P47" s="100"/>
      <c r="Q47" s="100" t="s">
        <v>2465</v>
      </c>
    </row>
    <row r="48" spans="1:17" ht="18" x14ac:dyDescent="0.25">
      <c r="A48" s="136" t="str">
        <f>VLOOKUP(E48,'LISTADO ATM'!$A$2:$C$898,3,0)</f>
        <v>DISTRITO NACIONAL</v>
      </c>
      <c r="B48" s="132">
        <v>3335949487</v>
      </c>
      <c r="C48" s="101">
        <v>44386.687731481485</v>
      </c>
      <c r="D48" s="101" t="s">
        <v>2180</v>
      </c>
      <c r="E48" s="127">
        <v>879</v>
      </c>
      <c r="F48" s="136" t="str">
        <f>VLOOKUP(E48,VIP!$A$2:$O14207,2,0)</f>
        <v>DRBR879</v>
      </c>
      <c r="G48" s="136" t="str">
        <f>VLOOKUP(E48,'LISTADO ATM'!$A$2:$B$897,2,0)</f>
        <v xml:space="preserve">ATM Plaza Metropolitana </v>
      </c>
      <c r="H48" s="136" t="str">
        <f>VLOOKUP(E48,VIP!$A$2:$O19168,7,FALSE)</f>
        <v>Si</v>
      </c>
      <c r="I48" s="136" t="str">
        <f>VLOOKUP(E48,VIP!$A$2:$O11133,8,FALSE)</f>
        <v>Si</v>
      </c>
      <c r="J48" s="136" t="str">
        <f>VLOOKUP(E48,VIP!$A$2:$O11083,8,FALSE)</f>
        <v>Si</v>
      </c>
      <c r="K48" s="136" t="str">
        <f>VLOOKUP(E48,VIP!$A$2:$O14657,6,0)</f>
        <v>NO</v>
      </c>
      <c r="L48" s="137" t="s">
        <v>2465</v>
      </c>
      <c r="M48" s="100" t="s">
        <v>2445</v>
      </c>
      <c r="N48" s="100" t="s">
        <v>2452</v>
      </c>
      <c r="O48" s="136" t="s">
        <v>2454</v>
      </c>
      <c r="P48" s="100"/>
      <c r="Q48" s="100" t="s">
        <v>2465</v>
      </c>
    </row>
    <row r="49" spans="1:17" ht="18" x14ac:dyDescent="0.25">
      <c r="A49" s="136" t="str">
        <f>VLOOKUP(E49,'LISTADO ATM'!$A$2:$C$898,3,0)</f>
        <v>DISTRITO NACIONAL</v>
      </c>
      <c r="B49" s="132">
        <v>3335949489</v>
      </c>
      <c r="C49" s="101">
        <v>44386.68886574074</v>
      </c>
      <c r="D49" s="101" t="s">
        <v>2180</v>
      </c>
      <c r="E49" s="127">
        <v>932</v>
      </c>
      <c r="F49" s="136" t="str">
        <f>VLOOKUP(E49,VIP!$A$2:$O14206,2,0)</f>
        <v>DRBR01E</v>
      </c>
      <c r="G49" s="136" t="str">
        <f>VLOOKUP(E49,'LISTADO ATM'!$A$2:$B$897,2,0)</f>
        <v xml:space="preserve">ATM Banco Agrícola </v>
      </c>
      <c r="H49" s="136" t="str">
        <f>VLOOKUP(E49,VIP!$A$2:$O19167,7,FALSE)</f>
        <v>Si</v>
      </c>
      <c r="I49" s="136" t="str">
        <f>VLOOKUP(E49,VIP!$A$2:$O11132,8,FALSE)</f>
        <v>Si</v>
      </c>
      <c r="J49" s="136" t="str">
        <f>VLOOKUP(E49,VIP!$A$2:$O11082,8,FALSE)</f>
        <v>Si</v>
      </c>
      <c r="K49" s="136" t="str">
        <f>VLOOKUP(E49,VIP!$A$2:$O14656,6,0)</f>
        <v>NO</v>
      </c>
      <c r="L49" s="137" t="s">
        <v>2465</v>
      </c>
      <c r="M49" s="100" t="s">
        <v>2445</v>
      </c>
      <c r="N49" s="100" t="s">
        <v>2452</v>
      </c>
      <c r="O49" s="136" t="s">
        <v>2454</v>
      </c>
      <c r="P49" s="100"/>
      <c r="Q49" s="100" t="s">
        <v>2465</v>
      </c>
    </row>
    <row r="50" spans="1:17" ht="18" x14ac:dyDescent="0.25">
      <c r="A50" s="136" t="str">
        <f>VLOOKUP(E50,'LISTADO ATM'!$A$2:$C$898,3,0)</f>
        <v>NORTE</v>
      </c>
      <c r="B50" s="132">
        <v>3335949603</v>
      </c>
      <c r="C50" s="101">
        <v>44386.769212962965</v>
      </c>
      <c r="D50" s="101" t="s">
        <v>2181</v>
      </c>
      <c r="E50" s="127">
        <v>291</v>
      </c>
      <c r="F50" s="136" t="str">
        <f>VLOOKUP(E50,VIP!$A$2:$O14207,2,0)</f>
        <v>DRBR291</v>
      </c>
      <c r="G50" s="136" t="str">
        <f>VLOOKUP(E50,'LISTADO ATM'!$A$2:$B$897,2,0)</f>
        <v xml:space="preserve">ATM S/M Jumbo Las Colinas </v>
      </c>
      <c r="H50" s="136" t="str">
        <f>VLOOKUP(E50,VIP!$A$2:$O19168,7,FALSE)</f>
        <v>Si</v>
      </c>
      <c r="I50" s="136" t="str">
        <f>VLOOKUP(E50,VIP!$A$2:$O11133,8,FALSE)</f>
        <v>Si</v>
      </c>
      <c r="J50" s="136" t="str">
        <f>VLOOKUP(E50,VIP!$A$2:$O11083,8,FALSE)</f>
        <v>Si</v>
      </c>
      <c r="K50" s="136" t="str">
        <f>VLOOKUP(E50,VIP!$A$2:$O14657,6,0)</f>
        <v>NO</v>
      </c>
      <c r="L50" s="137" t="s">
        <v>2465</v>
      </c>
      <c r="M50" s="100" t="s">
        <v>2445</v>
      </c>
      <c r="N50" s="100" t="s">
        <v>2452</v>
      </c>
      <c r="O50" s="136" t="s">
        <v>2587</v>
      </c>
      <c r="P50" s="100"/>
      <c r="Q50" s="100" t="s">
        <v>2465</v>
      </c>
    </row>
    <row r="51" spans="1:17" ht="18" x14ac:dyDescent="0.25">
      <c r="A51" s="136" t="str">
        <f>VLOOKUP(E51,'LISTADO ATM'!$A$2:$C$898,3,0)</f>
        <v>NORTE</v>
      </c>
      <c r="B51" s="132">
        <v>3335949605</v>
      </c>
      <c r="C51" s="101">
        <v>44386.77144675926</v>
      </c>
      <c r="D51" s="101" t="s">
        <v>2181</v>
      </c>
      <c r="E51" s="127">
        <v>944</v>
      </c>
      <c r="F51" s="136" t="str">
        <f>VLOOKUP(E51,VIP!$A$2:$O14206,2,0)</f>
        <v>DRBR944</v>
      </c>
      <c r="G51" s="136" t="str">
        <f>VLOOKUP(E51,'LISTADO ATM'!$A$2:$B$897,2,0)</f>
        <v xml:space="preserve">ATM UNP Mao </v>
      </c>
      <c r="H51" s="136" t="str">
        <f>VLOOKUP(E51,VIP!$A$2:$O19167,7,FALSE)</f>
        <v>Si</v>
      </c>
      <c r="I51" s="136" t="str">
        <f>VLOOKUP(E51,VIP!$A$2:$O11132,8,FALSE)</f>
        <v>Si</v>
      </c>
      <c r="J51" s="136" t="str">
        <f>VLOOKUP(E51,VIP!$A$2:$O11082,8,FALSE)</f>
        <v>Si</v>
      </c>
      <c r="K51" s="136" t="str">
        <f>VLOOKUP(E51,VIP!$A$2:$O14656,6,0)</f>
        <v>NO</v>
      </c>
      <c r="L51" s="137" t="s">
        <v>2465</v>
      </c>
      <c r="M51" s="100" t="s">
        <v>2445</v>
      </c>
      <c r="N51" s="100" t="s">
        <v>2452</v>
      </c>
      <c r="O51" s="136" t="s">
        <v>2587</v>
      </c>
      <c r="P51" s="100"/>
      <c r="Q51" s="100" t="s">
        <v>2465</v>
      </c>
    </row>
    <row r="52" spans="1:17" ht="18" x14ac:dyDescent="0.25">
      <c r="A52" s="136" t="str">
        <f>VLOOKUP(E52,'LISTADO ATM'!$A$2:$C$898,3,0)</f>
        <v>DISTRITO NACIONAL</v>
      </c>
      <c r="B52" s="132">
        <v>3335949622</v>
      </c>
      <c r="C52" s="101">
        <v>44386.811307870368</v>
      </c>
      <c r="D52" s="101" t="s">
        <v>2180</v>
      </c>
      <c r="E52" s="127">
        <v>663</v>
      </c>
      <c r="F52" s="136" t="str">
        <f>VLOOKUP(E52,VIP!$A$2:$O14206,2,0)</f>
        <v>DRBR663</v>
      </c>
      <c r="G52" s="136" t="str">
        <f>VLOOKUP(E52,'LISTADO ATM'!$A$2:$B$897,2,0)</f>
        <v>ATM S/M Olé Av. España</v>
      </c>
      <c r="H52" s="136" t="str">
        <f>VLOOKUP(E52,VIP!$A$2:$O19167,7,FALSE)</f>
        <v>N/A</v>
      </c>
      <c r="I52" s="136" t="str">
        <f>VLOOKUP(E52,VIP!$A$2:$O11132,8,FALSE)</f>
        <v>N/A</v>
      </c>
      <c r="J52" s="136" t="str">
        <f>VLOOKUP(E52,VIP!$A$2:$O11082,8,FALSE)</f>
        <v>N/A</v>
      </c>
      <c r="K52" s="136" t="str">
        <f>VLOOKUP(E52,VIP!$A$2:$O14656,6,0)</f>
        <v>N/A</v>
      </c>
      <c r="L52" s="137" t="s">
        <v>2465</v>
      </c>
      <c r="M52" s="100" t="s">
        <v>2445</v>
      </c>
      <c r="N52" s="100" t="s">
        <v>2452</v>
      </c>
      <c r="O52" s="136" t="s">
        <v>2454</v>
      </c>
      <c r="P52" s="100"/>
      <c r="Q52" s="100" t="s">
        <v>2465</v>
      </c>
    </row>
    <row r="53" spans="1:17" ht="18" x14ac:dyDescent="0.25">
      <c r="A53" s="136" t="str">
        <f>VLOOKUP(E53,'LISTADO ATM'!$A$2:$C$898,3,0)</f>
        <v>DISTRITO NACIONAL</v>
      </c>
      <c r="B53" s="132">
        <v>3335949623</v>
      </c>
      <c r="C53" s="101">
        <v>44386.814398148148</v>
      </c>
      <c r="D53" s="101" t="s">
        <v>2180</v>
      </c>
      <c r="E53" s="127">
        <v>302</v>
      </c>
      <c r="F53" s="136" t="str">
        <f>VLOOKUP(E53,VIP!$A$2:$O14224,2,0)</f>
        <v>DRBR302</v>
      </c>
      <c r="G53" s="136" t="str">
        <f>VLOOKUP(E53,'LISTADO ATM'!$A$2:$B$897,2,0)</f>
        <v xml:space="preserve">ATM S/M Aprezio Los Mameyes  </v>
      </c>
      <c r="H53" s="136" t="str">
        <f>VLOOKUP(E53,VIP!$A$2:$O19185,7,FALSE)</f>
        <v>Si</v>
      </c>
      <c r="I53" s="136" t="str">
        <f>VLOOKUP(E53,VIP!$A$2:$O11150,8,FALSE)</f>
        <v>Si</v>
      </c>
      <c r="J53" s="136" t="str">
        <f>VLOOKUP(E53,VIP!$A$2:$O11100,8,FALSE)</f>
        <v>Si</v>
      </c>
      <c r="K53" s="136" t="str">
        <f>VLOOKUP(E53,VIP!$A$2:$O14674,6,0)</f>
        <v>NO</v>
      </c>
      <c r="L53" s="137" t="s">
        <v>2465</v>
      </c>
      <c r="M53" s="100" t="s">
        <v>2445</v>
      </c>
      <c r="N53" s="100" t="s">
        <v>2452</v>
      </c>
      <c r="O53" s="136" t="s">
        <v>2454</v>
      </c>
      <c r="P53" s="100"/>
      <c r="Q53" s="100" t="s">
        <v>2465</v>
      </c>
    </row>
    <row r="54" spans="1:17" ht="18" x14ac:dyDescent="0.25">
      <c r="A54" s="136" t="str">
        <f>VLOOKUP(E54,'LISTADO ATM'!$A$2:$C$898,3,0)</f>
        <v>NORTE</v>
      </c>
      <c r="B54" s="132">
        <v>3335949626</v>
      </c>
      <c r="C54" s="101">
        <v>44386.821412037039</v>
      </c>
      <c r="D54" s="101" t="s">
        <v>2181</v>
      </c>
      <c r="E54" s="127">
        <v>372</v>
      </c>
      <c r="F54" s="136" t="str">
        <f>VLOOKUP(E54,VIP!$A$2:$O14221,2,0)</f>
        <v>DRBR372</v>
      </c>
      <c r="G54" s="136" t="str">
        <f>VLOOKUP(E54,'LISTADO ATM'!$A$2:$B$897,2,0)</f>
        <v>ATM Oficina Sánchez II</v>
      </c>
      <c r="H54" s="136" t="str">
        <f>VLOOKUP(E54,VIP!$A$2:$O19182,7,FALSE)</f>
        <v>N/A</v>
      </c>
      <c r="I54" s="136" t="str">
        <f>VLOOKUP(E54,VIP!$A$2:$O11147,8,FALSE)</f>
        <v>N/A</v>
      </c>
      <c r="J54" s="136" t="str">
        <f>VLOOKUP(E54,VIP!$A$2:$O11097,8,FALSE)</f>
        <v>N/A</v>
      </c>
      <c r="K54" s="136" t="str">
        <f>VLOOKUP(E54,VIP!$A$2:$O14671,6,0)</f>
        <v>N/A</v>
      </c>
      <c r="L54" s="137" t="s">
        <v>2465</v>
      </c>
      <c r="M54" s="100" t="s">
        <v>2445</v>
      </c>
      <c r="N54" s="100" t="s">
        <v>2452</v>
      </c>
      <c r="O54" s="136" t="s">
        <v>2587</v>
      </c>
      <c r="P54" s="100"/>
      <c r="Q54" s="100" t="s">
        <v>2465</v>
      </c>
    </row>
    <row r="55" spans="1:17" ht="18" x14ac:dyDescent="0.25">
      <c r="A55" s="136" t="str">
        <f>VLOOKUP(E55,'LISTADO ATM'!$A$2:$C$898,3,0)</f>
        <v>DISTRITO NACIONAL</v>
      </c>
      <c r="B55" s="132">
        <v>3335949630</v>
      </c>
      <c r="C55" s="101">
        <v>44386.824560185189</v>
      </c>
      <c r="D55" s="101" t="s">
        <v>2180</v>
      </c>
      <c r="E55" s="127">
        <v>527</v>
      </c>
      <c r="F55" s="136" t="str">
        <f>VLOOKUP(E55,VIP!$A$2:$O14220,2,0)</f>
        <v>DRBR527</v>
      </c>
      <c r="G55" s="136" t="str">
        <f>VLOOKUP(E55,'LISTADO ATM'!$A$2:$B$897,2,0)</f>
        <v>ATM Oficina Zona Oriental II</v>
      </c>
      <c r="H55" s="136" t="str">
        <f>VLOOKUP(E55,VIP!$A$2:$O19181,7,FALSE)</f>
        <v>Si</v>
      </c>
      <c r="I55" s="136" t="str">
        <f>VLOOKUP(E55,VIP!$A$2:$O11146,8,FALSE)</f>
        <v>Si</v>
      </c>
      <c r="J55" s="136" t="str">
        <f>VLOOKUP(E55,VIP!$A$2:$O11096,8,FALSE)</f>
        <v>Si</v>
      </c>
      <c r="K55" s="136" t="str">
        <f>VLOOKUP(E55,VIP!$A$2:$O14670,6,0)</f>
        <v>SI</v>
      </c>
      <c r="L55" s="137" t="s">
        <v>2465</v>
      </c>
      <c r="M55" s="100" t="s">
        <v>2445</v>
      </c>
      <c r="N55" s="100" t="s">
        <v>2452</v>
      </c>
      <c r="O55" s="136" t="s">
        <v>2454</v>
      </c>
      <c r="P55" s="100"/>
      <c r="Q55" s="100" t="s">
        <v>2465</v>
      </c>
    </row>
    <row r="56" spans="1:17" ht="18" x14ac:dyDescent="0.25">
      <c r="A56" s="136" t="str">
        <f>VLOOKUP(E56,'LISTADO ATM'!$A$2:$C$898,3,0)</f>
        <v>SUR</v>
      </c>
      <c r="B56" s="132">
        <v>3335949633</v>
      </c>
      <c r="C56" s="101">
        <v>44386.825775462959</v>
      </c>
      <c r="D56" s="101" t="s">
        <v>2180</v>
      </c>
      <c r="E56" s="127">
        <v>880</v>
      </c>
      <c r="F56" s="136" t="str">
        <f>VLOOKUP(E56,VIP!$A$2:$O14219,2,0)</f>
        <v>DRBR880</v>
      </c>
      <c r="G56" s="136" t="str">
        <f>VLOOKUP(E56,'LISTADO ATM'!$A$2:$B$897,2,0)</f>
        <v xml:space="preserve">ATM Autoservicio Barahona II </v>
      </c>
      <c r="H56" s="136" t="str">
        <f>VLOOKUP(E56,VIP!$A$2:$O19180,7,FALSE)</f>
        <v>Si</v>
      </c>
      <c r="I56" s="136" t="str">
        <f>VLOOKUP(E56,VIP!$A$2:$O11145,8,FALSE)</f>
        <v>Si</v>
      </c>
      <c r="J56" s="136" t="str">
        <f>VLOOKUP(E56,VIP!$A$2:$O11095,8,FALSE)</f>
        <v>Si</v>
      </c>
      <c r="K56" s="136" t="str">
        <f>VLOOKUP(E56,VIP!$A$2:$O14669,6,0)</f>
        <v>SI</v>
      </c>
      <c r="L56" s="137" t="s">
        <v>2465</v>
      </c>
      <c r="M56" s="100" t="s">
        <v>2445</v>
      </c>
      <c r="N56" s="100" t="s">
        <v>2452</v>
      </c>
      <c r="O56" s="136" t="s">
        <v>2454</v>
      </c>
      <c r="P56" s="100"/>
      <c r="Q56" s="100" t="s">
        <v>2465</v>
      </c>
    </row>
    <row r="57" spans="1:17" ht="18" x14ac:dyDescent="0.25">
      <c r="A57" s="136" t="str">
        <f>VLOOKUP(E57,'LISTADO ATM'!$A$2:$C$898,3,0)</f>
        <v>SUR</v>
      </c>
      <c r="B57" s="132">
        <v>3335949636</v>
      </c>
      <c r="C57" s="101">
        <v>44386.829467592594</v>
      </c>
      <c r="D57" s="101" t="s">
        <v>2180</v>
      </c>
      <c r="E57" s="127">
        <v>780</v>
      </c>
      <c r="F57" s="136" t="str">
        <f>VLOOKUP(E57,VIP!$A$2:$O14218,2,0)</f>
        <v>DRBR041</v>
      </c>
      <c r="G57" s="136" t="str">
        <f>VLOOKUP(E57,'LISTADO ATM'!$A$2:$B$897,2,0)</f>
        <v xml:space="preserve">ATM Oficina Barahona I </v>
      </c>
      <c r="H57" s="136" t="str">
        <f>VLOOKUP(E57,VIP!$A$2:$O19179,7,FALSE)</f>
        <v>Si</v>
      </c>
      <c r="I57" s="136" t="str">
        <f>VLOOKUP(E57,VIP!$A$2:$O11144,8,FALSE)</f>
        <v>Si</v>
      </c>
      <c r="J57" s="136" t="str">
        <f>VLOOKUP(E57,VIP!$A$2:$O11094,8,FALSE)</f>
        <v>Si</v>
      </c>
      <c r="K57" s="136" t="str">
        <f>VLOOKUP(E57,VIP!$A$2:$O14668,6,0)</f>
        <v>SI</v>
      </c>
      <c r="L57" s="137" t="s">
        <v>2465</v>
      </c>
      <c r="M57" s="100" t="s">
        <v>2445</v>
      </c>
      <c r="N57" s="100" t="s">
        <v>2452</v>
      </c>
      <c r="O57" s="136" t="s">
        <v>2454</v>
      </c>
      <c r="P57" s="100"/>
      <c r="Q57" s="100" t="s">
        <v>2465</v>
      </c>
    </row>
    <row r="58" spans="1:17" ht="18" x14ac:dyDescent="0.25">
      <c r="A58" s="136" t="str">
        <f>VLOOKUP(E58,'LISTADO ATM'!$A$2:$C$898,3,0)</f>
        <v>DISTRITO NACIONAL</v>
      </c>
      <c r="B58" s="132">
        <v>3335949638</v>
      </c>
      <c r="C58" s="101">
        <v>44386.839745370373</v>
      </c>
      <c r="D58" s="101" t="s">
        <v>2180</v>
      </c>
      <c r="E58" s="127">
        <v>525</v>
      </c>
      <c r="F58" s="136" t="str">
        <f>VLOOKUP(E58,VIP!$A$2:$O14217,2,0)</f>
        <v>DRBR525</v>
      </c>
      <c r="G58" s="136" t="str">
        <f>VLOOKUP(E58,'LISTADO ATM'!$A$2:$B$897,2,0)</f>
        <v>ATM S/M Bravo Las Americas</v>
      </c>
      <c r="H58" s="136" t="str">
        <f>VLOOKUP(E58,VIP!$A$2:$O19178,7,FALSE)</f>
        <v>Si</v>
      </c>
      <c r="I58" s="136" t="str">
        <f>VLOOKUP(E58,VIP!$A$2:$O11143,8,FALSE)</f>
        <v>Si</v>
      </c>
      <c r="J58" s="136" t="str">
        <f>VLOOKUP(E58,VIP!$A$2:$O11093,8,FALSE)</f>
        <v>Si</v>
      </c>
      <c r="K58" s="136" t="str">
        <f>VLOOKUP(E58,VIP!$A$2:$O14667,6,0)</f>
        <v>NO</v>
      </c>
      <c r="L58" s="137" t="s">
        <v>2465</v>
      </c>
      <c r="M58" s="100" t="s">
        <v>2445</v>
      </c>
      <c r="N58" s="100" t="s">
        <v>2452</v>
      </c>
      <c r="O58" s="136" t="s">
        <v>2454</v>
      </c>
      <c r="P58" s="100"/>
      <c r="Q58" s="100" t="s">
        <v>2465</v>
      </c>
    </row>
    <row r="59" spans="1:17" ht="18.75" customHeight="1" x14ac:dyDescent="0.25">
      <c r="A59" s="136" t="str">
        <f>VLOOKUP(E59,'LISTADO ATM'!$A$2:$C$898,3,0)</f>
        <v>DISTRITO NACIONAL</v>
      </c>
      <c r="B59" s="132">
        <v>3335949639</v>
      </c>
      <c r="C59" s="101">
        <v>44386.841261574074</v>
      </c>
      <c r="D59" s="101" t="s">
        <v>2180</v>
      </c>
      <c r="E59" s="127">
        <v>235</v>
      </c>
      <c r="F59" s="136" t="str">
        <f>VLOOKUP(E59,VIP!$A$2:$O14216,2,0)</f>
        <v>DRBR235</v>
      </c>
      <c r="G59" s="136" t="str">
        <f>VLOOKUP(E59,'LISTADO ATM'!$A$2:$B$897,2,0)</f>
        <v xml:space="preserve">ATM Oficina Multicentro La Sirena San Isidro </v>
      </c>
      <c r="H59" s="136" t="str">
        <f>VLOOKUP(E59,VIP!$A$2:$O19177,7,FALSE)</f>
        <v>Si</v>
      </c>
      <c r="I59" s="136" t="str">
        <f>VLOOKUP(E59,VIP!$A$2:$O11142,8,FALSE)</f>
        <v>Si</v>
      </c>
      <c r="J59" s="136" t="str">
        <f>VLOOKUP(E59,VIP!$A$2:$O11092,8,FALSE)</f>
        <v>Si</v>
      </c>
      <c r="K59" s="136" t="str">
        <f>VLOOKUP(E59,VIP!$A$2:$O14666,6,0)</f>
        <v>SI</v>
      </c>
      <c r="L59" s="137" t="s">
        <v>2465</v>
      </c>
      <c r="M59" s="100" t="s">
        <v>2445</v>
      </c>
      <c r="N59" s="100" t="s">
        <v>2452</v>
      </c>
      <c r="O59" s="136" t="s">
        <v>2454</v>
      </c>
      <c r="P59" s="100"/>
      <c r="Q59" s="100" t="s">
        <v>2465</v>
      </c>
    </row>
    <row r="60" spans="1:17" ht="18" x14ac:dyDescent="0.25">
      <c r="A60" s="136" t="str">
        <f>VLOOKUP(E60,'LISTADO ATM'!$A$2:$C$898,3,0)</f>
        <v>DISTRITO NACIONAL</v>
      </c>
      <c r="B60" s="132">
        <v>3335949640</v>
      </c>
      <c r="C60" s="101">
        <v>44386.843148148146</v>
      </c>
      <c r="D60" s="101" t="s">
        <v>2180</v>
      </c>
      <c r="E60" s="127">
        <v>883</v>
      </c>
      <c r="F60" s="136" t="str">
        <f>VLOOKUP(E60,VIP!$A$2:$O14215,2,0)</f>
        <v>DRBR883</v>
      </c>
      <c r="G60" s="136" t="str">
        <f>VLOOKUP(E60,'LISTADO ATM'!$A$2:$B$897,2,0)</f>
        <v xml:space="preserve">ATM Oficina Filadelfia Plaza </v>
      </c>
      <c r="H60" s="136" t="str">
        <f>VLOOKUP(E60,VIP!$A$2:$O19176,7,FALSE)</f>
        <v>Si</v>
      </c>
      <c r="I60" s="136" t="str">
        <f>VLOOKUP(E60,VIP!$A$2:$O11141,8,FALSE)</f>
        <v>Si</v>
      </c>
      <c r="J60" s="136" t="str">
        <f>VLOOKUP(E60,VIP!$A$2:$O11091,8,FALSE)</f>
        <v>Si</v>
      </c>
      <c r="K60" s="136" t="str">
        <f>VLOOKUP(E60,VIP!$A$2:$O14665,6,0)</f>
        <v>NO</v>
      </c>
      <c r="L60" s="137" t="s">
        <v>2465</v>
      </c>
      <c r="M60" s="100" t="s">
        <v>2445</v>
      </c>
      <c r="N60" s="100" t="s">
        <v>2452</v>
      </c>
      <c r="O60" s="136" t="s">
        <v>2454</v>
      </c>
      <c r="P60" s="100"/>
      <c r="Q60" s="100" t="s">
        <v>2465</v>
      </c>
    </row>
    <row r="61" spans="1:17" s="111" customFormat="1" ht="18" x14ac:dyDescent="0.25">
      <c r="A61" s="136" t="str">
        <f>VLOOKUP(E61,'LISTADO ATM'!$A$2:$C$898,3,0)</f>
        <v>ESTE</v>
      </c>
      <c r="B61" s="132">
        <v>3335949641</v>
      </c>
      <c r="C61" s="101">
        <v>44386.851620370369</v>
      </c>
      <c r="D61" s="101" t="s">
        <v>2180</v>
      </c>
      <c r="E61" s="127">
        <v>934</v>
      </c>
      <c r="F61" s="136" t="str">
        <f>VLOOKUP(E61,VIP!$A$2:$O14214,2,0)</f>
        <v>DRBR934</v>
      </c>
      <c r="G61" s="136" t="str">
        <f>VLOOKUP(E61,'LISTADO ATM'!$A$2:$B$897,2,0)</f>
        <v>ATM Hotel Dreams La Romana</v>
      </c>
      <c r="H61" s="136" t="str">
        <f>VLOOKUP(E61,VIP!$A$2:$O19175,7,FALSE)</f>
        <v>Si</v>
      </c>
      <c r="I61" s="136" t="str">
        <f>VLOOKUP(E61,VIP!$A$2:$O11140,8,FALSE)</f>
        <v>Si</v>
      </c>
      <c r="J61" s="136" t="str">
        <f>VLOOKUP(E61,VIP!$A$2:$O11090,8,FALSE)</f>
        <v>Si</v>
      </c>
      <c r="K61" s="136" t="str">
        <f>VLOOKUP(E61,VIP!$A$2:$O14664,6,0)</f>
        <v>NO</v>
      </c>
      <c r="L61" s="137" t="s">
        <v>2465</v>
      </c>
      <c r="M61" s="100" t="s">
        <v>2445</v>
      </c>
      <c r="N61" s="100" t="s">
        <v>2452</v>
      </c>
      <c r="O61" s="136" t="s">
        <v>2454</v>
      </c>
      <c r="P61" s="100"/>
      <c r="Q61" s="100" t="s">
        <v>2465</v>
      </c>
    </row>
    <row r="62" spans="1:17" s="111" customFormat="1" ht="18" x14ac:dyDescent="0.25">
      <c r="A62" s="136" t="str">
        <f>VLOOKUP(E62,'LISTADO ATM'!$A$2:$C$898,3,0)</f>
        <v>DISTRITO NACIONAL</v>
      </c>
      <c r="B62" s="132">
        <v>3335949649</v>
      </c>
      <c r="C62" s="101">
        <v>44386.896898148145</v>
      </c>
      <c r="D62" s="101" t="s">
        <v>2180</v>
      </c>
      <c r="E62" s="127">
        <v>868</v>
      </c>
      <c r="F62" s="136" t="str">
        <f>VLOOKUP(E62,VIP!$A$2:$O14209,2,0)</f>
        <v>DRBR868</v>
      </c>
      <c r="G62" s="136" t="str">
        <f>VLOOKUP(E62,'LISTADO ATM'!$A$2:$B$897,2,0)</f>
        <v xml:space="preserve">ATM Casino Diamante </v>
      </c>
      <c r="H62" s="136" t="str">
        <f>VLOOKUP(E62,VIP!$A$2:$O19170,7,FALSE)</f>
        <v>Si</v>
      </c>
      <c r="I62" s="136" t="str">
        <f>VLOOKUP(E62,VIP!$A$2:$O11135,8,FALSE)</f>
        <v>Si</v>
      </c>
      <c r="J62" s="136" t="str">
        <f>VLOOKUP(E62,VIP!$A$2:$O11085,8,FALSE)</f>
        <v>Si</v>
      </c>
      <c r="K62" s="136" t="str">
        <f>VLOOKUP(E62,VIP!$A$2:$O14659,6,0)</f>
        <v>NO</v>
      </c>
      <c r="L62" s="137" t="s">
        <v>2465</v>
      </c>
      <c r="M62" s="100" t="s">
        <v>2445</v>
      </c>
      <c r="N62" s="100" t="s">
        <v>2452</v>
      </c>
      <c r="O62" s="136" t="s">
        <v>2454</v>
      </c>
      <c r="P62" s="100"/>
      <c r="Q62" s="100" t="s">
        <v>2465</v>
      </c>
    </row>
  </sheetData>
  <autoFilter ref="A4:Q4">
    <sortState ref="A5:Q62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3:B1048576 B6:B60 B1:B4">
    <cfRule type="duplicateValues" dxfId="251" priority="146656"/>
  </conditionalFormatting>
  <conditionalFormatting sqref="B63:B1048576 B6:B60">
    <cfRule type="duplicateValues" dxfId="250" priority="146660"/>
  </conditionalFormatting>
  <conditionalFormatting sqref="B63:B1048576 B6:B60 B1:B4">
    <cfRule type="duplicateValues" dxfId="249" priority="146663"/>
    <cfRule type="duplicateValues" dxfId="248" priority="146664"/>
    <cfRule type="duplicateValues" dxfId="247" priority="146665"/>
  </conditionalFormatting>
  <conditionalFormatting sqref="E63:E1048576 E16:E60">
    <cfRule type="duplicateValues" dxfId="246" priority="152107"/>
  </conditionalFormatting>
  <conditionalFormatting sqref="E63:E1048576 E16:E60 E1:E4">
    <cfRule type="duplicateValues" dxfId="245" priority="152109"/>
  </conditionalFormatting>
  <conditionalFormatting sqref="E63:E1048576 E16:E60 E1:E4">
    <cfRule type="duplicateValues" dxfId="244" priority="152112"/>
    <cfRule type="duplicateValues" dxfId="243" priority="152113"/>
  </conditionalFormatting>
  <conditionalFormatting sqref="E63:E1048576 E16:E60 E1:E4">
    <cfRule type="duplicateValues" dxfId="242" priority="152118"/>
    <cfRule type="duplicateValues" dxfId="241" priority="152119"/>
    <cfRule type="duplicateValues" dxfId="240" priority="152120"/>
  </conditionalFormatting>
  <conditionalFormatting sqref="E63:E1048576 E16:E60 E1:E4">
    <cfRule type="duplicateValues" dxfId="239" priority="152130"/>
    <cfRule type="duplicateValues" dxfId="238" priority="152131"/>
    <cfRule type="duplicateValues" dxfId="237" priority="152132"/>
    <cfRule type="duplicateValues" dxfId="236" priority="152133"/>
  </conditionalFormatting>
  <conditionalFormatting sqref="E63:E1048576">
    <cfRule type="duplicateValues" dxfId="235" priority="632"/>
  </conditionalFormatting>
  <conditionalFormatting sqref="B63:B1048576">
    <cfRule type="duplicateValues" dxfId="234" priority="595"/>
  </conditionalFormatting>
  <conditionalFormatting sqref="B63:B1048576 B6:B60 B1:B4">
    <cfRule type="duplicateValues" dxfId="233" priority="515"/>
    <cfRule type="duplicateValues" dxfId="232" priority="518"/>
  </conditionalFormatting>
  <conditionalFormatting sqref="B63:B1048576 B1:B60">
    <cfRule type="duplicateValues" dxfId="231" priority="97"/>
    <cfRule type="duplicateValues" dxfId="230" priority="302"/>
    <cfRule type="duplicateValues" dxfId="229" priority="303"/>
  </conditionalFormatting>
  <conditionalFormatting sqref="E63:E1048576">
    <cfRule type="duplicateValues" dxfId="228" priority="301"/>
  </conditionalFormatting>
  <conditionalFormatting sqref="E63:E1048576">
    <cfRule type="duplicateValues" dxfId="227" priority="160"/>
  </conditionalFormatting>
  <conditionalFormatting sqref="B6">
    <cfRule type="duplicateValues" dxfId="226" priority="142"/>
  </conditionalFormatting>
  <conditionalFormatting sqref="B6">
    <cfRule type="duplicateValues" dxfId="225" priority="139"/>
    <cfRule type="duplicateValues" dxfId="224" priority="140"/>
    <cfRule type="duplicateValues" dxfId="223" priority="141"/>
  </conditionalFormatting>
  <conditionalFormatting sqref="B6">
    <cfRule type="duplicateValues" dxfId="222" priority="137"/>
    <cfRule type="duplicateValues" dxfId="221" priority="138"/>
  </conditionalFormatting>
  <conditionalFormatting sqref="B6">
    <cfRule type="duplicateValues" dxfId="220" priority="136"/>
  </conditionalFormatting>
  <conditionalFormatting sqref="B6">
    <cfRule type="duplicateValues" dxfId="219" priority="133"/>
    <cfRule type="duplicateValues" dxfId="218" priority="134"/>
    <cfRule type="duplicateValues" dxfId="217" priority="135"/>
  </conditionalFormatting>
  <conditionalFormatting sqref="B6">
    <cfRule type="duplicateValues" dxfId="216" priority="131"/>
    <cfRule type="duplicateValues" dxfId="215" priority="132"/>
  </conditionalFormatting>
  <conditionalFormatting sqref="E6">
    <cfRule type="duplicateValues" dxfId="214" priority="130"/>
  </conditionalFormatting>
  <conditionalFormatting sqref="E6">
    <cfRule type="duplicateValues" dxfId="213" priority="128"/>
    <cfRule type="duplicateValues" dxfId="212" priority="129"/>
  </conditionalFormatting>
  <conditionalFormatting sqref="E6">
    <cfRule type="duplicateValues" dxfId="211" priority="125"/>
    <cfRule type="duplicateValues" dxfId="210" priority="126"/>
    <cfRule type="duplicateValues" dxfId="209" priority="127"/>
  </conditionalFormatting>
  <conditionalFormatting sqref="E6">
    <cfRule type="duplicateValues" dxfId="208" priority="121"/>
    <cfRule type="duplicateValues" dxfId="207" priority="122"/>
    <cfRule type="duplicateValues" dxfId="206" priority="123"/>
    <cfRule type="duplicateValues" dxfId="205" priority="124"/>
  </conditionalFormatting>
  <conditionalFormatting sqref="B7:B15">
    <cfRule type="duplicateValues" dxfId="204" priority="120"/>
  </conditionalFormatting>
  <conditionalFormatting sqref="B7:B15">
    <cfRule type="duplicateValues" dxfId="203" priority="117"/>
    <cfRule type="duplicateValues" dxfId="202" priority="118"/>
    <cfRule type="duplicateValues" dxfId="201" priority="119"/>
  </conditionalFormatting>
  <conditionalFormatting sqref="B7:B15">
    <cfRule type="duplicateValues" dxfId="200" priority="115"/>
    <cfRule type="duplicateValues" dxfId="199" priority="116"/>
  </conditionalFormatting>
  <conditionalFormatting sqref="B7:B15">
    <cfRule type="duplicateValues" dxfId="198" priority="114"/>
  </conditionalFormatting>
  <conditionalFormatting sqref="B7:B15">
    <cfRule type="duplicateValues" dxfId="197" priority="111"/>
    <cfRule type="duplicateValues" dxfId="196" priority="112"/>
    <cfRule type="duplicateValues" dxfId="195" priority="113"/>
  </conditionalFormatting>
  <conditionalFormatting sqref="B7:B15">
    <cfRule type="duplicateValues" dxfId="194" priority="109"/>
    <cfRule type="duplicateValues" dxfId="193" priority="110"/>
  </conditionalFormatting>
  <conditionalFormatting sqref="E7:E60">
    <cfRule type="duplicateValues" dxfId="192" priority="108"/>
  </conditionalFormatting>
  <conditionalFormatting sqref="E7:E60">
    <cfRule type="duplicateValues" dxfId="191" priority="106"/>
    <cfRule type="duplicateValues" dxfId="190" priority="107"/>
  </conditionalFormatting>
  <conditionalFormatting sqref="E7:E60">
    <cfRule type="duplicateValues" dxfId="189" priority="103"/>
    <cfRule type="duplicateValues" dxfId="188" priority="104"/>
    <cfRule type="duplicateValues" dxfId="187" priority="105"/>
  </conditionalFormatting>
  <conditionalFormatting sqref="E7:E60">
    <cfRule type="duplicateValues" dxfId="186" priority="99"/>
    <cfRule type="duplicateValues" dxfId="185" priority="100"/>
    <cfRule type="duplicateValues" dxfId="184" priority="101"/>
    <cfRule type="duplicateValues" dxfId="183" priority="102"/>
  </conditionalFormatting>
  <conditionalFormatting sqref="E63:E1048576 E1:E60">
    <cfRule type="duplicateValues" dxfId="182" priority="98"/>
  </conditionalFormatting>
  <conditionalFormatting sqref="B16:B25">
    <cfRule type="duplicateValues" dxfId="181" priority="96"/>
  </conditionalFormatting>
  <conditionalFormatting sqref="B16:B25">
    <cfRule type="duplicateValues" dxfId="180" priority="93"/>
    <cfRule type="duplicateValues" dxfId="179" priority="94"/>
    <cfRule type="duplicateValues" dxfId="178" priority="95"/>
  </conditionalFormatting>
  <conditionalFormatting sqref="B16:B25">
    <cfRule type="duplicateValues" dxfId="177" priority="91"/>
    <cfRule type="duplicateValues" dxfId="176" priority="92"/>
  </conditionalFormatting>
  <conditionalFormatting sqref="B16:B25">
    <cfRule type="duplicateValues" dxfId="175" priority="90"/>
  </conditionalFormatting>
  <conditionalFormatting sqref="B16:B25">
    <cfRule type="duplicateValues" dxfId="174" priority="87"/>
    <cfRule type="duplicateValues" dxfId="173" priority="88"/>
    <cfRule type="duplicateValues" dxfId="172" priority="89"/>
  </conditionalFormatting>
  <conditionalFormatting sqref="B16:B25">
    <cfRule type="duplicateValues" dxfId="171" priority="85"/>
    <cfRule type="duplicateValues" dxfId="170" priority="86"/>
  </conditionalFormatting>
  <conditionalFormatting sqref="B24:B52">
    <cfRule type="duplicateValues" dxfId="169" priority="84"/>
  </conditionalFormatting>
  <conditionalFormatting sqref="B24:B52">
    <cfRule type="duplicateValues" dxfId="168" priority="81"/>
    <cfRule type="duplicateValues" dxfId="167" priority="82"/>
    <cfRule type="duplicateValues" dxfId="166" priority="83"/>
  </conditionalFormatting>
  <conditionalFormatting sqref="B24:B52">
    <cfRule type="duplicateValues" dxfId="165" priority="79"/>
    <cfRule type="duplicateValues" dxfId="164" priority="80"/>
  </conditionalFormatting>
  <conditionalFormatting sqref="B24:B52">
    <cfRule type="duplicateValues" dxfId="163" priority="78"/>
  </conditionalFormatting>
  <conditionalFormatting sqref="B24:B52">
    <cfRule type="duplicateValues" dxfId="162" priority="75"/>
    <cfRule type="duplicateValues" dxfId="161" priority="76"/>
    <cfRule type="duplicateValues" dxfId="160" priority="77"/>
  </conditionalFormatting>
  <conditionalFormatting sqref="B24:B52">
    <cfRule type="duplicateValues" dxfId="159" priority="73"/>
    <cfRule type="duplicateValues" dxfId="158" priority="74"/>
  </conditionalFormatting>
  <conditionalFormatting sqref="B53:B58">
    <cfRule type="duplicateValues" dxfId="157" priority="72"/>
  </conditionalFormatting>
  <conditionalFormatting sqref="B53:B58">
    <cfRule type="duplicateValues" dxfId="156" priority="69"/>
    <cfRule type="duplicateValues" dxfId="155" priority="70"/>
    <cfRule type="duplicateValues" dxfId="154" priority="71"/>
  </conditionalFormatting>
  <conditionalFormatting sqref="B53:B58">
    <cfRule type="duplicateValues" dxfId="153" priority="67"/>
    <cfRule type="duplicateValues" dxfId="152" priority="68"/>
  </conditionalFormatting>
  <conditionalFormatting sqref="B53:B58">
    <cfRule type="duplicateValues" dxfId="151" priority="66"/>
  </conditionalFormatting>
  <conditionalFormatting sqref="B53:B58">
    <cfRule type="duplicateValues" dxfId="150" priority="63"/>
    <cfRule type="duplicateValues" dxfId="149" priority="64"/>
    <cfRule type="duplicateValues" dxfId="148" priority="65"/>
  </conditionalFormatting>
  <conditionalFormatting sqref="B53:B58">
    <cfRule type="duplicateValues" dxfId="147" priority="61"/>
    <cfRule type="duplicateValues" dxfId="146" priority="62"/>
  </conditionalFormatting>
  <conditionalFormatting sqref="B59:B60">
    <cfRule type="duplicateValues" dxfId="145" priority="60"/>
  </conditionalFormatting>
  <conditionalFormatting sqref="B59:B60">
    <cfRule type="duplicateValues" dxfId="144" priority="57"/>
    <cfRule type="duplicateValues" dxfId="143" priority="58"/>
    <cfRule type="duplicateValues" dxfId="142" priority="59"/>
  </conditionalFormatting>
  <conditionalFormatting sqref="B59:B60">
    <cfRule type="duplicateValues" dxfId="141" priority="55"/>
    <cfRule type="duplicateValues" dxfId="140" priority="56"/>
  </conditionalFormatting>
  <conditionalFormatting sqref="B59:B60">
    <cfRule type="duplicateValues" dxfId="139" priority="54"/>
  </conditionalFormatting>
  <conditionalFormatting sqref="B59:B60">
    <cfRule type="duplicateValues" dxfId="138" priority="51"/>
    <cfRule type="duplicateValues" dxfId="137" priority="52"/>
    <cfRule type="duplicateValues" dxfId="136" priority="53"/>
  </conditionalFormatting>
  <conditionalFormatting sqref="B59:B60">
    <cfRule type="duplicateValues" dxfId="135" priority="49"/>
    <cfRule type="duplicateValues" dxfId="134" priority="50"/>
  </conditionalFormatting>
  <conditionalFormatting sqref="E5">
    <cfRule type="duplicateValues" dxfId="133" priority="158091"/>
  </conditionalFormatting>
  <conditionalFormatting sqref="B5">
    <cfRule type="duplicateValues" dxfId="132" priority="158092"/>
  </conditionalFormatting>
  <conditionalFormatting sqref="B5">
    <cfRule type="duplicateValues" dxfId="131" priority="158093"/>
    <cfRule type="duplicateValues" dxfId="130" priority="158094"/>
    <cfRule type="duplicateValues" dxfId="129" priority="158095"/>
  </conditionalFormatting>
  <conditionalFormatting sqref="E5">
    <cfRule type="duplicateValues" dxfId="128" priority="158096"/>
    <cfRule type="duplicateValues" dxfId="127" priority="158097"/>
  </conditionalFormatting>
  <conditionalFormatting sqref="E5">
    <cfRule type="duplicateValues" dxfId="126" priority="158098"/>
    <cfRule type="duplicateValues" dxfId="125" priority="158099"/>
    <cfRule type="duplicateValues" dxfId="124" priority="158100"/>
  </conditionalFormatting>
  <conditionalFormatting sqref="E5">
    <cfRule type="duplicateValues" dxfId="123" priority="158101"/>
    <cfRule type="duplicateValues" dxfId="122" priority="158102"/>
    <cfRule type="duplicateValues" dxfId="121" priority="158103"/>
    <cfRule type="duplicateValues" dxfId="120" priority="158104"/>
  </conditionalFormatting>
  <conditionalFormatting sqref="B5">
    <cfRule type="duplicateValues" dxfId="119" priority="158105"/>
    <cfRule type="duplicateValues" dxfId="118" priority="158106"/>
  </conditionalFormatting>
  <conditionalFormatting sqref="B61:B62">
    <cfRule type="duplicateValues" dxfId="117" priority="158150"/>
  </conditionalFormatting>
  <conditionalFormatting sqref="B61:B62">
    <cfRule type="duplicateValues" dxfId="116" priority="158152"/>
    <cfRule type="duplicateValues" dxfId="115" priority="158153"/>
    <cfRule type="duplicateValues" dxfId="114" priority="158154"/>
  </conditionalFormatting>
  <conditionalFormatting sqref="E61:E62">
    <cfRule type="duplicateValues" dxfId="113" priority="158155"/>
  </conditionalFormatting>
  <conditionalFormatting sqref="E61:E62">
    <cfRule type="duplicateValues" dxfId="112" priority="158157"/>
    <cfRule type="duplicateValues" dxfId="111" priority="158158"/>
  </conditionalFormatting>
  <conditionalFormatting sqref="E61:E62">
    <cfRule type="duplicateValues" dxfId="110" priority="158159"/>
    <cfRule type="duplicateValues" dxfId="109" priority="158160"/>
    <cfRule type="duplicateValues" dxfId="108" priority="158161"/>
  </conditionalFormatting>
  <conditionalFormatting sqref="E61:E62">
    <cfRule type="duplicateValues" dxfId="107" priority="158162"/>
    <cfRule type="duplicateValues" dxfId="106" priority="158163"/>
    <cfRule type="duplicateValues" dxfId="105" priority="158164"/>
    <cfRule type="duplicateValues" dxfId="104" priority="158165"/>
  </conditionalFormatting>
  <conditionalFormatting sqref="B61:B62">
    <cfRule type="duplicateValues" dxfId="103" priority="158168"/>
    <cfRule type="duplicateValues" dxfId="102" priority="15816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7" zoomScale="85" zoomScaleNormal="85" workbookViewId="0">
      <selection activeCell="J10" sqref="J10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38.710937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68" t="s">
        <v>2150</v>
      </c>
      <c r="B1" s="169"/>
      <c r="C1" s="169"/>
      <c r="D1" s="169"/>
      <c r="E1" s="170"/>
      <c r="F1" s="152" t="s">
        <v>2550</v>
      </c>
      <c r="G1" s="153"/>
      <c r="H1" s="106">
        <f>COUNTIF(A:E,"2 Gavetas Vacias y  1 Fallando")</f>
        <v>4</v>
      </c>
      <c r="I1" s="106">
        <f>COUNTIF(A:E,("3 Gavetas Vacias"))</f>
        <v>4</v>
      </c>
      <c r="J1" s="84">
        <f>COUNTIF(A:E,"2 Gavetas Fallando y 1 Vacias")</f>
        <v>0</v>
      </c>
    </row>
    <row r="2" spans="1:11" ht="25.5" customHeight="1" x14ac:dyDescent="0.25">
      <c r="A2" s="171" t="s">
        <v>2450</v>
      </c>
      <c r="B2" s="172"/>
      <c r="C2" s="172"/>
      <c r="D2" s="172"/>
      <c r="E2" s="173"/>
      <c r="F2" s="105" t="s">
        <v>2549</v>
      </c>
      <c r="G2" s="104">
        <f>G3+G4</f>
        <v>58</v>
      </c>
      <c r="H2" s="105" t="s">
        <v>2560</v>
      </c>
      <c r="I2" s="104">
        <f>COUNTIF(A:E,"Abastecido")</f>
        <v>1</v>
      </c>
      <c r="J2" s="105" t="s">
        <v>2578</v>
      </c>
      <c r="K2" s="104">
        <f>COUNTIF(REPORTE!E:U,"REINICIO FALLIDO")</f>
        <v>0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58</v>
      </c>
      <c r="H3" s="105" t="s">
        <v>2556</v>
      </c>
      <c r="I3" s="104">
        <f>COUNTIF(A:E,"Gavetas Vacías + Gavetas Fallando")</f>
        <v>4</v>
      </c>
      <c r="J3" s="105" t="s">
        <v>2579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5">
        <v>44386.708333333336</v>
      </c>
      <c r="C4" s="112"/>
      <c r="D4" s="112"/>
      <c r="E4" s="120"/>
      <c r="F4" s="105" t="s">
        <v>2545</v>
      </c>
      <c r="G4" s="104">
        <f>COUNTIF(REPORTE!A:Q,"En Servicio")</f>
        <v>0</v>
      </c>
      <c r="H4" s="105" t="s">
        <v>2559</v>
      </c>
      <c r="I4" s="104">
        <f>COUNTIF(A:E,"Solucionado")</f>
        <v>1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44387.25</v>
      </c>
      <c r="C5" s="188"/>
      <c r="D5" s="112"/>
      <c r="E5" s="120"/>
      <c r="F5" s="105" t="s">
        <v>2546</v>
      </c>
      <c r="G5" s="104">
        <f>COUNTIF(REPORTE!A:Q,"reinicio exitoso")</f>
        <v>0</v>
      </c>
      <c r="H5" s="105" t="s">
        <v>2552</v>
      </c>
      <c r="I5" s="104">
        <f>I1+H1+J1</f>
        <v>8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0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57" t="s">
        <v>2582</v>
      </c>
      <c r="B7" s="158"/>
      <c r="C7" s="158"/>
      <c r="D7" s="158"/>
      <c r="E7" s="159"/>
      <c r="F7" s="105" t="s">
        <v>2551</v>
      </c>
      <c r="G7" s="104">
        <f>COUNTIF(A:E,"Sin Efectivo")</f>
        <v>7</v>
      </c>
      <c r="H7" s="105" t="s">
        <v>2558</v>
      </c>
      <c r="I7" s="104">
        <f>COUNTIF(A:E,"GAVETA DE DEPOSITO LLENA")</f>
        <v>5</v>
      </c>
    </row>
    <row r="8" spans="1:11" ht="18" x14ac:dyDescent="0.25">
      <c r="A8" s="113" t="s">
        <v>15</v>
      </c>
      <c r="B8" s="189" t="s">
        <v>2415</v>
      </c>
      <c r="C8" s="113" t="s">
        <v>46</v>
      </c>
      <c r="D8" s="189" t="s">
        <v>2418</v>
      </c>
      <c r="E8" s="189" t="s">
        <v>2416</v>
      </c>
    </row>
    <row r="9" spans="1:11" ht="18" x14ac:dyDescent="0.25">
      <c r="A9" s="127" t="e">
        <f>VLOOKUP(B9,'[1]LISTADO ATM'!$A$2:$C$822,3,0)</f>
        <v>#N/A</v>
      </c>
      <c r="B9" s="127"/>
      <c r="C9" s="130" t="e">
        <f>VLOOKUP(B9,'[1]LISTADO ATM'!$A$2:$B$822,2,0)</f>
        <v>#N/A</v>
      </c>
      <c r="D9" s="124" t="s">
        <v>2544</v>
      </c>
      <c r="E9" s="132"/>
    </row>
    <row r="10" spans="1:11" ht="18.75" thickBot="1" x14ac:dyDescent="0.3">
      <c r="A10" s="114" t="s">
        <v>2472</v>
      </c>
      <c r="B10" s="139">
        <f>COUNT(B9:B9)</f>
        <v>0</v>
      </c>
      <c r="C10" s="154"/>
      <c r="D10" s="155"/>
      <c r="E10" s="156"/>
    </row>
    <row r="11" spans="1:11" s="111" customFormat="1" x14ac:dyDescent="0.25">
      <c r="B11" s="116"/>
      <c r="E11" s="116"/>
    </row>
    <row r="12" spans="1:11" s="111" customFormat="1" ht="18" x14ac:dyDescent="0.25">
      <c r="A12" s="157" t="s">
        <v>2583</v>
      </c>
      <c r="B12" s="158"/>
      <c r="C12" s="158"/>
      <c r="D12" s="158"/>
      <c r="E12" s="159"/>
    </row>
    <row r="13" spans="1:11" s="111" customFormat="1" ht="18" customHeight="1" x14ac:dyDescent="0.25">
      <c r="A13" s="113" t="s">
        <v>15</v>
      </c>
      <c r="B13" s="189" t="s">
        <v>2415</v>
      </c>
      <c r="C13" s="113" t="s">
        <v>46</v>
      </c>
      <c r="D13" s="113" t="s">
        <v>2418</v>
      </c>
      <c r="E13" s="189" t="s">
        <v>2416</v>
      </c>
    </row>
    <row r="14" spans="1:11" s="111" customFormat="1" ht="18" x14ac:dyDescent="0.25">
      <c r="A14" s="66" t="e">
        <f>VLOOKUP(B14,'[1]LISTADO ATM'!$A$2:$C$822,3,0)</f>
        <v>#N/A</v>
      </c>
      <c r="B14" s="127"/>
      <c r="C14" s="130" t="e">
        <f>VLOOKUP(B14,'[1]LISTADO ATM'!$A$2:$B$822,2,0)</f>
        <v>#N/A</v>
      </c>
      <c r="D14" s="124" t="s">
        <v>2540</v>
      </c>
      <c r="E14" s="190"/>
    </row>
    <row r="15" spans="1:11" s="111" customFormat="1" ht="18.75" thickBot="1" x14ac:dyDescent="0.3">
      <c r="A15" s="114" t="s">
        <v>2472</v>
      </c>
      <c r="B15" s="139">
        <f>COUNT(B14:B14)</f>
        <v>0</v>
      </c>
      <c r="C15" s="154"/>
      <c r="D15" s="155"/>
      <c r="E15" s="156"/>
    </row>
    <row r="16" spans="1:11" s="111" customFormat="1" ht="15.75" thickBot="1" x14ac:dyDescent="0.3">
      <c r="B16" s="116"/>
      <c r="E16" s="116"/>
    </row>
    <row r="17" spans="1:6" s="111" customFormat="1" ht="18.75" thickBot="1" x14ac:dyDescent="0.3">
      <c r="A17" s="160" t="s">
        <v>2473</v>
      </c>
      <c r="B17" s="161"/>
      <c r="C17" s="161"/>
      <c r="D17" s="161"/>
      <c r="E17" s="162"/>
    </row>
    <row r="18" spans="1:6" s="111" customFormat="1" ht="18" x14ac:dyDescent="0.25">
      <c r="A18" s="113" t="s">
        <v>15</v>
      </c>
      <c r="B18" s="189" t="s">
        <v>2415</v>
      </c>
      <c r="C18" s="113" t="s">
        <v>46</v>
      </c>
      <c r="D18" s="113" t="s">
        <v>2418</v>
      </c>
      <c r="E18" s="189" t="s">
        <v>2416</v>
      </c>
    </row>
    <row r="19" spans="1:6" s="111" customFormat="1" ht="18.75" customHeight="1" x14ac:dyDescent="0.25">
      <c r="A19" s="127" t="str">
        <f>VLOOKUP(B19,'[1]LISTADO ATM'!$A$2:$C$822,3,0)</f>
        <v>DISTRITO NACIONAL</v>
      </c>
      <c r="B19" s="136">
        <v>947</v>
      </c>
      <c r="C19" s="130" t="str">
        <f>VLOOKUP(B19,'[1]LISTADO ATM'!$A$2:$B$822,2,0)</f>
        <v xml:space="preserve">ATM Superintendencia de Bancos </v>
      </c>
      <c r="D19" s="123" t="s">
        <v>2436</v>
      </c>
      <c r="E19" s="132">
        <v>3335949259</v>
      </c>
    </row>
    <row r="20" spans="1:6" s="111" customFormat="1" ht="18" x14ac:dyDescent="0.25">
      <c r="A20" s="127" t="str">
        <f>VLOOKUP(B20,'[1]LISTADO ATM'!$A$2:$C$822,3,0)</f>
        <v>SUR</v>
      </c>
      <c r="B20" s="136">
        <v>89</v>
      </c>
      <c r="C20" s="130" t="str">
        <f>VLOOKUP(B20,'[1]LISTADO ATM'!$A$2:$B$822,2,0)</f>
        <v xml:space="preserve">ATM UNP El Cercado (San Juan) </v>
      </c>
      <c r="D20" s="123" t="s">
        <v>2436</v>
      </c>
      <c r="E20" s="132">
        <v>3335949642</v>
      </c>
    </row>
    <row r="21" spans="1:6" s="111" customFormat="1" ht="18" x14ac:dyDescent="0.25">
      <c r="A21" s="127" t="str">
        <f>VLOOKUP(B21,'[1]LISTADO ATM'!$A$2:$C$822,3,0)</f>
        <v>NORTE</v>
      </c>
      <c r="B21" s="136">
        <v>288</v>
      </c>
      <c r="C21" s="130" t="str">
        <f>VLOOKUP(B21,'[1]LISTADO ATM'!$A$2:$B$822,2,0)</f>
        <v xml:space="preserve">ATM Oficina Camino Real II (Puerto Plata) </v>
      </c>
      <c r="D21" s="123" t="s">
        <v>2436</v>
      </c>
      <c r="E21" s="132">
        <v>3335949643</v>
      </c>
    </row>
    <row r="22" spans="1:6" s="111" customFormat="1" ht="18" x14ac:dyDescent="0.25">
      <c r="A22" s="127" t="str">
        <f>VLOOKUP(B22,'[1]LISTADO ATM'!$A$2:$C$822,3,0)</f>
        <v>NORTE</v>
      </c>
      <c r="B22" s="136">
        <v>599</v>
      </c>
      <c r="C22" s="130" t="str">
        <f>VLOOKUP(B22,'[1]LISTADO ATM'!$A$2:$B$822,2,0)</f>
        <v xml:space="preserve">ATM Oficina Plaza Internacional (Santiago) </v>
      </c>
      <c r="D22" s="123" t="s">
        <v>2436</v>
      </c>
      <c r="E22" s="132">
        <v>3335949644</v>
      </c>
    </row>
    <row r="23" spans="1:6" s="111" customFormat="1" ht="18" x14ac:dyDescent="0.25">
      <c r="A23" s="127" t="str">
        <f>VLOOKUP(B23,'[1]LISTADO ATM'!$A$2:$C$822,3,0)</f>
        <v>DISTRITO NACIONAL</v>
      </c>
      <c r="B23" s="136">
        <v>955</v>
      </c>
      <c r="C23" s="130" t="str">
        <f>VLOOKUP(B23,'[1]LISTADO ATM'!$A$2:$B$822,2,0)</f>
        <v xml:space="preserve">ATM Oficina Americana Independencia II </v>
      </c>
      <c r="D23" s="123" t="s">
        <v>2436</v>
      </c>
      <c r="E23" s="132" t="s">
        <v>2602</v>
      </c>
    </row>
    <row r="24" spans="1:6" s="111" customFormat="1" ht="18" x14ac:dyDescent="0.25">
      <c r="A24" s="127" t="e">
        <f>VLOOKUP(B24,'[1]LISTADO ATM'!$A$2:$C$822,3,0)</f>
        <v>#N/A</v>
      </c>
      <c r="B24" s="136"/>
      <c r="C24" s="130" t="e">
        <f>VLOOKUP(B24,'[1]LISTADO ATM'!$A$2:$B$822,2,0)</f>
        <v>#N/A</v>
      </c>
      <c r="D24" s="123" t="s">
        <v>2436</v>
      </c>
      <c r="E24" s="132"/>
    </row>
    <row r="25" spans="1:6" s="111" customFormat="1" ht="18.75" thickBot="1" x14ac:dyDescent="0.3">
      <c r="A25" s="131"/>
      <c r="B25" s="139">
        <f>COUNT(B19:B24)</f>
        <v>5</v>
      </c>
      <c r="C25" s="122"/>
      <c r="D25" s="122"/>
      <c r="E25" s="122"/>
    </row>
    <row r="26" spans="1:6" s="111" customFormat="1" ht="18" customHeight="1" thickBot="1" x14ac:dyDescent="0.3">
      <c r="B26" s="116"/>
      <c r="E26" s="116"/>
    </row>
    <row r="27" spans="1:6" s="111" customFormat="1" ht="18" customHeight="1" thickBot="1" x14ac:dyDescent="0.3">
      <c r="A27" s="160" t="s">
        <v>2436</v>
      </c>
      <c r="B27" s="161"/>
      <c r="C27" s="161"/>
      <c r="D27" s="161"/>
      <c r="E27" s="162"/>
    </row>
    <row r="28" spans="1:6" s="111" customFormat="1" ht="18" x14ac:dyDescent="0.25">
      <c r="A28" s="113" t="s">
        <v>15</v>
      </c>
      <c r="B28" s="189" t="s">
        <v>2415</v>
      </c>
      <c r="C28" s="113" t="s">
        <v>2588</v>
      </c>
      <c r="D28" s="113" t="s">
        <v>2418</v>
      </c>
      <c r="E28" s="189" t="s">
        <v>2416</v>
      </c>
    </row>
    <row r="29" spans="1:6" s="111" customFormat="1" ht="18" x14ac:dyDescent="0.25">
      <c r="A29" s="127" t="str">
        <f>VLOOKUP(B29,'[1]LISTADO ATM'!$A$2:$C$822,3,0)</f>
        <v>ESTE</v>
      </c>
      <c r="B29" s="127">
        <v>612</v>
      </c>
      <c r="C29" s="130" t="str">
        <f>VLOOKUP(B29,'[1]LISTADO ATM'!$A$2:$B$822,2,0)</f>
        <v xml:space="preserve">ATM Plaza Orense (La Romana) </v>
      </c>
      <c r="D29" s="127" t="s">
        <v>2479</v>
      </c>
      <c r="E29" s="132">
        <v>3335949525</v>
      </c>
    </row>
    <row r="30" spans="1:6" s="111" customFormat="1" ht="18" x14ac:dyDescent="0.25">
      <c r="A30" s="127" t="str">
        <f>VLOOKUP(B30,'[1]LISTADO ATM'!$A$2:$C$822,3,0)</f>
        <v>DISTRITO NACIONAL</v>
      </c>
      <c r="B30" s="127">
        <v>139</v>
      </c>
      <c r="C30" s="130" t="str">
        <f>VLOOKUP(B30,'[1]LISTADO ATM'!$A$2:$B$822,2,0)</f>
        <v xml:space="preserve">ATM Oficina Plaza Lama Zona Oriental I </v>
      </c>
      <c r="D30" s="127" t="s">
        <v>2479</v>
      </c>
      <c r="E30" s="132">
        <v>3335949222</v>
      </c>
    </row>
    <row r="31" spans="1:6" ht="18" x14ac:dyDescent="0.25">
      <c r="A31" s="127" t="str">
        <f>VLOOKUP(B31,'[1]LISTADO ATM'!$A$2:$C$822,3,0)</f>
        <v>DISTRITO NACIONAL</v>
      </c>
      <c r="B31" s="127">
        <v>620</v>
      </c>
      <c r="C31" s="130" t="str">
        <f>VLOOKUP(B31,'[1]LISTADO ATM'!$A$2:$B$822,2,0)</f>
        <v xml:space="preserve">ATM Ministerio de Medio Ambiente </v>
      </c>
      <c r="D31" s="127" t="s">
        <v>2479</v>
      </c>
      <c r="E31" s="132">
        <v>3335949534</v>
      </c>
      <c r="F31" s="107"/>
    </row>
    <row r="32" spans="1:6" ht="18" x14ac:dyDescent="0.25">
      <c r="A32" s="127" t="str">
        <f>VLOOKUP(B32,'[1]LISTADO ATM'!$A$2:$C$822,3,0)</f>
        <v>SUR</v>
      </c>
      <c r="B32" s="127">
        <v>870</v>
      </c>
      <c r="C32" s="130" t="str">
        <f>VLOOKUP(B32,'[1]LISTADO ATM'!$A$2:$B$822,2,0)</f>
        <v xml:space="preserve">ATM Willbes Dominicana (Barahona) </v>
      </c>
      <c r="D32" s="127" t="s">
        <v>2479</v>
      </c>
      <c r="E32" s="132">
        <v>3335949646</v>
      </c>
    </row>
    <row r="33" spans="1:8" ht="18" customHeight="1" x14ac:dyDescent="0.25">
      <c r="A33" s="127" t="e">
        <f>VLOOKUP(B33,'[1]LISTADO ATM'!$A$2:$C$822,3,0)</f>
        <v>#N/A</v>
      </c>
      <c r="B33" s="127"/>
      <c r="C33" s="130" t="e">
        <f>VLOOKUP(B33,'[1]LISTADO ATM'!$A$2:$B$822,2,0)</f>
        <v>#N/A</v>
      </c>
      <c r="D33" s="127"/>
      <c r="E33" s="132"/>
    </row>
    <row r="34" spans="1:8" s="107" customFormat="1" ht="18.75" customHeight="1" thickBot="1" x14ac:dyDescent="0.3">
      <c r="A34" s="131" t="s">
        <v>2472</v>
      </c>
      <c r="B34" s="139">
        <f>COUNT(B29:B33)</f>
        <v>4</v>
      </c>
      <c r="C34" s="122"/>
      <c r="D34" s="122"/>
      <c r="E34" s="122"/>
    </row>
    <row r="35" spans="1:8" s="107" customFormat="1" ht="15.75" thickBot="1" x14ac:dyDescent="0.3">
      <c r="A35" s="111"/>
      <c r="B35" s="116"/>
      <c r="C35" s="111"/>
      <c r="D35" s="111"/>
      <c r="E35" s="116"/>
      <c r="G35" s="111"/>
      <c r="H35" s="111"/>
    </row>
    <row r="36" spans="1:8" s="111" customFormat="1" ht="18.75" customHeight="1" x14ac:dyDescent="0.25">
      <c r="A36" s="163" t="s">
        <v>2584</v>
      </c>
      <c r="B36" s="164"/>
      <c r="C36" s="164"/>
      <c r="D36" s="164"/>
      <c r="E36" s="165"/>
    </row>
    <row r="37" spans="1:8" s="111" customFormat="1" ht="18.75" customHeight="1" x14ac:dyDescent="0.25">
      <c r="A37" s="113" t="s">
        <v>15</v>
      </c>
      <c r="B37" s="189" t="s">
        <v>2415</v>
      </c>
      <c r="C37" s="115" t="s">
        <v>46</v>
      </c>
      <c r="D37" s="126" t="s">
        <v>2418</v>
      </c>
      <c r="E37" s="189" t="s">
        <v>2416</v>
      </c>
    </row>
    <row r="38" spans="1:8" ht="18" x14ac:dyDescent="0.25">
      <c r="A38" s="66" t="str">
        <f>VLOOKUP(B38,'[1]LISTADO ATM'!$A$2:$C$822,3,0)</f>
        <v>DISTRITO NACIONAL</v>
      </c>
      <c r="B38" s="127">
        <v>980</v>
      </c>
      <c r="C38" s="130" t="str">
        <f>VLOOKUP(B38,'[1]LISTADO ATM'!$A$2:$B$822,2,0)</f>
        <v xml:space="preserve">ATM Oficina Bella Vista Mall II </v>
      </c>
      <c r="D38" s="137" t="s">
        <v>2562</v>
      </c>
      <c r="E38" s="132">
        <v>3335947094</v>
      </c>
      <c r="G38" s="111"/>
      <c r="H38" s="111"/>
    </row>
    <row r="39" spans="1:8" s="111" customFormat="1" ht="18" x14ac:dyDescent="0.25">
      <c r="A39" s="66" t="str">
        <f>VLOOKUP(B39,'[1]LISTADO ATM'!$A$2:$C$822,3,0)</f>
        <v>NORTE</v>
      </c>
      <c r="B39" s="127">
        <v>304</v>
      </c>
      <c r="C39" s="130" t="str">
        <f>VLOOKUP(B39,'[1]LISTADO ATM'!$A$2:$B$822,2,0)</f>
        <v xml:space="preserve">ATM Multicentro La Sirena Estrella Sadhala </v>
      </c>
      <c r="D39" s="137" t="s">
        <v>2562</v>
      </c>
      <c r="E39" s="132">
        <v>3335949577</v>
      </c>
    </row>
    <row r="40" spans="1:8" s="111" customFormat="1" ht="18" x14ac:dyDescent="0.25">
      <c r="A40" s="66" t="str">
        <f>VLOOKUP(B40,'[1]LISTADO ATM'!$A$2:$C$822,3,0)</f>
        <v>SUR</v>
      </c>
      <c r="B40" s="127">
        <v>829</v>
      </c>
      <c r="C40" s="130" t="str">
        <f>VLOOKUP(B40,'[1]LISTADO ATM'!$A$2:$B$822,2,0)</f>
        <v xml:space="preserve">ATM UNP Multicentro Sirena Baní </v>
      </c>
      <c r="D40" s="137" t="s">
        <v>2562</v>
      </c>
      <c r="E40" s="132">
        <v>3335949611</v>
      </c>
    </row>
    <row r="41" spans="1:8" ht="18.75" customHeight="1" x14ac:dyDescent="0.25">
      <c r="A41" s="66" t="str">
        <f>VLOOKUP(B41,'[1]LISTADO ATM'!$A$2:$C$822,3,0)</f>
        <v>ESTE</v>
      </c>
      <c r="B41" s="127">
        <v>158</v>
      </c>
      <c r="C41" s="130" t="str">
        <f>VLOOKUP(B41,'[1]LISTADO ATM'!$A$2:$B$822,2,0)</f>
        <v xml:space="preserve">ATM Oficina Romana Norte </v>
      </c>
      <c r="D41" s="137" t="s">
        <v>2562</v>
      </c>
      <c r="E41" s="132">
        <v>3335949616</v>
      </c>
      <c r="G41" s="111"/>
      <c r="H41" s="111"/>
    </row>
    <row r="42" spans="1:8" s="111" customFormat="1" ht="18" x14ac:dyDescent="0.25">
      <c r="A42" s="66" t="str">
        <f>VLOOKUP(B42,'[1]LISTADO ATM'!$A$2:$C$822,3,0)</f>
        <v>DISTRITO NACIONAL</v>
      </c>
      <c r="B42" s="127">
        <v>410</v>
      </c>
      <c r="C42" s="130" t="str">
        <f>VLOOKUP(B42,'[1]LISTADO ATM'!$A$2:$B$822,2,0)</f>
        <v xml:space="preserve">ATM Oficina Las Palmas de Herrera II </v>
      </c>
      <c r="D42" s="137" t="s">
        <v>2562</v>
      </c>
      <c r="E42" s="132">
        <v>3335949621</v>
      </c>
    </row>
    <row r="43" spans="1:8" s="111" customFormat="1" ht="18" x14ac:dyDescent="0.25">
      <c r="A43" s="66" t="str">
        <f>VLOOKUP(B43,'[1]LISTADO ATM'!$A$2:$C$822,3,0)</f>
        <v>DISTRITO NACIONAL</v>
      </c>
      <c r="B43" s="127">
        <v>39</v>
      </c>
      <c r="C43" s="130" t="str">
        <f>VLOOKUP(B43,'[1]LISTADO ATM'!$A$2:$B$822,2,0)</f>
        <v xml:space="preserve">ATM Oficina Ovando </v>
      </c>
      <c r="D43" s="140" t="s">
        <v>2561</v>
      </c>
      <c r="E43" s="132">
        <v>3335949608</v>
      </c>
    </row>
    <row r="44" spans="1:8" s="111" customFormat="1" ht="18" x14ac:dyDescent="0.25">
      <c r="A44" s="66" t="str">
        <f>VLOOKUP(B44,'[1]LISTADO ATM'!$A$2:$C$822,3,0)</f>
        <v>DISTRITO NACIONAL</v>
      </c>
      <c r="B44" s="127">
        <v>701</v>
      </c>
      <c r="C44" s="130" t="str">
        <f>VLOOKUP(B44,'[1]LISTADO ATM'!$A$2:$B$822,2,0)</f>
        <v>ATM Autoservicio Los Alcarrizos</v>
      </c>
      <c r="D44" s="140" t="s">
        <v>2561</v>
      </c>
      <c r="E44" s="132">
        <v>3335949614</v>
      </c>
    </row>
    <row r="45" spans="1:8" s="111" customFormat="1" ht="18" x14ac:dyDescent="0.25">
      <c r="A45" s="66" t="e">
        <f>VLOOKUP(B45,'[1]LISTADO ATM'!$A$2:$C$822,3,0)</f>
        <v>#N/A</v>
      </c>
      <c r="B45" s="127"/>
      <c r="C45" s="130" t="e">
        <f>VLOOKUP(B45,'[1]LISTADO ATM'!$A$2:$B$822,2,0)</f>
        <v>#N/A</v>
      </c>
      <c r="D45" s="137"/>
      <c r="E45" s="132"/>
    </row>
    <row r="46" spans="1:8" s="111" customFormat="1" ht="18" x14ac:dyDescent="0.25">
      <c r="A46" s="66" t="e">
        <f>VLOOKUP(B46,'[1]LISTADO ATM'!$A$2:$C$822,3,0)</f>
        <v>#N/A</v>
      </c>
      <c r="B46" s="127"/>
      <c r="C46" s="130" t="e">
        <f>VLOOKUP(B46,'[1]LISTADO ATM'!$A$2:$B$822,2,0)</f>
        <v>#N/A</v>
      </c>
      <c r="D46" s="137"/>
      <c r="E46" s="132"/>
    </row>
    <row r="47" spans="1:8" s="111" customFormat="1" ht="18.75" thickBot="1" x14ac:dyDescent="0.3">
      <c r="A47" s="131" t="s">
        <v>2472</v>
      </c>
      <c r="B47" s="139">
        <f>COUNT(B38:B46)</f>
        <v>7</v>
      </c>
      <c r="C47" s="122"/>
      <c r="D47" s="125"/>
      <c r="E47" s="125"/>
    </row>
    <row r="48" spans="1:8" s="111" customFormat="1" ht="15.75" thickBot="1" x14ac:dyDescent="0.3">
      <c r="B48" s="116"/>
      <c r="E48" s="116"/>
    </row>
    <row r="49" spans="1:5" ht="18.75" thickBot="1" x14ac:dyDescent="0.3">
      <c r="A49" s="166" t="s">
        <v>2474</v>
      </c>
      <c r="B49" s="167"/>
      <c r="C49" s="111" t="s">
        <v>2412</v>
      </c>
      <c r="D49" s="116"/>
      <c r="E49" s="116"/>
    </row>
    <row r="50" spans="1:5" ht="18.75" thickBot="1" x14ac:dyDescent="0.3">
      <c r="A50" s="133">
        <f>+B25+B34+B47</f>
        <v>16</v>
      </c>
      <c r="B50" s="191"/>
      <c r="C50" s="111"/>
      <c r="D50" s="111"/>
      <c r="E50" s="111"/>
    </row>
    <row r="51" spans="1:5" ht="18.75" customHeight="1" thickBot="1" x14ac:dyDescent="0.3">
      <c r="A51" s="111"/>
      <c r="B51" s="116"/>
      <c r="C51" s="111"/>
      <c r="D51" s="111"/>
      <c r="E51" s="116"/>
    </row>
    <row r="52" spans="1:5" ht="18.75" customHeight="1" thickBot="1" x14ac:dyDescent="0.3">
      <c r="A52" s="160" t="s">
        <v>2475</v>
      </c>
      <c r="B52" s="161"/>
      <c r="C52" s="161"/>
      <c r="D52" s="161"/>
      <c r="E52" s="162"/>
    </row>
    <row r="53" spans="1:5" ht="18.75" customHeight="1" x14ac:dyDescent="0.25">
      <c r="A53" s="117" t="s">
        <v>15</v>
      </c>
      <c r="B53" s="189" t="s">
        <v>2415</v>
      </c>
      <c r="C53" s="115" t="s">
        <v>46</v>
      </c>
      <c r="D53" s="176" t="s">
        <v>2418</v>
      </c>
      <c r="E53" s="177"/>
    </row>
    <row r="54" spans="1:5" ht="18" x14ac:dyDescent="0.25">
      <c r="A54" s="127" t="str">
        <f>VLOOKUP(B54,'[1]LISTADO ATM'!$A$2:$C$822,3,0)</f>
        <v>DISTRITO NACIONAL</v>
      </c>
      <c r="B54" s="136">
        <v>573</v>
      </c>
      <c r="C54" s="127" t="str">
        <f>VLOOKUP(B54,'[1]LISTADO ATM'!$A$2:$B$822,2,0)</f>
        <v xml:space="preserve">ATM IDSS </v>
      </c>
      <c r="D54" s="174" t="s">
        <v>2585</v>
      </c>
      <c r="E54" s="175"/>
    </row>
    <row r="55" spans="1:5" ht="18" customHeight="1" x14ac:dyDescent="0.25">
      <c r="A55" s="127" t="str">
        <f>VLOOKUP(B55,'[1]LISTADO ATM'!$A$2:$C$822,3,0)</f>
        <v>SUR</v>
      </c>
      <c r="B55" s="136">
        <v>182</v>
      </c>
      <c r="C55" s="127" t="str">
        <f>VLOOKUP(B55,'[1]LISTADO ATM'!$A$2:$B$822,2,0)</f>
        <v xml:space="preserve">ATM Barahona Comb </v>
      </c>
      <c r="D55" s="174" t="s">
        <v>2585</v>
      </c>
      <c r="E55" s="175"/>
    </row>
    <row r="56" spans="1:5" ht="18" x14ac:dyDescent="0.25">
      <c r="A56" s="127" t="str">
        <f>VLOOKUP(B56,'[1]LISTADO ATM'!$A$2:$C$822,3,0)</f>
        <v>ESTE</v>
      </c>
      <c r="B56" s="136">
        <v>293</v>
      </c>
      <c r="C56" s="127" t="str">
        <f>VLOOKUP(B56,'[1]LISTADO ATM'!$A$2:$B$822,2,0)</f>
        <v xml:space="preserve">ATM S/M Nueva Visión (San Pedro) </v>
      </c>
      <c r="D56" s="174" t="s">
        <v>2603</v>
      </c>
      <c r="E56" s="175"/>
    </row>
    <row r="57" spans="1:5" ht="18.75" customHeight="1" x14ac:dyDescent="0.25">
      <c r="A57" s="127" t="str">
        <f>VLOOKUP(B57,'[1]LISTADO ATM'!$A$2:$C$822,3,0)</f>
        <v>DISTRITO NACIONAL</v>
      </c>
      <c r="B57" s="136">
        <v>709</v>
      </c>
      <c r="C57" s="127" t="str">
        <f>VLOOKUP(B57,'[1]LISTADO ATM'!$A$2:$B$822,2,0)</f>
        <v xml:space="preserve">ATM Seguros Maestro SEMMA  </v>
      </c>
      <c r="D57" s="174" t="s">
        <v>2603</v>
      </c>
      <c r="E57" s="175"/>
    </row>
    <row r="58" spans="1:5" ht="18.75" customHeight="1" x14ac:dyDescent="0.25">
      <c r="A58" s="127" t="str">
        <f>VLOOKUP(B58,'[1]LISTADO ATM'!$A$2:$C$822,3,0)</f>
        <v>DISTRITO NACIONAL</v>
      </c>
      <c r="B58" s="136">
        <v>815</v>
      </c>
      <c r="C58" s="127" t="str">
        <f>VLOOKUP(B58,'[1]LISTADO ATM'!$A$2:$B$822,2,0)</f>
        <v xml:space="preserve">ATM Oficina Atalaya del Mar </v>
      </c>
      <c r="D58" s="174" t="s">
        <v>2585</v>
      </c>
      <c r="E58" s="175"/>
    </row>
    <row r="59" spans="1:5" ht="18.75" customHeight="1" x14ac:dyDescent="0.25">
      <c r="A59" s="127" t="str">
        <f>VLOOKUP(B59,'[1]LISTADO ATM'!$A$2:$C$822,3,0)</f>
        <v>DISTRITO NACIONAL</v>
      </c>
      <c r="B59" s="136">
        <v>578</v>
      </c>
      <c r="C59" s="127" t="str">
        <f>VLOOKUP(B59,'[1]LISTADO ATM'!$A$2:$B$822,2,0)</f>
        <v xml:space="preserve">ATM Procuraduría General de la República </v>
      </c>
      <c r="D59" s="174" t="s">
        <v>2603</v>
      </c>
      <c r="E59" s="175"/>
    </row>
    <row r="60" spans="1:5" ht="18" x14ac:dyDescent="0.25">
      <c r="A60" s="127" t="str">
        <f>VLOOKUP(B60,'[1]LISTADO ATM'!$A$2:$C$822,3,0)</f>
        <v>ESTE</v>
      </c>
      <c r="B60" s="136">
        <v>673</v>
      </c>
      <c r="C60" s="127" t="str">
        <f>VLOOKUP(B60,'[1]LISTADO ATM'!$A$2:$B$822,2,0)</f>
        <v>ATM Clínica Dr. Cruz Jiminián</v>
      </c>
      <c r="D60" s="174" t="s">
        <v>2603</v>
      </c>
      <c r="E60" s="175"/>
    </row>
    <row r="61" spans="1:5" ht="18" customHeight="1" x14ac:dyDescent="0.25">
      <c r="A61" s="127" t="str">
        <f>VLOOKUP(B61,'[1]LISTADO ATM'!$A$2:$C$822,3,0)</f>
        <v>DISTRITO NACIONAL</v>
      </c>
      <c r="B61" s="136">
        <v>974</v>
      </c>
      <c r="C61" s="127" t="str">
        <f>VLOOKUP(B61,'[1]LISTADO ATM'!$A$2:$B$822,2,0)</f>
        <v xml:space="preserve">ATM S/M Nacional Ave. Lope de Vega </v>
      </c>
      <c r="D61" s="174" t="s">
        <v>2585</v>
      </c>
      <c r="E61" s="175"/>
    </row>
    <row r="62" spans="1:5" ht="18.75" customHeight="1" x14ac:dyDescent="0.25">
      <c r="A62" s="127"/>
      <c r="B62" s="136"/>
      <c r="C62" s="127"/>
      <c r="D62" s="174"/>
      <c r="E62" s="175"/>
    </row>
    <row r="63" spans="1:5" ht="18.75" customHeight="1" x14ac:dyDescent="0.25">
      <c r="A63" s="127" t="e">
        <f>VLOOKUP(B63,'[1]LISTADO ATM'!$A$2:$C$822,3,0)</f>
        <v>#N/A</v>
      </c>
      <c r="B63" s="136"/>
      <c r="C63" s="127" t="e">
        <f>VLOOKUP(B63,'[1]LISTADO ATM'!$A$2:$B$822,2,0)</f>
        <v>#N/A</v>
      </c>
      <c r="D63" s="141"/>
      <c r="E63" s="142"/>
    </row>
    <row r="64" spans="1:5" ht="18.75" customHeight="1" thickBot="1" x14ac:dyDescent="0.3">
      <c r="A64" s="131" t="s">
        <v>2472</v>
      </c>
      <c r="B64" s="139">
        <f>COUNT(B54:B63)</f>
        <v>8</v>
      </c>
      <c r="C64" s="128"/>
      <c r="D64" s="128"/>
      <c r="E64" s="129"/>
    </row>
    <row r="65" ht="18.75" customHeight="1" x14ac:dyDescent="0.25"/>
    <row r="66" ht="18.75" customHeight="1" x14ac:dyDescent="0.25"/>
    <row r="70" ht="18.75" customHeight="1" x14ac:dyDescent="0.25"/>
    <row r="71" ht="18" customHeight="1" x14ac:dyDescent="0.25"/>
    <row r="72" ht="18.75" customHeight="1" x14ac:dyDescent="0.25"/>
    <row r="73" ht="18.75" customHeight="1" x14ac:dyDescent="0.25"/>
    <row r="75" ht="18.75" customHeight="1" x14ac:dyDescent="0.25"/>
    <row r="76" ht="18.75" customHeight="1" x14ac:dyDescent="0.25"/>
    <row r="78" ht="18.75" customHeight="1" x14ac:dyDescent="0.25"/>
    <row r="79" ht="18.75" customHeight="1" x14ac:dyDescent="0.25"/>
    <row r="81" ht="18" customHeight="1" x14ac:dyDescent="0.25"/>
    <row r="82" ht="18.75" customHeight="1" x14ac:dyDescent="0.25"/>
    <row r="84" ht="18.75" customHeight="1" x14ac:dyDescent="0.25"/>
    <row r="86" ht="18.75" customHeight="1" x14ac:dyDescent="0.25"/>
    <row r="89" ht="18.75" customHeight="1" x14ac:dyDescent="0.25"/>
    <row r="90" ht="18.75" customHeight="1" x14ac:dyDescent="0.25"/>
    <row r="92" ht="18.75" customHeight="1" x14ac:dyDescent="0.25"/>
    <row r="93" ht="18.75" customHeight="1" x14ac:dyDescent="0.25"/>
    <row r="98" ht="18" customHeight="1" x14ac:dyDescent="0.25"/>
    <row r="107" ht="18.75" customHeight="1" x14ac:dyDescent="0.25"/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22">
    <mergeCell ref="D59:E59"/>
    <mergeCell ref="D60:E60"/>
    <mergeCell ref="D61:E61"/>
    <mergeCell ref="D62:E62"/>
    <mergeCell ref="D54:E54"/>
    <mergeCell ref="D55:E55"/>
    <mergeCell ref="D56:E56"/>
    <mergeCell ref="D57:E57"/>
    <mergeCell ref="D58:E58"/>
    <mergeCell ref="A1:E1"/>
    <mergeCell ref="A2:E2"/>
    <mergeCell ref="A7:E7"/>
    <mergeCell ref="C10:E10"/>
    <mergeCell ref="A12:E12"/>
    <mergeCell ref="C15:E15"/>
    <mergeCell ref="A17:E17"/>
    <mergeCell ref="A27:E27"/>
    <mergeCell ref="A36:E36"/>
    <mergeCell ref="A49:B49"/>
    <mergeCell ref="A52:E52"/>
    <mergeCell ref="D53:E53"/>
    <mergeCell ref="F1:G1"/>
  </mergeCells>
  <phoneticPr fontId="46" type="noConversion"/>
  <conditionalFormatting sqref="E185:E1048576">
    <cfRule type="duplicateValues" dxfId="101" priority="143429"/>
  </conditionalFormatting>
  <conditionalFormatting sqref="B185:B1048576">
    <cfRule type="duplicateValues" dxfId="100" priority="143430"/>
  </conditionalFormatting>
  <conditionalFormatting sqref="B168:B171">
    <cfRule type="duplicateValues" dxfId="99" priority="70"/>
  </conditionalFormatting>
  <conditionalFormatting sqref="B168:B1048576">
    <cfRule type="duplicateValues" dxfId="98" priority="58"/>
  </conditionalFormatting>
  <conditionalFormatting sqref="B40">
    <cfRule type="duplicateValues" dxfId="97" priority="11"/>
  </conditionalFormatting>
  <conditionalFormatting sqref="B42">
    <cfRule type="duplicateValues" dxfId="96" priority="10"/>
  </conditionalFormatting>
  <conditionalFormatting sqref="B43">
    <cfRule type="duplicateValues" dxfId="95" priority="9"/>
  </conditionalFormatting>
  <conditionalFormatting sqref="B47:B64 B1:B40 B42:B43">
    <cfRule type="duplicateValues" dxfId="94" priority="8"/>
  </conditionalFormatting>
  <conditionalFormatting sqref="E57:E59 E42:E55 E1:E40 E62:E64">
    <cfRule type="duplicateValues" dxfId="93" priority="7"/>
  </conditionalFormatting>
  <conditionalFormatting sqref="B47:B64 B1:B39">
    <cfRule type="duplicateValues" dxfId="92" priority="12"/>
  </conditionalFormatting>
  <conditionalFormatting sqref="B41">
    <cfRule type="duplicateValues" dxfId="91" priority="6"/>
  </conditionalFormatting>
  <conditionalFormatting sqref="B41">
    <cfRule type="duplicateValues" dxfId="90" priority="5"/>
  </conditionalFormatting>
  <conditionalFormatting sqref="E41">
    <cfRule type="duplicateValues" dxfId="89" priority="4"/>
  </conditionalFormatting>
  <conditionalFormatting sqref="E56">
    <cfRule type="duplicateValues" dxfId="88" priority="3"/>
  </conditionalFormatting>
  <conditionalFormatting sqref="E60">
    <cfRule type="duplicateValues" dxfId="87" priority="2"/>
  </conditionalFormatting>
  <conditionalFormatting sqref="E61">
    <cfRule type="duplicateValues" dxfId="86" priority="1"/>
  </conditionalFormatting>
  <conditionalFormatting sqref="B43:B46">
    <cfRule type="duplicateValues" dxfId="85" priority="13"/>
  </conditionalFormatting>
  <conditionalFormatting sqref="B138:B167">
    <cfRule type="duplicateValues" dxfId="4" priority="158170"/>
  </conditionalFormatting>
  <conditionalFormatting sqref="B138:B1048576">
    <cfRule type="duplicateValues" dxfId="3" priority="158171"/>
  </conditionalFormatting>
  <conditionalFormatting sqref="E138:E1048576">
    <cfRule type="duplicateValues" dxfId="2" priority="158172"/>
  </conditionalFormatting>
  <conditionalFormatting sqref="E138:E167">
    <cfRule type="duplicateValues" dxfId="1" priority="158173"/>
  </conditionalFormatting>
  <conditionalFormatting sqref="B138:B167">
    <cfRule type="duplicateValues" dxfId="0" priority="15817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4" priority="5"/>
  </conditionalFormatting>
  <conditionalFormatting sqref="A827">
    <cfRule type="duplicateValues" dxfId="83" priority="4"/>
  </conditionalFormatting>
  <conditionalFormatting sqref="A828">
    <cfRule type="duplicateValues" dxfId="82" priority="3"/>
  </conditionalFormatting>
  <conditionalFormatting sqref="A829">
    <cfRule type="duplicateValues" dxfId="81" priority="2"/>
  </conditionalFormatting>
  <conditionalFormatting sqref="A830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2420</v>
      </c>
      <c r="B1" s="179"/>
      <c r="C1" s="179"/>
      <c r="D1" s="179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8" t="s">
        <v>2429</v>
      </c>
      <c r="B18" s="179"/>
      <c r="C18" s="179"/>
      <c r="D18" s="179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2021-07-10T12:23:36Z</dcterms:modified>
</cp:coreProperties>
</file>