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13\"/>
    </mc:Choice>
  </mc:AlternateContent>
  <bookViews>
    <workbookView xWindow="0" yWindow="0" windowWidth="15270" windowHeight="4545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REPORTE!$A$4:$Q$4</definedName>
    <definedName name="_xlnm._FilterDatabase" localSheetId="8" hidden="1">'Sin Efectivo'!$A$35:$E$35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36" i="1" l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 l="1"/>
  <c r="A114" i="1"/>
  <c r="A113" i="1"/>
  <c r="A112" i="1"/>
  <c r="A111" i="1"/>
  <c r="A110" i="1"/>
  <c r="A109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B31" i="16"/>
  <c r="B101" i="16"/>
  <c r="B55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B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B63" i="16"/>
  <c r="C62" i="16"/>
  <c r="A62" i="16"/>
  <c r="C61" i="16"/>
  <c r="A61" i="16"/>
  <c r="C60" i="16"/>
  <c r="A60" i="16"/>
  <c r="C59" i="16"/>
  <c r="A59" i="16"/>
  <c r="A79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B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9" i="1" l="1"/>
  <c r="G89" i="1"/>
  <c r="H89" i="1"/>
  <c r="I89" i="1"/>
  <c r="J89" i="1"/>
  <c r="K89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9" i="1"/>
  <c r="A85" i="1"/>
  <c r="A84" i="1"/>
  <c r="A83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8" i="1"/>
  <c r="A87" i="1"/>
  <c r="A86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2" i="1"/>
  <c r="G102" i="1"/>
  <c r="H102" i="1"/>
  <c r="I102" i="1"/>
  <c r="J102" i="1"/>
  <c r="K102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7" i="1"/>
  <c r="G97" i="1"/>
  <c r="H97" i="1"/>
  <c r="I97" i="1"/>
  <c r="J97" i="1"/>
  <c r="K9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F82" i="1" l="1"/>
  <c r="G82" i="1"/>
  <c r="H82" i="1"/>
  <c r="I82" i="1"/>
  <c r="J82" i="1"/>
  <c r="K82" i="1"/>
  <c r="F81" i="1"/>
  <c r="G81" i="1"/>
  <c r="H81" i="1"/>
  <c r="I81" i="1"/>
  <c r="J81" i="1"/>
  <c r="K81" i="1"/>
  <c r="F77" i="1"/>
  <c r="G77" i="1"/>
  <c r="H77" i="1"/>
  <c r="I77" i="1"/>
  <c r="J77" i="1"/>
  <c r="K77" i="1"/>
  <c r="F76" i="1"/>
  <c r="G76" i="1"/>
  <c r="H76" i="1"/>
  <c r="I76" i="1"/>
  <c r="J76" i="1"/>
  <c r="K76" i="1"/>
  <c r="F72" i="1"/>
  <c r="G72" i="1"/>
  <c r="H72" i="1"/>
  <c r="I72" i="1"/>
  <c r="J72" i="1"/>
  <c r="K72" i="1"/>
  <c r="A82" i="1"/>
  <c r="A81" i="1"/>
  <c r="A77" i="1"/>
  <c r="A76" i="1"/>
  <c r="A72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1" i="1"/>
  <c r="G71" i="1"/>
  <c r="H71" i="1"/>
  <c r="I71" i="1"/>
  <c r="J71" i="1"/>
  <c r="K71" i="1"/>
  <c r="A80" i="1"/>
  <c r="A79" i="1"/>
  <c r="A78" i="1"/>
  <c r="A75" i="1"/>
  <c r="A74" i="1"/>
  <c r="A73" i="1"/>
  <c r="A71" i="1"/>
  <c r="F70" i="1" l="1"/>
  <c r="G70" i="1"/>
  <c r="H70" i="1"/>
  <c r="I70" i="1"/>
  <c r="J70" i="1"/>
  <c r="K70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A70" i="1"/>
  <c r="A69" i="1"/>
  <c r="A68" i="1"/>
  <c r="A67" i="1"/>
  <c r="A66" i="1"/>
  <c r="A55" i="1" l="1"/>
  <c r="A56" i="1"/>
  <c r="A57" i="1"/>
  <c r="A58" i="1"/>
  <c r="A59" i="1"/>
  <c r="A60" i="1"/>
  <c r="A61" i="1"/>
  <c r="A62" i="1"/>
  <c r="A63" i="1"/>
  <c r="A64" i="1"/>
  <c r="A65" i="1"/>
  <c r="F55" i="1"/>
  <c r="G55" i="1"/>
  <c r="H55" i="1"/>
  <c r="I55" i="1"/>
  <c r="J55" i="1"/>
  <c r="K55" i="1"/>
  <c r="F56" i="1"/>
  <c r="G56" i="1"/>
  <c r="H56" i="1"/>
  <c r="I56" i="1"/>
  <c r="J56" i="1"/>
  <c r="K5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F60" i="1"/>
  <c r="G60" i="1"/>
  <c r="H60" i="1"/>
  <c r="I60" i="1"/>
  <c r="J60" i="1"/>
  <c r="K60" i="1"/>
  <c r="F61" i="1"/>
  <c r="G61" i="1"/>
  <c r="H61" i="1"/>
  <c r="I61" i="1"/>
  <c r="J61" i="1"/>
  <c r="K61" i="1"/>
  <c r="F62" i="1"/>
  <c r="G62" i="1"/>
  <c r="H62" i="1"/>
  <c r="I62" i="1"/>
  <c r="J62" i="1"/>
  <c r="K62" i="1"/>
  <c r="F63" i="1"/>
  <c r="G63" i="1"/>
  <c r="H63" i="1"/>
  <c r="I63" i="1"/>
  <c r="J63" i="1"/>
  <c r="K63" i="1"/>
  <c r="F64" i="1"/>
  <c r="G64" i="1"/>
  <c r="H64" i="1"/>
  <c r="I64" i="1"/>
  <c r="J64" i="1"/>
  <c r="K64" i="1"/>
  <c r="F65" i="1"/>
  <c r="G65" i="1"/>
  <c r="H65" i="1"/>
  <c r="I65" i="1"/>
  <c r="J65" i="1"/>
  <c r="K65" i="1"/>
  <c r="F54" i="1" l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A54" i="1"/>
  <c r="A53" i="1"/>
  <c r="A52" i="1"/>
  <c r="A51" i="1"/>
  <c r="A50" i="1"/>
  <c r="A49" i="1"/>
  <c r="A48" i="1"/>
  <c r="A47" i="1"/>
  <c r="A46" i="1"/>
  <c r="A45" i="1"/>
  <c r="A44" i="1"/>
  <c r="F43" i="1" l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 l="1"/>
  <c r="A20" i="1"/>
  <c r="A19" i="1"/>
  <c r="A18" i="1"/>
  <c r="A17" i="1"/>
  <c r="A16" i="1"/>
  <c r="A15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4" i="1"/>
  <c r="A9" i="1" l="1"/>
  <c r="F9" i="1"/>
  <c r="G9" i="1"/>
  <c r="H9" i="1"/>
  <c r="I9" i="1"/>
  <c r="J9" i="1"/>
  <c r="K9" i="1"/>
  <c r="A13" i="1"/>
  <c r="F13" i="1"/>
  <c r="G13" i="1"/>
  <c r="H13" i="1"/>
  <c r="I13" i="1"/>
  <c r="J13" i="1"/>
  <c r="K13" i="1"/>
  <c r="A12" i="1"/>
  <c r="F12" i="1"/>
  <c r="G12" i="1"/>
  <c r="H12" i="1"/>
  <c r="I12" i="1"/>
  <c r="J12" i="1"/>
  <c r="K12" i="1"/>
  <c r="A11" i="1"/>
  <c r="F11" i="1"/>
  <c r="G11" i="1"/>
  <c r="H11" i="1"/>
  <c r="I11" i="1"/>
  <c r="J11" i="1"/>
  <c r="K11" i="1"/>
  <c r="A10" i="1"/>
  <c r="F10" i="1"/>
  <c r="G10" i="1"/>
  <c r="H10" i="1"/>
  <c r="I10" i="1"/>
  <c r="J10" i="1"/>
  <c r="K10" i="1"/>
  <c r="F6" i="1" l="1"/>
  <c r="G6" i="1"/>
  <c r="H6" i="1"/>
  <c r="I6" i="1"/>
  <c r="J6" i="1"/>
  <c r="K6" i="1"/>
  <c r="A6" i="1"/>
  <c r="G7" i="16" l="1"/>
  <c r="K2" i="16"/>
  <c r="F8" i="1"/>
  <c r="G8" i="1"/>
  <c r="H8" i="1"/>
  <c r="I8" i="1"/>
  <c r="J8" i="1"/>
  <c r="K8" i="1"/>
  <c r="F7" i="1"/>
  <c r="G7" i="1"/>
  <c r="H7" i="1"/>
  <c r="I7" i="1"/>
  <c r="J7" i="1"/>
  <c r="K7" i="1"/>
  <c r="A8" i="1"/>
  <c r="A7" i="1"/>
  <c r="H1" i="16" l="1"/>
  <c r="A5" i="1" l="1"/>
  <c r="F5" i="1"/>
  <c r="G5" i="1"/>
  <c r="H5" i="1"/>
  <c r="I5" i="1"/>
  <c r="J5" i="1"/>
  <c r="K5" i="1"/>
  <c r="A12" i="3" l="1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G3" i="16" l="1"/>
  <c r="A6" i="3"/>
  <c r="K4" i="16" l="1"/>
  <c r="F4" i="3"/>
  <c r="K3" i="16" l="1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<sst xmlns="http://schemas.openxmlformats.org/spreadsheetml/2006/main" count="13909" uniqueCount="2746">
  <si>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</si>
  <si>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</si>
  <si>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</si>
  <si>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</si>
  <si>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</si>
  <si>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</si>
  <si>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</si>
  <si>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</si>
  <si>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</si>
  <si>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</si>
  <si>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</si>
  <si>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</si>
  <si>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</si>
  <si>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</si>
  <si>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</si>
  <si>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</si>
  <si>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</si>
  <si>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</si>
  <si>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</si>
  <si>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</si>
  <si>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</si>
  <si>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</si>
  <si>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</si>
  <si>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</si>
  <si>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</si>
  <si>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</si>
  <si>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</si>
  <si>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</si>
  <si>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</si>
  <si>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</si>
  <si>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</si>
  <si>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</si>
  <si>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</si>
  <si>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</si>
  <si>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</si>
  <si>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</si>
  <si>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</si>
  <si>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</si>
  <si>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</si>
  <si>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</si>
  <si>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</si>
  <si>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</si>
  <si>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</si>
  <si>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</si>
  <si>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</si>
  <si>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</si>
  <si>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</si>
  <si>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</si>
  <si>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</si>
  <si>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</si>
  <si>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</si>
  <si>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</si>
  <si>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</si>
  <si>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</si>
  <si>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</si>
  <si>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</si>
  <si>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</si>
  <si>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</si>
  <si>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</si>
  <si>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</si>
  <si>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</si>
  <si>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</si>
  <si>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</si>
  <si>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</si>
  <si>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</si>
  <si>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</si>
  <si>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</si>
  <si>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</si>
  <si>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</si>
  <si>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</si>
  <si>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</si>
  <si>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</si>
  <si>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</si>
  <si>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</si>
  <si>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</si>
  <si>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</si>
  <si>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</si>
  <si>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</si>
  <si>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</si>
  <si>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</si>
  <si>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</si>
  <si>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</si>
  <si>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</si>
  <si>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</si>
  <si>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</si>
  <si>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</si>
  <si>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</si>
  <si>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</si>
  <si>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</si>
  <si>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</si>
  <si>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</si>
  <si>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</si>
  <si>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</si>
  <si>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</si>
  <si>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</si>
  <si>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</si>
  <si>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</si>
  <si>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</si>
  <si>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</si>
  <si>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</si>
  <si>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</si>
  <si>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</si>
  <si>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</si>
  <si>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</si>
  <si>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</si>
  <si>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</si>
  <si>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</si>
  <si>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</si>
  <si>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</si>
  <si>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</si>
  <si>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</si>
  <si>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</si>
  <si>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</si>
  <si>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</si>
  <si>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</si>
  <si>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</si>
  <si>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</si>
  <si>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</si>
  <si>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</si>
  <si>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</si>
  <si>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</si>
  <si>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</si>
  <si>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</si>
  <si>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</si>
  <si>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</si>
  <si>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</si>
  <si>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</si>
  <si>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</si>
  <si>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</si>
  <si>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</si>
  <si>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</si>
  <si>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</si>
  <si>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</si>
  <si>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</si>
  <si>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</si>
  <si>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</si>
  <si>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</si>
  <si>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</si>
  <si>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</si>
  <si>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</si>
  <si>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</si>
  <si>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</si>
  <si>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</si>
  <si>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</si>
  <si>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</si>
  <si>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</si>
  <si>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</si>
  <si>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</si>
  <si>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</si>
  <si>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</si>
  <si>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</si>
  <si>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</si>
  <si>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</si>
  <si>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</si>
  <si>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</si>
  <si>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</si>
  <si>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</si>
  <si>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</si>
  <si>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</si>
  <si>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</si>
  <si>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</si>
  <si>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</si>
  <si>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</si>
  <si>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</si>
  <si>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</si>
  <si>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</si>
  <si>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</si>
  <si>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</si>
  <si>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</si>
  <si>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</si>
  <si>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</si>
  <si>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</si>
  <si>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</si>
  <si>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</si>
  <si>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</si>
  <si>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</si>
  <si>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</si>
  <si>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</si>
  <si>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</si>
  <si>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</si>
  <si>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</si>
  <si>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</si>
  <si>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</si>
  <si>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</si>
  <si>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</si>
  <si>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</si>
  <si>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</si>
  <si>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</si>
  <si>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</si>
  <si>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</si>
  <si>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</si>
  <si>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</si>
  <si>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</si>
  <si>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</si>
  <si>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</si>
  <si>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</si>
  <si>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</si>
  <si>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</si>
  <si>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</si>
  <si>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</si>
  <si>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</si>
  <si>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</si>
  <si>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</si>
  <si>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</si>
  <si>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</si>
  <si>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</si>
  <si>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</si>
  <si>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</si>
  <si>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</si>
  <si>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</si>
  <si>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</si>
  <si>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</si>
  <si>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</si>
  <si>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</si>
  <si>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</si>
  <si>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</si>
  <si>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</si>
  <si>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</si>
  <si>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</si>
  <si>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</si>
  <si>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</si>
  <si>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</si>
  <si>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</si>
  <si>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</si>
  <si>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</si>
  <si>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</si>
  <si>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</si>
  <si>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</si>
  <si>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</si>
  <si>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</si>
  <si>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</si>
  <si>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</si>
  <si>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</si>
  <si>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</si>
  <si>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</si>
  <si>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</si>
  <si>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</si>
  <si>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</si>
  <si>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</si>
  <si>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</si>
  <si>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</si>
  <si>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</si>
  <si>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</si>
  <si>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</si>
  <si>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</si>
  <si>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</si>
  <si>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</si>
  <si>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</si>
  <si>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</si>
  <si>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</si>
  <si>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</si>
  <si>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</si>
  <si>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</si>
  <si>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</si>
  <si>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</si>
  <si>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</si>
  <si>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</si>
  <si>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</si>
  <si>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</si>
  <si>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</si>
  <si>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</si>
  <si>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</si>
  <si>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</si>
  <si>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</si>
  <si>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</si>
  <si>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</si>
  <si>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</si>
  <si>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</si>
  <si>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</si>
  <si>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</si>
  <si>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</si>
  <si>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</si>
  <si>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</si>
  <si>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</si>
  <si>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</si>
  <si>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</si>
  <si>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</si>
  <si>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</si>
  <si>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</si>
  <si>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</si>
  <si>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</si>
  <si>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</si>
  <si>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</si>
  <si>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</si>
  <si>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</si>
  <si>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</si>
  <si>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</si>
  <si>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</si>
  <si>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</si>
  <si>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</si>
  <si>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</si>
  <si>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</si>
  <si>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</si>
  <si>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</si>
  <si>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</si>
  <si>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</si>
  <si>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</si>
  <si>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</si>
  <si>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</si>
  <si>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</si>
  <si>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</si>
  <si>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</si>
  <si>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</si>
  <si>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</si>
  <si>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</si>
  <si>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</si>
  <si>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</si>
  <si>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</si>
  <si>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</si>
  <si>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</si>
  <si>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</si>
  <si>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</si>
  <si>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</si>
  <si>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</si>
  <si>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</si>
  <si>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</si>
  <si>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</si>
  <si>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</si>
  <si>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</si>
  <si>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</si>
  <si>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</si>
  <si>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</si>
  <si>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</si>
  <si>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</si>
  <si>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</si>
  <si>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</si>
  <si>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</si>
  <si>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</si>
  <si>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</si>
  <si>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</si>
  <si>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</si>
  <si>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</si>
  <si>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</si>
  <si>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</si>
  <si>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</si>
  <si>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</si>
  <si>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</si>
  <si>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</si>
  <si>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</si>
  <si>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</si>
  <si>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</si>
  <si>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</si>
  <si>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</si>
  <si>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</si>
  <si>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</si>
  <si>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</si>
  <si>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</si>
  <si>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</si>
  <si>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</si>
  <si>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</si>
  <si>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</si>
  <si>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</si>
  <si>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</si>
  <si>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</si>
  <si>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</si>
  <si>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</si>
  <si>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</si>
  <si>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</si>
  <si>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</si>
  <si>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</si>
  <si>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</si>
  <si>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</si>
  <si>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</si>
  <si>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</si>
  <si>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</si>
  <si>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</si>
  <si>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</si>
  <si>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</si>
  <si>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</si>
  <si>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</si>
  <si>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</si>
  <si>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</si>
  <si>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</si>
  <si>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</si>
  <si>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</si>
  <si>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</si>
  <si>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</si>
  <si>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</si>
  <si>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</si>
  <si>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</si>
  <si>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</si>
  <si>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</si>
  <si>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</si>
  <si>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</si>
  <si>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</si>
  <si>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</si>
  <si>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</si>
  <si>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</si>
  <si>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</si>
  <si>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</si>
  <si>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</si>
  <si>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</si>
  <si>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</si>
  <si>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</si>
  <si>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</si>
  <si>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</si>
  <si>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</si>
  <si>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</si>
  <si>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</si>
  <si>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</si>
  <si>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</si>
  <si>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</si>
  <si>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</si>
  <si>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</si>
  <si>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</si>
  <si>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</si>
  <si>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</si>
  <si>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</si>
  <si>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</si>
  <si>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</si>
  <si>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</si>
  <si>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</si>
  <si>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</si>
  <si>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</si>
  <si>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</si>
  <si>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</si>
  <si>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</si>
  <si>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</si>
  <si>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</si>
  <si>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</si>
  <si>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</si>
  <si>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</si>
  <si>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</si>
  <si>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</si>
  <si>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</si>
  <si>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</si>
  <si>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</si>
  <si>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</si>
  <si>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</si>
  <si>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</si>
  <si>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</si>
  <si>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</si>
  <si>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</si>
  <si>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</si>
  <si>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</si>
  <si>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</si>
  <si>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</si>
  <si>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</si>
  <si>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</si>
  <si>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</si>
  <si>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</si>
  <si>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</si>
  <si>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</si>
  <si>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</si>
  <si>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</si>
  <si>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</si>
  <si>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</si>
  <si>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</si>
  <si>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</si>
  <si>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</si>
  <si>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</si>
  <si>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</si>
  <si>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</si>
  <si>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</si>
  <si>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</si>
  <si>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</si>
  <si>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</si>
  <si>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</si>
  <si>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</si>
  <si>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</si>
  <si>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</si>
  <si>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</si>
  <si>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</si>
  <si>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</si>
  <si>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</si>
  <si>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</si>
  <si>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</si>
  <si>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</si>
  <si>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</si>
  <si>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</si>
  <si>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</si>
  <si>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</si>
  <si>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</si>
  <si>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</si>
  <si>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</si>
  <si>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</si>
  <si>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</si>
  <si>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</si>
  <si>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</si>
  <si>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</si>
  <si>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</si>
  <si>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</si>
  <si>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</si>
  <si>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</si>
  <si>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</si>
  <si>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</si>
  <si>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</si>
  <si>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</si>
  <si>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</si>
  <si>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</si>
  <si>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</si>
  <si>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</si>
  <si>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</si>
  <si>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</si>
  <si>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</si>
  <si>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</si>
  <si>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</si>
  <si>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</si>
  <si>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</si>
  <si>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</si>
  <si>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</si>
  <si>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</si>
  <si>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</si>
  <si>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</si>
  <si>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</si>
  <si>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</si>
  <si>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</si>
  <si>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</si>
  <si>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</si>
  <si>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</si>
  <si>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</si>
  <si>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</si>
  <si>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</si>
  <si>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</si>
  <si>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</si>
  <si>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</si>
  <si>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</si>
  <si>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</si>
  <si>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</si>
  <si>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</si>
  <si>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</si>
  <si>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</si>
  <si>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</si>
  <si>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</si>
  <si>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</si>
  <si>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</si>
  <si>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</si>
  <si>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</si>
  <si>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</si>
  <si>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</si>
  <si>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</si>
  <si>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</si>
  <si>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</si>
  <si>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</si>
  <si>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</si>
  <si>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</si>
  <si>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</si>
  <si>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</si>
  <si>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</si>
  <si>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</si>
  <si>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</si>
  <si>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</si>
  <si>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</si>
  <si>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</si>
  <si>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</si>
  <si>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</si>
  <si>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</si>
  <si>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</si>
  <si>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</si>
  <si>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</si>
  <si>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</si>
  <si>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</si>
  <si>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</si>
  <si>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</si>
  <si>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</si>
  <si>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</si>
  <si>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</si>
  <si>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</si>
  <si>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</si>
  <si>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</si>
  <si>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</si>
  <si>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</si>
  <si>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</si>
  <si>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</si>
  <si>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</si>
  <si>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</si>
  <si>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</si>
  <si>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</si>
  <si>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</si>
  <si>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</si>
  <si>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</si>
  <si>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</si>
  <si>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</si>
  <si>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</si>
  <si>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</si>
  <si>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</si>
  <si>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</si>
  <si>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</si>
  <si>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</si>
  <si>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</si>
  <si>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</si>
  <si>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</si>
  <si>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</si>
  <si>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</si>
  <si>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</si>
  <si>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</si>
  <si>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</si>
  <si>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</si>
  <si>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</si>
  <si>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</si>
  <si>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</si>
  <si>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</si>
  <si>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</si>
  <si>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</si>
  <si>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</si>
  <si>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</si>
  <si>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</si>
  <si>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</si>
  <si>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</si>
  <si>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</si>
  <si>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</si>
  <si>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</si>
  <si>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</si>
  <si>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</si>
  <si>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</si>
  <si>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</si>
  <si>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</si>
  <si>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</si>
  <si>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</si>
  <si>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</si>
  <si>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</si>
  <si>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</si>
  <si>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</si>
  <si>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</si>
  <si>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</si>
  <si>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</si>
  <si>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</si>
  <si>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</si>
  <si>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</si>
  <si>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</si>
  <si>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</si>
  <si>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</si>
  <si>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</si>
  <si>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</si>
  <si>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</si>
  <si>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</si>
  <si>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</si>
  <si>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</si>
  <si>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</si>
  <si>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</si>
  <si>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</si>
  <si>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</si>
  <si>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</si>
  <si>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</si>
  <si>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</si>
  <si>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</si>
  <si>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</si>
  <si>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</si>
  <si>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</si>
  <si>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</si>
  <si>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</si>
  <si>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</si>
  <si>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</si>
  <si>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</si>
  <si>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</si>
  <si>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</si>
  <si>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</si>
  <si>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</si>
  <si>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</si>
  <si>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</si>
  <si>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</si>
  <si>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</si>
  <si>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</si>
  <si>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</si>
  <si>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</si>
  <si>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</si>
  <si>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</si>
  <si>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</si>
  <si>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</si>
  <si>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</si>
  <si>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</si>
  <si>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</si>
  <si>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</si>
  <si>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</si>
  <si>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</si>
  <si>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</si>
  <si>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</si>
  <si>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</si>
  <si>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</si>
  <si>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</si>
  <si>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</si>
  <si>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</si>
  <si>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</si>
  <si>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</si>
  <si>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</si>
  <si>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</si>
  <si>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</si>
  <si>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</si>
  <si>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</si>
  <si>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</si>
  <si>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</si>
  <si>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</si>
  <si>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</si>
  <si>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</si>
  <si>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</si>
  <si>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</si>
  <si>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</si>
  <si>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</si>
  <si>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</si>
  <si>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</si>
  <si>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</si>
  <si>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</si>
  <si>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</si>
  <si>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</si>
  <si>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</si>
  <si>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</si>
  <si>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</si>
  <si>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</si>
  <si>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</si>
  <si>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</si>
  <si>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</si>
  <si>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</si>
  <si>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</si>
  <si>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</si>
  <si>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</si>
  <si>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</si>
  <si>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</si>
  <si>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</si>
  <si>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</si>
  <si>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</si>
  <si>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</si>
  <si>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</si>
  <si>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</si>
  <si>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</si>
  <si>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</si>
  <si>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</si>
  <si>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</si>
  <si>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</si>
  <si>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</si>
  <si>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</si>
  <si>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</si>
  <si>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</si>
  <si>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</si>
  <si>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</si>
  <si>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</si>
  <si>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</si>
  <si>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</si>
  <si>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</si>
  <si>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</si>
  <si>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</si>
  <si>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</si>
  <si>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</si>
  <si>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</si>
  <si>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</si>
  <si>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</si>
  <si>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</si>
  <si>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</si>
  <si>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</si>
  <si>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</si>
  <si>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</si>
  <si>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</si>
  <si>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</si>
  <si>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</si>
  <si>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</si>
  <si>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</si>
  <si>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</si>
  <si>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</si>
  <si>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</si>
  <si>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</si>
  <si>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</si>
  <si>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</si>
  <si>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</si>
  <si>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</si>
  <si>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</si>
  <si>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</si>
  <si>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</si>
  <si>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</si>
  <si>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</si>
  <si>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</si>
  <si>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</si>
  <si>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</si>
  <si>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</si>
  <si>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</si>
  <si>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</si>
  <si>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</si>
  <si>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</si>
  <si>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</si>
  <si>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</si>
  <si>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</si>
  <si>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</si>
  <si>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</si>
  <si>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</si>
  <si>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</si>
  <si>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</si>
  <si>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</si>
  <si>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</si>
  <si>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</si>
  <si>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</si>
  <si>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</si>
  <si>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</si>
  <si>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</si>
  <si>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</si>
  <si>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</si>
  <si>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</si>
  <si>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</si>
  <si>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</si>
  <si>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</si>
  <si>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</si>
  <si>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</si>
  <si>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</si>
  <si>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</si>
  <si>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</si>
  <si>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</si>
  <si>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</si>
  <si>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</si>
  <si>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</si>
  <si>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</si>
  <si>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</si>
  <si>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</si>
  <si>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</si>
  <si>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</si>
  <si>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</si>
  <si>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</si>
  <si>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</si>
  <si>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</si>
  <si>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</si>
  <si>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</si>
  <si>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</si>
  <si>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</si>
  <si>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</si>
  <si>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</si>
  <si>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</si>
  <si>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</si>
  <si>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</si>
  <si>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</si>
  <si>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</si>
  <si>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</si>
  <si>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</si>
  <si>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</si>
  <si>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</si>
  <si>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</si>
  <si>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</si>
  <si>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</si>
  <si>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</si>
  <si>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</si>
  <si>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</si>
  <si>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</si>
  <si>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</si>
  <si>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</si>
  <si>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</si>
  <si>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</si>
  <si>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</si>
  <si>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</si>
  <si>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</si>
  <si>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</si>
  <si>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</si>
  <si>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</si>
  <si>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</si>
  <si>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</si>
  <si>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</si>
  <si>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</si>
  <si>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</si>
  <si>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</si>
  <si>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</si>
  <si>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</si>
  <si>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</si>
  <si>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</si>
  <si>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</si>
  <si>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</si>
  <si>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</si>
  <si>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</si>
  <si>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</si>
  <si>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</si>
  <si>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</si>
  <si>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</si>
  <si>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</si>
  <si>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</si>
  <si>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</si>
  <si>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</si>
  <si>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</si>
  <si>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</si>
  <si>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</si>
  <si>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</si>
  <si>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</si>
  <si>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</si>
  <si>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</si>
  <si>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</si>
  <si>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</si>
  <si>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</si>
  <si>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</si>
  <si>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</si>
  <si>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</si>
  <si>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</si>
  <si>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</si>
  <si>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</si>
  <si>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</si>
  <si>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</si>
  <si>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</si>
  <si>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</si>
  <si>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</si>
  <si>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</si>
  <si>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</si>
  <si>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</si>
  <si>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</si>
  <si>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</si>
  <si>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</si>
  <si>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</si>
  <si>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</si>
  <si>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</si>
  <si>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</si>
  <si>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</si>
  <si>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</si>
  <si>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</si>
  <si>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</si>
  <si>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</si>
  <si>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</si>
  <si>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</si>
  <si>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</si>
  <si>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</si>
  <si>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</si>
  <si>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</si>
  <si>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</si>
  <si>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</si>
  <si>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</si>
  <si>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</si>
  <si>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</si>
  <si>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</si>
  <si>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</si>
  <si>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</si>
  <si>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</si>
  <si>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</si>
  <si>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</si>
  <si>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</si>
  <si>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</si>
  <si>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</si>
  <si>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</si>
  <si>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</si>
  <si>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</si>
  <si>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</si>
  <si>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</si>
  <si>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</si>
  <si>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</si>
  <si>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</si>
  <si>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</si>
  <si>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</si>
  <si>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</si>
  <si>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</si>
  <si>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</si>
  <si>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</si>
  <si>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</si>
  <si>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</si>
  <si>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</si>
  <si>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</si>
  <si>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</si>
  <si>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</si>
  <si>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</si>
  <si>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</si>
  <si>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</si>
  <si>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</si>
  <si>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</si>
  <si>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</si>
  <si>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</si>
  <si>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</si>
  <si>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</si>
  <si>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</si>
  <si>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</si>
  <si>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</si>
  <si>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</si>
  <si>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</si>
  <si>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</si>
  <si>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</si>
  <si>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</si>
  <si>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</si>
  <si>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</si>
  <si>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</si>
  <si>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</si>
  <si>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</si>
  <si>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</si>
  <si>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</si>
  <si>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</si>
  <si>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</si>
  <si>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</si>
  <si>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</si>
  <si>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</si>
  <si>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</si>
  <si>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</si>
  <si>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</si>
  <si>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</si>
  <si>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</si>
  <si>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</si>
  <si>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</si>
  <si>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</si>
  <si>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</si>
  <si>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</si>
  <si>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</si>
  <si>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</si>
  <si>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</si>
  <si>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</si>
  <si>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</si>
  <si>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</si>
  <si>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</si>
  <si>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</si>
  <si>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</si>
  <si>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</si>
  <si>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</si>
  <si>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</si>
  <si>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</si>
  <si>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</si>
  <si>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</si>
  <si>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</si>
  <si>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</si>
  <si>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</si>
  <si>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</si>
  <si>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</si>
  <si>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</si>
  <si>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</si>
  <si>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</si>
  <si>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</si>
  <si>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</si>
  <si>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</si>
  <si>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</si>
  <si>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</si>
  <si>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</si>
  <si>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</si>
  <si>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</si>
  <si>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</si>
  <si>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</si>
  <si>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</si>
  <si>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</si>
  <si>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</si>
  <si>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</si>
  <si>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</si>
  <si>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</si>
  <si>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</si>
  <si>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</si>
  <si>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</si>
  <si>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</si>
  <si>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</si>
  <si>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</si>
  <si>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</si>
  <si>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</si>
  <si>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</si>
  <si>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</si>
  <si>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</si>
  <si>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</si>
  <si>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</si>
  <si>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</si>
  <si>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</si>
  <si>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</si>
  <si>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</si>
  <si>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</si>
  <si>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</si>
  <si>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</si>
  <si>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</si>
  <si>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</si>
  <si>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</si>
  <si>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</si>
  <si>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</si>
  <si>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</si>
  <si>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</si>
  <si>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</si>
  <si>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</si>
  <si>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</si>
  <si>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</si>
  <si>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</si>
  <si>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</si>
  <si>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</si>
  <si>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</si>
  <si>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</si>
  <si>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</si>
  <si>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</si>
  <si>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</si>
  <si>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</si>
  <si>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</si>
  <si>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</si>
  <si>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</si>
  <si>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</si>
  <si>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</si>
  <si>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</si>
  <si>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</si>
  <si>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</si>
  <si>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</si>
  <si>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</si>
  <si>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</si>
  <si>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</si>
  <si>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</si>
  <si>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</si>
  <si>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</si>
  <si>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</si>
  <si>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</si>
  <si>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</si>
  <si>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</si>
  <si>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</si>
  <si>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</si>
  <si>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</si>
  <si>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</si>
  <si>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</si>
  <si>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</si>
  <si>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</si>
  <si>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</si>
  <si>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</si>
  <si>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</si>
  <si>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</si>
  <si>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</si>
  <si>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</si>
  <si>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</si>
  <si>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</si>
  <si>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</si>
  <si>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</si>
  <si>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</si>
  <si>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</si>
  <si>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</si>
  <si>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</si>
  <si>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</si>
  <si>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</si>
  <si>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</si>
  <si>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</si>
  <si>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</si>
  <si>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</si>
  <si>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</si>
  <si>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</si>
  <si>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</si>
  <si>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</si>
  <si>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</si>
  <si>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</si>
  <si>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</si>
  <si>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</si>
  <si>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</si>
  <si>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</si>
  <si>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</si>
  <si>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</si>
  <si>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</si>
  <si>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</si>
  <si>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</si>
  <si>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</si>
  <si>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</si>
  <si>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</si>
  <si>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</si>
  <si>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</si>
  <si>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</si>
  <si>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</si>
  <si>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</si>
  <si>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</si>
  <si>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</si>
  <si>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</si>
  <si>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</si>
  <si>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</si>
  <si>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</si>
  <si>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</si>
  <si>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</si>
  <si>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</si>
  <si>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</si>
  <si>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</si>
  <si>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</si>
  <si>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</si>
  <si>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</si>
  <si>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</si>
  <si>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</si>
  <si>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</si>
  <si>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</si>
  <si>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</si>
  <si>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</si>
  <si>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</si>
  <si>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</si>
  <si>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</si>
  <si>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</si>
  <si>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</si>
  <si>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</si>
  <si>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</si>
  <si>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</si>
  <si>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</si>
  <si>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</si>
  <si>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</si>
  <si>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</si>
  <si>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</si>
  <si>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</si>
  <si>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</si>
  <si>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</si>
  <si>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</si>
  <si>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</si>
  <si>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</si>
  <si>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</si>
  <si>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</si>
  <si>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</si>
  <si>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</si>
  <si>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</si>
  <si>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</si>
  <si>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</si>
  <si>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</si>
  <si>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</si>
  <si>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</si>
  <si>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</si>
  <si>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</si>
  <si>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</si>
  <si>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</si>
  <si>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</si>
  <si>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</si>
  <si>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</si>
  <si>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</si>
  <si>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</si>
  <si>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</si>
  <si>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</si>
  <si>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</si>
  <si>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</si>
  <si>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</si>
  <si>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</si>
  <si>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</si>
  <si>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</si>
  <si>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</si>
  <si>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</si>
  <si>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</si>
  <si>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</si>
  <si>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</si>
  <si>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</si>
  <si>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</si>
  <si>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</si>
  <si>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</si>
  <si>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</si>
  <si>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</si>
  <si>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</si>
  <si>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</si>
  <si>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</si>
  <si>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</si>
  <si>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</si>
  <si>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</si>
  <si>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</si>
  <si>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</si>
  <si>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</si>
  <si>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</si>
  <si>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</si>
  <si>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</si>
  <si>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</si>
  <si>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</si>
  <si>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</si>
  <si>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</si>
  <si>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</si>
  <si>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</si>
  <si>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</si>
  <si>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</si>
  <si>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</si>
  <si>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</si>
  <si>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</si>
  <si>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</si>
  <si>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</si>
  <si>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</si>
  <si>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</si>
  <si>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</si>
  <si>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</si>
  <si>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</si>
  <si>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</si>
  <si>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</si>
  <si>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</si>
  <si>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</si>
  <si>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</si>
  <si>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</si>
  <si>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</si>
  <si>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</si>
  <si>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</si>
  <si>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</si>
  <si>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</si>
  <si>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</si>
  <si>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</si>
  <si>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</si>
  <si>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</si>
  <si>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</si>
  <si>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</si>
  <si>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</si>
  <si>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</si>
  <si>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</si>
  <si>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</si>
  <si>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</si>
  <si>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</si>
  <si>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</si>
  <si>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</si>
  <si>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</si>
  <si>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</si>
  <si>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</si>
  <si>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</si>
  <si>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</si>
  <si>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</si>
  <si>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</si>
  <si>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</si>
  <si>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</si>
  <si>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</si>
  <si>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</si>
  <si>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</si>
  <si>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</si>
  <si>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</si>
  <si>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</si>
  <si>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</si>
  <si>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</si>
  <si>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</si>
  <si>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</si>
  <si>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</si>
  <si>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</si>
  <si>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</si>
  <si>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</si>
  <si>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</si>
  <si>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</si>
  <si>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</si>
  <si>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</si>
  <si>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</si>
  <si>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</si>
  <si>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</si>
  <si>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</si>
  <si>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</si>
  <si>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</si>
  <si>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</si>
  <si>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</si>
  <si>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</si>
  <si>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</si>
  <si>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</si>
  <si>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</si>
  <si>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</si>
  <si>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</si>
  <si>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</si>
  <si>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</si>
  <si>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</si>
  <si>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</si>
  <si>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</si>
  <si>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</si>
  <si>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</si>
  <si>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</si>
  <si>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</si>
  <si>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</si>
  <si>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</si>
  <si>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</si>
  <si>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</si>
  <si>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</si>
  <si>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</si>
  <si>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</si>
  <si>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</si>
  <si>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</si>
  <si>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</si>
  <si>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</si>
  <si>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</si>
  <si>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</si>
  <si>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</si>
  <si>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</si>
  <si>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</si>
  <si>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</si>
  <si>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</si>
  <si>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</si>
  <si>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</si>
  <si>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</si>
  <si>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</si>
  <si>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</si>
  <si>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</si>
  <si>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</si>
  <si>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</si>
  <si>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</si>
  <si>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</si>
  <si>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</si>
  <si>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</si>
  <si>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</si>
  <si>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</si>
  <si>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</si>
  <si>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</si>
  <si>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</si>
  <si>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</si>
  <si>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</si>
  <si>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</si>
  <si>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</si>
  <si>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</si>
  <si>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</si>
  <si>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</si>
  <si>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</si>
  <si>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</si>
  <si>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</si>
  <si>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</si>
  <si>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</si>
  <si>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</si>
  <si>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</si>
  <si>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</si>
  <si>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</si>
  <si>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</si>
  <si>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</si>
  <si>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</si>
  <si>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</si>
  <si>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</si>
  <si>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</si>
  <si>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</si>
  <si>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</si>
  <si>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</si>
  <si>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</si>
  <si>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</si>
  <si>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</si>
  <si>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</si>
  <si>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</si>
  <si>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</si>
  <si>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</si>
  <si>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</si>
  <si>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</si>
  <si>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</si>
  <si>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</si>
  <si>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</si>
  <si>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</si>
  <si>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</si>
  <si>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</si>
  <si>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</si>
  <si>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</si>
  <si>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</si>
  <si>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</si>
  <si>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</si>
  <si>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</si>
  <si>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</si>
  <si>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</si>
  <si>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</si>
  <si>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</si>
  <si>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</si>
  <si>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</si>
  <si>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</si>
  <si>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</si>
  <si>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</si>
  <si>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</si>
  <si>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</si>
  <si>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</si>
  <si>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</si>
  <si>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</si>
  <si>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</si>
  <si>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</si>
  <si>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</si>
  <si>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</si>
  <si>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</si>
  <si>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</si>
  <si>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</si>
  <si>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</si>
  <si>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</si>
  <si>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</si>
  <si>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</si>
  <si>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</si>
  <si>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</si>
  <si>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</si>
  <si>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</si>
  <si>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</si>
  <si>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</si>
  <si>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</si>
  <si>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</si>
  <si>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</si>
  <si>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</si>
  <si>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</si>
  <si>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</si>
  <si>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</si>
  <si>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</si>
  <si>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</si>
  <si>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</si>
  <si>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</si>
  <si>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</si>
  <si>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</si>
  <si>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</si>
  <si>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</si>
  <si>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</si>
  <si>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</si>
  <si>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</si>
  <si>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</si>
  <si>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</si>
  <si>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</si>
  <si>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</si>
  <si>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</si>
  <si>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</si>
  <si>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</si>
  <si>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</si>
  <si>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</si>
  <si>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</si>
  <si>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</si>
  <si>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</si>
  <si>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</si>
  <si>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</si>
  <si>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</si>
  <si>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</si>
  <si>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</si>
  <si>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</si>
  <si>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</si>
  <si>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</si>
  <si>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</si>
  <si>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</si>
  <si>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</si>
  <si>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</si>
  <si>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</si>
  <si>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</si>
  <si>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</si>
  <si>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</si>
  <si>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</si>
  <si>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</si>
  <si>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</si>
  <si>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</si>
  <si>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</si>
  <si>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</si>
  <si>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</si>
  <si>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</si>
  <si>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</si>
  <si>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</si>
  <si>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</si>
  <si>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</si>
  <si>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</si>
  <si>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</si>
  <si>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</si>
  <si>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</si>
  <si>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</si>
  <si>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</si>
  <si>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</si>
  <si>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</si>
  <si>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</si>
  <si>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</si>
  <si>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</si>
  <si>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</si>
  <si>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</si>
  <si>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</si>
  <si>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</si>
  <si>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</si>
  <si>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</si>
  <si>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</si>
  <si>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</si>
  <si>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</si>
  <si>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</si>
  <si>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</si>
  <si>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</si>
  <si>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</si>
  <si>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</si>
  <si>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</si>
  <si>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</si>
  <si>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</si>
  <si>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</si>
  <si>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</si>
  <si>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</si>
  <si>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</si>
  <si>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</si>
  <si>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</si>
  <si>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</si>
  <si>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</si>
  <si>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</si>
  <si>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</si>
  <si>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</si>
  <si>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</si>
  <si>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</si>
  <si>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</si>
  <si>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</si>
  <si>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</si>
  <si>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</si>
  <si>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</si>
  <si>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</si>
  <si>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</si>
  <si>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</si>
  <si>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</si>
  <si>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</si>
  <si>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</si>
  <si>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</si>
  <si>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</si>
  <si>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</si>
  <si>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</si>
  <si>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</si>
  <si>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</si>
  <si>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</si>
  <si>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</si>
  <si>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</si>
  <si>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</si>
  <si>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</si>
  <si>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</si>
  <si>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</si>
  <si>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</si>
  <si>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</si>
  <si>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</si>
  <si>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</si>
  <si>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</si>
  <si>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</si>
  <si>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</si>
  <si>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</si>
  <si>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</si>
  <si>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</si>
  <si>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</si>
  <si>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</si>
  <si>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</si>
  <si>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</si>
  <si>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</si>
  <si>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</si>
  <si>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</si>
  <si>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</si>
  <si>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</si>
  <si>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</si>
  <si>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</si>
  <si>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</si>
  <si>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</si>
  <si>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</si>
  <si>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</si>
  <si>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</si>
  <si>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</si>
  <si>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</si>
  <si>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</si>
  <si>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</si>
  <si>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</si>
  <si>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</si>
  <si>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</si>
  <si>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</si>
  <si>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</si>
  <si>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</si>
  <si>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</si>
  <si>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</si>
  <si>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</si>
  <si>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</si>
  <si>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</si>
  <si>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</si>
  <si>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</si>
  <si>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</si>
  <si>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</si>
  <si>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</si>
  <si>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</si>
  <si>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</si>
  <si>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</si>
  <si>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</si>
  <si>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</si>
  <si>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</si>
  <si>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</si>
  <si>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</si>
  <si>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</si>
  <si>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</si>
  <si>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</si>
  <si>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</si>
  <si>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</si>
  <si>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</si>
  <si>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</si>
  <si>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</si>
  <si>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</si>
  <si>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</si>
  <si>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</si>
  <si>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</si>
  <si>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</si>
  <si>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</si>
  <si>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</si>
  <si>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</si>
  <si>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</si>
  <si>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</si>
  <si>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</si>
  <si>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</si>
  <si>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</si>
  <si>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</si>
  <si>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</si>
  <si>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</si>
  <si>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</si>
  <si>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</si>
  <si>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</si>
  <si>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</si>
  <si>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</si>
  <si>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</si>
  <si>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</si>
  <si>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</si>
  <si>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</si>
  <si>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</si>
  <si>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</si>
  <si>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</si>
  <si>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</si>
  <si>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</si>
  <si>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</si>
  <si>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</si>
  <si>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</si>
  <si>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</si>
  <si>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</si>
  <si>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</si>
  <si>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</si>
  <si>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</si>
  <si>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</si>
  <si>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</si>
  <si>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</si>
  <si>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</si>
  <si>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</si>
  <si>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</si>
  <si>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</si>
  <si>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</si>
  <si>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</si>
  <si>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</si>
  <si>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</si>
  <si>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</si>
  <si>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</si>
  <si>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</si>
  <si>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</si>
  <si>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</si>
  <si>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</si>
  <si>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</si>
  <si>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</si>
  <si>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</si>
  <si>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</si>
  <si>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</si>
  <si>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</si>
  <si>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</si>
  <si>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</si>
  <si>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</si>
  <si>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</si>
  <si>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</si>
  <si>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</si>
  <si>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</si>
  <si>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</si>
  <si>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</si>
  <si>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</si>
  <si>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</si>
  <si>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</si>
  <si>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</si>
  <si>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</si>
  <si>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</si>
  <si>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</si>
  <si>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</si>
  <si>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</si>
  <si>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</si>
  <si>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</si>
  <si>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</si>
  <si>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</si>
  <si>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</si>
  <si>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</si>
  <si>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</si>
  <si>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</si>
  <si>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</si>
  <si>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</si>
  <si>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</si>
  <si>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</si>
  <si>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</si>
  <si>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</si>
  <si>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</si>
  <si>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</si>
  <si>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</si>
  <si>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</si>
  <si>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</si>
  <si>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</si>
  <si>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</si>
  <si>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</si>
  <si>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</si>
  <si>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</si>
  <si>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</si>
  <si>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</si>
  <si>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</si>
  <si>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</si>
  <si>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</si>
  <si>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</si>
  <si>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</si>
  <si>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</si>
  <si>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</si>
  <si>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</si>
  <si>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</si>
  <si>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</si>
  <si>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</si>
  <si>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</si>
  <si>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</si>
  <si>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</si>
  <si>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</si>
  <si>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</si>
  <si>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</si>
  <si>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</si>
  <si>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</si>
  <si>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</si>
  <si>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</si>
  <si>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</si>
  <si>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</si>
  <si>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</si>
  <si>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</si>
  <si>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</si>
  <si>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</si>
  <si>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</si>
  <si>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</si>
  <si>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</si>
  <si>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</si>
  <si>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</si>
  <si>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</si>
  <si>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</si>
  <si>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</si>
  <si>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</si>
  <si>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</si>
  <si>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</si>
  <si>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</si>
  <si>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</si>
  <si>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</si>
  <si>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</si>
  <si>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</si>
  <si>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</si>
  <si>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</si>
  <si>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</si>
  <si>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</si>
  <si>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</si>
  <si>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</si>
  <si>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</si>
  <si>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</si>
  <si>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</si>
  <si>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</si>
  <si>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</si>
  <si>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</si>
  <si>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</si>
  <si>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</si>
  <si>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</si>
  <si>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</si>
  <si>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</si>
  <si>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</si>
  <si>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</si>
  <si>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</si>
  <si>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</si>
  <si>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</si>
  <si>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</si>
  <si>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</si>
  <si>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</si>
  <si>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</si>
  <si>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</si>
  <si>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</si>
  <si>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</si>
  <si>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</si>
  <si>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</si>
  <si>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</si>
  <si>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</si>
  <si>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</si>
  <si>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</si>
  <si>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</si>
  <si>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</si>
  <si>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</si>
  <si>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</si>
  <si>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</si>
  <si>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</si>
  <si>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</si>
  <si>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</si>
  <si>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</si>
  <si>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</si>
  <si>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</si>
  <si>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</si>
  <si>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</si>
  <si>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</si>
  <si>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</si>
  <si>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</si>
  <si>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</si>
  <si>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</si>
  <si>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</si>
  <si>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</si>
  <si>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</si>
  <si>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</si>
  <si>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</si>
  <si>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</si>
  <si>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</si>
  <si>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</si>
  <si>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</si>
  <si>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</si>
  <si>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</si>
  <si>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</si>
  <si>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</si>
  <si>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</si>
  <si>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</si>
  <si>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</si>
  <si>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</si>
  <si>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</si>
  <si>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</si>
  <si>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</si>
  <si>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</si>
  <si>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</si>
  <si>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</si>
  <si>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</si>
  <si>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</si>
  <si>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</si>
  <si>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</si>
  <si>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</si>
  <si>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</si>
  <si>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</si>
  <si>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</si>
  <si>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</si>
  <si>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</si>
  <si>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</si>
  <si>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</si>
  <si>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</si>
  <si>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</si>
  <si>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</si>
  <si>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</si>
  <si>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</si>
  <si>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</si>
  <si>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</si>
  <si>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</si>
  <si>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</si>
  <si>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</si>
  <si>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</si>
  <si>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</si>
  <si>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</si>
  <si>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</si>
  <si>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</si>
  <si>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</si>
  <si>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</si>
  <si>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</si>
  <si>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</si>
  <si>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</si>
  <si>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</si>
  <si>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</si>
  <si>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</si>
  <si>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</si>
  <si>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</si>
  <si>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</si>
  <si>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</si>
  <si>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</si>
  <si>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</si>
  <si>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</si>
  <si>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</si>
  <si>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</si>
  <si>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</si>
  <si>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</si>
  <si>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</si>
  <si>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</si>
  <si>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</si>
  <si>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</si>
  <si>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</si>
  <si>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</si>
  <si>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</si>
  <si>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</si>
  <si>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</si>
  <si>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</si>
  <si>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</si>
  <si>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</si>
  <si>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</si>
  <si>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</si>
  <si>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</si>
  <si>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</si>
  <si>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</si>
  <si>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</si>
  <si>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</si>
  <si>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</si>
  <si>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</si>
  <si>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</si>
  <si>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</si>
  <si>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</si>
  <si>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</si>
  <si>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</si>
  <si>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</si>
  <si>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</si>
  <si>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</si>
  <si>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</si>
  <si>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</si>
  <si>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</si>
  <si>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</si>
  <si>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</si>
  <si>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</si>
  <si>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</si>
  <si>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</si>
  <si>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</si>
  <si>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</si>
  <si>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</si>
  <si>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</si>
  <si>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</si>
  <si>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</si>
  <si>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</si>
  <si>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</si>
  <si>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</si>
  <si>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</si>
  <si>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</si>
  <si>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</si>
  <si>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</si>
  <si>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</si>
  <si>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</si>
  <si>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</si>
  <si>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</si>
  <si>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</si>
  <si>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</si>
  <si>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</si>
  <si>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</si>
  <si>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</si>
  <si>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</si>
  <si>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</si>
  <si>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</si>
  <si>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</si>
  <si>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</si>
  <si>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</si>
  <si>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</si>
  <si>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</si>
  <si>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</si>
  <si>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</si>
  <si>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</si>
  <si>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</si>
  <si>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</si>
  <si>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</si>
  <si>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</si>
  <si>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</si>
  <si>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</si>
  <si>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</si>
  <si>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</si>
  <si>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</si>
  <si>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</si>
  <si>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</si>
  <si>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</si>
  <si>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</si>
  <si>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</si>
  <si>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</si>
  <si>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</si>
  <si>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</si>
  <si>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</si>
  <si>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</si>
  <si>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</si>
  <si>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</si>
  <si>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</si>
  <si>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</si>
  <si>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</si>
  <si>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</si>
  <si>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</si>
  <si>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</si>
  <si>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</si>
  <si>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</si>
  <si>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</si>
  <si>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</si>
  <si>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</si>
  <si>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</si>
  <si>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</si>
  <si>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</si>
  <si>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</si>
  <si>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</si>
  <si>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</si>
  <si>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</si>
  <si>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</si>
  <si>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</si>
  <si>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</si>
  <si>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</si>
  <si>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</si>
  <si>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</si>
  <si>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</si>
  <si>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</si>
  <si>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</si>
  <si>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</si>
  <si>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</si>
  <si>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</si>
  <si>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</si>
  <si>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</si>
  <si>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</si>
  <si>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</si>
  <si>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</si>
  <si>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</si>
  <si>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</si>
  <si>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</si>
  <si>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</si>
  <si>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</si>
  <si>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</si>
  <si>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</si>
  <si>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</si>
  <si>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</si>
  <si>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</si>
  <si>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</si>
  <si>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</si>
  <si>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</si>
  <si>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</si>
  <si>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</si>
  <si>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</si>
  <si>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</si>
  <si>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</si>
  <si>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</si>
  <si>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</si>
  <si>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</si>
  <si>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</si>
  <si>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</si>
  <si>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</si>
  <si>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</si>
  <si>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</si>
  <si>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</si>
  <si>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</si>
  <si>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</si>
  <si>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</si>
  <si>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</si>
  <si>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</si>
  <si>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</si>
  <si>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</si>
  <si>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</si>
  <si>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</si>
  <si>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</si>
  <si>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</si>
  <si>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</si>
  <si>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</si>
  <si>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</si>
  <si>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</si>
  <si>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</si>
  <si>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</si>
  <si>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</si>
  <si>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</si>
  <si>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</si>
  <si>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</si>
  <si>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</si>
  <si>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</si>
  <si>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</si>
  <si>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</si>
  <si>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</si>
  <si>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</si>
  <si>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</si>
  <si>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</si>
  <si>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</si>
  <si>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</si>
  <si>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</si>
  <si>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</si>
  <si>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</si>
  <si>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</si>
  <si>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</si>
  <si>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</si>
  <si>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</si>
  <si>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</si>
  <si>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</si>
  <si>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</si>
  <si>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</si>
  <si>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</si>
  <si>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</si>
  <si>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</si>
  <si>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</si>
  <si>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</si>
  <si>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</si>
  <si>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</si>
  <si>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</si>
  <si>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</si>
  <si>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</si>
  <si>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</si>
  <si>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</si>
  <si>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</si>
  <si>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</si>
  <si>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</si>
  <si>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</si>
  <si>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</si>
  <si>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</si>
  <si>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</si>
  <si>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</si>
  <si>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</si>
  <si>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</si>
  <si>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</si>
  <si>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</si>
  <si>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</si>
  <si>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</si>
  <si>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</si>
  <si>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</si>
  <si>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</si>
  <si>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</si>
  <si>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</si>
  <si>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</si>
  <si>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</si>
  <si>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</si>
  <si>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</si>
  <si>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</si>
  <si>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</si>
  <si>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</si>
  <si>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</si>
  <si>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</si>
  <si>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</si>
  <si>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</si>
  <si>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</si>
  <si>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</si>
  <si>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</si>
  <si>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</si>
  <si>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</si>
  <si>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</si>
  <si>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</si>
  <si>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</si>
  <si>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</si>
  <si>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</si>
  <si>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</si>
  <si>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</si>
  <si>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</si>
  <si>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</si>
  <si>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</si>
  <si>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</si>
  <si>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</si>
  <si>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</si>
  <si>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</si>
  <si>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</si>
  <si>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</si>
  <si>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</si>
  <si>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</si>
  <si>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</si>
  <si>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</si>
  <si>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</si>
  <si>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</si>
  <si>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</si>
  <si>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</si>
  <si>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</si>
  <si>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</si>
  <si>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</si>
  <si>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</si>
  <si>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</si>
  <si>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</si>
  <si>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</si>
  <si>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</si>
  <si>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</si>
  <si>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</si>
  <si>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</si>
  <si>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</si>
  <si>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</si>
  <si>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</si>
  <si>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</si>
  <si>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</si>
  <si>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</si>
  <si>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</si>
  <si>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</si>
  <si>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</si>
  <si>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</si>
  <si>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</si>
  <si>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</si>
  <si>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</si>
  <si>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</si>
  <si>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</si>
  <si>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</si>
  <si>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</si>
  <si>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</si>
  <si>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</si>
  <si>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</si>
  <si>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</si>
  <si>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</si>
  <si>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</si>
  <si>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</si>
  <si>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</si>
  <si>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</si>
  <si>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</si>
  <si>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</si>
  <si>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</si>
  <si>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</si>
  <si>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</si>
  <si>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</si>
  <si>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</si>
  <si>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</si>
  <si>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</si>
  <si>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</si>
  <si>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</si>
  <si>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</si>
  <si>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</si>
  <si>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</si>
  <si>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</si>
  <si>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</si>
  <si>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</si>
  <si>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</si>
  <si>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</si>
  <si>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</si>
  <si>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</si>
  <si>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</si>
  <si>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</si>
  <si>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</si>
  <si>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</si>
  <si>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</si>
  <si>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</si>
  <si>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</si>
  <si>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</si>
  <si>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</si>
  <si>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</si>
  <si>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</si>
  <si>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</si>
  <si>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</si>
  <si>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</si>
  <si>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</si>
  <si>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</si>
  <si>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</si>
  <si>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</si>
  <si>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</si>
  <si>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</si>
  <si>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</si>
  <si>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</si>
  <si>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</si>
  <si>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</si>
  <si>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</si>
  <si>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</si>
  <si>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</si>
  <si>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</si>
  <si>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</si>
  <si>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</si>
  <si>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</si>
  <si>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</si>
  <si>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</si>
  <si>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</si>
  <si>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</si>
  <si>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</si>
  <si>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</si>
  <si>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</si>
  <si>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</si>
  <si>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</si>
  <si>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</si>
  <si>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</si>
  <si>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</si>
  <si>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</si>
  <si>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</si>
  <si>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</si>
  <si>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</si>
  <si>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</si>
  <si>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</si>
  <si>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</si>
  <si>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</si>
  <si>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</si>
  <si>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</si>
  <si>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</si>
  <si>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</si>
  <si>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</si>
  <si>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</si>
  <si>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</si>
  <si>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</si>
  <si>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</si>
  <si>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</si>
  <si>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</si>
  <si>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</si>
  <si>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</si>
  <si>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</si>
  <si>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</si>
  <si>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</si>
  <si>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</si>
  <si>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</si>
  <si>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</si>
  <si>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</si>
  <si>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</si>
  <si>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</si>
  <si>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</si>
  <si>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</si>
  <si>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</si>
  <si>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</si>
  <si>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</si>
  <si>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</si>
  <si>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</si>
  <si>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</si>
  <si>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</si>
  <si>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</si>
  <si>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</si>
  <si>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</si>
  <si>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</si>
  <si>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</si>
  <si>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</si>
  <si>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</si>
  <si>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</si>
  <si>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</si>
  <si>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</si>
  <si>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</si>
  <si>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</si>
  <si>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</si>
  <si>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</si>
  <si>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</si>
  <si>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</si>
  <si>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</si>
  <si>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</si>
  <si>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</si>
  <si>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</si>
  <si>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</si>
  <si>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</si>
  <si>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</si>
  <si>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</si>
  <si>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</si>
  <si>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</si>
  <si>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</si>
  <si>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</si>
  <si>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</si>
  <si>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</si>
  <si>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</si>
  <si>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</si>
  <si>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</si>
  <si>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</si>
  <si>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</si>
  <si>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</si>
  <si>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</si>
  <si>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</si>
  <si>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</si>
  <si>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</si>
  <si>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</si>
  <si>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</si>
  <si>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</si>
  <si>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</si>
  <si>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</si>
  <si>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</si>
  <si>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</si>
  <si>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</si>
  <si>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</si>
  <si>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</si>
  <si>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</si>
  <si>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</si>
  <si>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</si>
  <si>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</si>
  <si>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</si>
  <si>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</si>
  <si>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</si>
  <si>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</si>
  <si>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</si>
  <si>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</si>
  <si>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</si>
  <si>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</si>
  <si>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</si>
  <si>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</si>
  <si>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</si>
  <si>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</si>
  <si>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</si>
  <si>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</si>
  <si>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</si>
  <si>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</si>
  <si>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</si>
  <si>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</si>
  <si>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</si>
  <si>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</si>
  <si>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</si>
  <si>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</si>
  <si>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</si>
  <si>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</si>
  <si>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</si>
  <si>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</si>
  <si>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</si>
  <si>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</si>
  <si>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</si>
  <si>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</si>
  <si>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</si>
  <si>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</si>
  <si>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</si>
  <si>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</si>
  <si>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</si>
  <si>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</si>
  <si>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</si>
  <si>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</si>
  <si>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</si>
  <si>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</si>
  <si>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</si>
  <si>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</si>
  <si>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</si>
  <si>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</si>
  <si>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</si>
  <si>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</si>
  <si>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</si>
  <si>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</si>
  <si>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</si>
  <si>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</si>
  <si>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</si>
  <si>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</si>
  <si>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</si>
  <si>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</si>
  <si>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</si>
  <si>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</si>
  <si>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</si>
  <si>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</si>
  <si>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</si>
  <si>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</si>
  <si>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</si>
  <si>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</si>
  <si>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</si>
  <si>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</si>
  <si>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</si>
  <si>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</si>
  <si>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</si>
  <si>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</si>
  <si>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</si>
  <si>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</si>
  <si>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</si>
  <si>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</si>
  <si>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</si>
  <si>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</si>
  <si>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</si>
  <si>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</si>
  <si>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</si>
  <si>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</si>
  <si>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</si>
  <si>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</si>
  <si>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</si>
  <si>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</si>
  <si>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</si>
  <si>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</si>
  <si>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</si>
  <si>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</si>
  <si>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</si>
  <si>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</si>
  <si>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</si>
  <si>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</si>
  <si>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</si>
  <si>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</si>
  <si>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</si>
  <si>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</si>
  <si>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</si>
  <si>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</si>
  <si>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</si>
  <si>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</si>
  <si>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</si>
  <si>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</si>
  <si>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</si>
  <si>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</si>
  <si>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</si>
  <si>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</si>
  <si>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</si>
  <si>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</si>
  <si>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</si>
  <si>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</si>
  <si>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</si>
  <si>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</si>
  <si>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</si>
  <si>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</si>
  <si>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</si>
  <si>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</si>
  <si>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</si>
  <si>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</si>
  <si>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</si>
  <si>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</si>
  <si>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</si>
  <si>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</si>
  <si>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</si>
  <si>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</si>
  <si>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</si>
  <si>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</si>
  <si>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</si>
  <si>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</si>
  <si>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</si>
  <si>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</si>
  <si>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</si>
  <si>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</si>
  <si>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</si>
  <si>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</si>
  <si>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</si>
  <si>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</si>
  <si>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</si>
  <si>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</si>
  <si>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</si>
  <si>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</si>
  <si>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</si>
  <si>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</si>
  <si>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</si>
  <si>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</si>
  <si>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</si>
  <si>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</si>
  <si>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</si>
  <si>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</si>
  <si>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</si>
  <si>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</si>
  <si>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</si>
  <si>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</si>
  <si>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</si>
  <si>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</si>
  <si>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</si>
  <si>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</si>
  <si>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</si>
  <si>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</si>
  <si>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</si>
  <si>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</si>
  <si>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</si>
  <si>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</si>
  <si>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</si>
  <si>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</si>
  <si>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</si>
  <si>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</si>
  <si>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</si>
  <si>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</si>
  <si>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</si>
  <si>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</si>
  <si>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</si>
  <si>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</si>
  <si>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</si>
  <si>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</si>
  <si>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</si>
  <si>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</si>
  <si>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</si>
  <si>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</si>
  <si>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</si>
  <si>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</si>
  <si>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</si>
  <si>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</si>
  <si>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</si>
  <si>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</si>
  <si>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</si>
  <si>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</si>
  <si>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</si>
  <si>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</si>
  <si>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</si>
  <si>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</si>
  <si>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</si>
  <si>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</si>
  <si>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</si>
  <si>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</si>
  <si>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</si>
  <si>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</si>
  <si>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</si>
  <si>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</si>
  <si>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</si>
  <si>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</si>
  <si>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</si>
  <si>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</si>
  <si>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</si>
  <si>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</si>
  <si>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</si>
  <si>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</si>
  <si>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</si>
  <si>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</si>
  <si>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</si>
  <si>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</si>
  <si>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</si>
  <si>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</si>
  <si>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</si>
  <si>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</si>
  <si>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</si>
  <si>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</si>
  <si>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</si>
  <si>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</si>
  <si>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</si>
  <si>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</si>
  <si>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</si>
  <si>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</si>
  <si>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</si>
  <si>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</si>
  <si>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</si>
  <si>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</si>
  <si>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</si>
  <si>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</si>
  <si>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</si>
  <si>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</si>
  <si>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</si>
  <si>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</si>
  <si>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</si>
  <si>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</si>
  <si>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</si>
  <si>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</si>
  <si>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</si>
  <si>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</si>
  <si>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</si>
  <si>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</si>
  <si>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</si>
  <si>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</si>
  <si>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</si>
  <si>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</si>
  <si>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</si>
  <si>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</si>
  <si>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</si>
  <si>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</si>
  <si>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</si>
  <si>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</si>
  <si>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</si>
  <si>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</si>
  <si>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</si>
  <si>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</si>
  <si>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</si>
  <si>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</si>
  <si>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3335941516</t>
  </si>
  <si>
    <t>Acevedo Dominguez, Victor Leonardo</t>
  </si>
  <si>
    <t xml:space="preserve">  </t>
  </si>
  <si>
    <t xml:space="preserve">Gil Carrera, Santiago </t>
  </si>
  <si>
    <t>ReservaC Norte</t>
  </si>
  <si>
    <t xml:space="preserve">De Leon Morillo, Nelson </t>
  </si>
  <si>
    <t>3335949938</t>
  </si>
  <si>
    <t>3335949937</t>
  </si>
  <si>
    <t>LECTOR</t>
  </si>
  <si>
    <t>PRINTER</t>
  </si>
  <si>
    <t>3335950132</t>
  </si>
  <si>
    <t>3335950114</t>
  </si>
  <si>
    <t>3335950111</t>
  </si>
  <si>
    <t>3335950108</t>
  </si>
  <si>
    <t>Hold</t>
  </si>
  <si>
    <t>2 Gavetas Vacias + 1 Gaveta Fallando</t>
  </si>
  <si>
    <t>3335950621</t>
  </si>
  <si>
    <t>3335951664</t>
  </si>
  <si>
    <t>3335951618</t>
  </si>
  <si>
    <t>3335951585</t>
  </si>
  <si>
    <t>3335951581</t>
  </si>
  <si>
    <t>3335951573</t>
  </si>
  <si>
    <t>3335951553</t>
  </si>
  <si>
    <t>3335951518</t>
  </si>
  <si>
    <t>REINICIO FALLIDO</t>
  </si>
  <si>
    <t>3335951971</t>
  </si>
  <si>
    <t>3335951968</t>
  </si>
  <si>
    <t>3335951967</t>
  </si>
  <si>
    <t>3335951966</t>
  </si>
  <si>
    <t>3335951935</t>
  </si>
  <si>
    <t>3335951920</t>
  </si>
  <si>
    <t>3335951914</t>
  </si>
  <si>
    <t>3335951911</t>
  </si>
  <si>
    <t>3335951908</t>
  </si>
  <si>
    <t>3335951906</t>
  </si>
  <si>
    <t>3335951905</t>
  </si>
  <si>
    <t>3335951904</t>
  </si>
  <si>
    <t>3335951903</t>
  </si>
  <si>
    <t>3335951896</t>
  </si>
  <si>
    <t>3335951877</t>
  </si>
  <si>
    <t>3335951869</t>
  </si>
  <si>
    <t>3335951829</t>
  </si>
  <si>
    <t>3335951826</t>
  </si>
  <si>
    <t>3335951823</t>
  </si>
  <si>
    <t>3335951803</t>
  </si>
  <si>
    <t>3335951799</t>
  </si>
  <si>
    <t>3335951790</t>
  </si>
  <si>
    <t>3335952005</t>
  </si>
  <si>
    <t>3335952004</t>
  </si>
  <si>
    <t>3335952002</t>
  </si>
  <si>
    <t>3335952001</t>
  </si>
  <si>
    <t>3335951996</t>
  </si>
  <si>
    <t>3335951994</t>
  </si>
  <si>
    <t>3335951992</t>
  </si>
  <si>
    <t>3335951991</t>
  </si>
  <si>
    <t>3335951989</t>
  </si>
  <si>
    <t>3335951984</t>
  </si>
  <si>
    <t>3335951981</t>
  </si>
  <si>
    <t>13 Julio de 2021</t>
  </si>
  <si>
    <t>3335952011</t>
  </si>
  <si>
    <t>3335952012</t>
  </si>
  <si>
    <t>3335952013</t>
  </si>
  <si>
    <t>3335952014</t>
  </si>
  <si>
    <t>3335952015</t>
  </si>
  <si>
    <t>3335952016</t>
  </si>
  <si>
    <t>3335952018</t>
  </si>
  <si>
    <t>3335952019</t>
  </si>
  <si>
    <t>3335952020</t>
  </si>
  <si>
    <t>3335952021</t>
  </si>
  <si>
    <t>3335952022</t>
  </si>
  <si>
    <t>3335952168</t>
  </si>
  <si>
    <t>3335952149</t>
  </si>
  <si>
    <t>3335952080</t>
  </si>
  <si>
    <t>3335952031</t>
  </si>
  <si>
    <t>3335952026</t>
  </si>
  <si>
    <t xml:space="preserve">Gonzalez Ceballos, Dionisio </t>
  </si>
  <si>
    <t>Alonzo Estrella, Placido de Jesus</t>
  </si>
  <si>
    <t>3335951914 </t>
  </si>
  <si>
    <t>3335951869 </t>
  </si>
  <si>
    <t>3335952628</t>
  </si>
  <si>
    <t>3335952627</t>
  </si>
  <si>
    <t>3335952592</t>
  </si>
  <si>
    <t>3335952511</t>
  </si>
  <si>
    <t>3335952357</t>
  </si>
  <si>
    <t>3335952318</t>
  </si>
  <si>
    <t>3335952268</t>
  </si>
  <si>
    <t>3335952638</t>
  </si>
  <si>
    <t>3335952634</t>
  </si>
  <si>
    <t>3335952532</t>
  </si>
  <si>
    <t>3335952526</t>
  </si>
  <si>
    <t>3335952282</t>
  </si>
  <si>
    <t>Closed</t>
  </si>
  <si>
    <t>Triinet</t>
  </si>
  <si>
    <t>ENVIO DE CARGA</t>
  </si>
  <si>
    <t>Doñe Ramirez, Luis Manuel</t>
  </si>
  <si>
    <t>INHIBIDO</t>
  </si>
  <si>
    <t>SIN ACTIVIDAD DE RETIRO</t>
  </si>
  <si>
    <t xml:space="preserve">Perez Almonte, Franklin </t>
  </si>
  <si>
    <t>Moreta, Christian Aury</t>
  </si>
  <si>
    <t>CARGA EXITOSA</t>
  </si>
  <si>
    <t>3335953252</t>
  </si>
  <si>
    <t>3335953223</t>
  </si>
  <si>
    <t>3335953173</t>
  </si>
  <si>
    <t>3335953163</t>
  </si>
  <si>
    <t>3335953153</t>
  </si>
  <si>
    <t>3335953149</t>
  </si>
  <si>
    <t>3335953148</t>
  </si>
  <si>
    <t>3335953136</t>
  </si>
  <si>
    <t>3335953129</t>
  </si>
  <si>
    <t>3335953116</t>
  </si>
  <si>
    <t>3335953051</t>
  </si>
  <si>
    <t>3335953007</t>
  </si>
  <si>
    <t>3335953006</t>
  </si>
  <si>
    <t>3335953003</t>
  </si>
  <si>
    <t>3335953001</t>
  </si>
  <si>
    <t>3335952997</t>
  </si>
  <si>
    <t>3335952988</t>
  </si>
  <si>
    <t>3335952984</t>
  </si>
  <si>
    <t>3335952959</t>
  </si>
  <si>
    <t>3335952846</t>
  </si>
  <si>
    <t>3335952830</t>
  </si>
  <si>
    <t>3335952820</t>
  </si>
  <si>
    <t>Liriano Zapata, Wilson Rafael</t>
  </si>
  <si>
    <t>Reyes Martinez, Samuel Elymax</t>
  </si>
  <si>
    <t>3335952871</t>
  </si>
  <si>
    <t>3335952813</t>
  </si>
  <si>
    <t>3335952810</t>
  </si>
  <si>
    <t>3335952793</t>
  </si>
  <si>
    <t>TECLADO</t>
  </si>
  <si>
    <t>INHIBIDO - REINICIO</t>
  </si>
  <si>
    <t>REINICIO EXITOSO</t>
  </si>
  <si>
    <t>CARGA FALLIDA</t>
  </si>
  <si>
    <t>3335953389</t>
  </si>
  <si>
    <t>3335953381</t>
  </si>
  <si>
    <t>3335953377</t>
  </si>
  <si>
    <t>3335953373</t>
  </si>
  <si>
    <t>3335953369</t>
  </si>
  <si>
    <t>3335953367</t>
  </si>
  <si>
    <t>3335953362</t>
  </si>
  <si>
    <t>GAVETA DE RECHAZO LLENO</t>
  </si>
  <si>
    <t>3335953611</t>
  </si>
  <si>
    <t>3335953609</t>
  </si>
  <si>
    <t>3335953608</t>
  </si>
  <si>
    <t>3335953607</t>
  </si>
  <si>
    <t>3335953605</t>
  </si>
  <si>
    <t>3335953603</t>
  </si>
  <si>
    <t>3335953600</t>
  </si>
  <si>
    <t>3335953599</t>
  </si>
  <si>
    <t>3335953597</t>
  </si>
  <si>
    <t>3335953594</t>
  </si>
  <si>
    <t>3335953592</t>
  </si>
  <si>
    <t>3335953591</t>
  </si>
  <si>
    <t>3335953590</t>
  </si>
  <si>
    <t>3335953588</t>
  </si>
  <si>
    <t>3335953583</t>
  </si>
  <si>
    <t>3335953581</t>
  </si>
  <si>
    <t>3335953551</t>
  </si>
  <si>
    <t>3335953547</t>
  </si>
  <si>
    <t>3335953503</t>
  </si>
  <si>
    <t>3335953462</t>
  </si>
  <si>
    <t>3335953458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</si>
</sst>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FFFFFF"/>
      <name val="Palatino Linotype"/>
      <family val="1"/>
    </font>
    <font>
      <sz val="12"/>
      <color theme="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54" fillId="44" borderId="0" xfId="0" applyFont="1" applyFill="1" applyBorder="1" applyAlignment="1">
      <alignment horizontal="center" vertical="center" wrapText="1"/>
    </xf>
    <xf numFmtId="0" fontId="55" fillId="42" borderId="40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30" fillId="40" borderId="39" xfId="0" applyFont="1" applyFill="1" applyBorder="1" applyAlignment="1">
      <alignment horizontal="center" vertical="center" wrapText="1"/>
    </xf>
    <xf numFmtId="0" fontId="55" fillId="42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22" fontId="56" fillId="5" borderId="67" xfId="0" applyNumberFormat="1" applyFont="1" applyFill="1" applyBorder="1" applyAlignment="1">
      <alignment horizontal="center" vertical="center"/>
    </xf>
    <xf numFmtId="0" fontId="56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59"/>
      <tableStyleElement type="headerRow" dxfId="158"/>
      <tableStyleElement type="totalRow" dxfId="157"/>
      <tableStyleElement type="firstColumn" dxfId="156"/>
      <tableStyleElement type="lastColumn" dxfId="155"/>
      <tableStyleElement type="firstRowStripe" dxfId="154"/>
      <tableStyleElement type="firstColumnStripe" dxfId="1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s460-helpdesk/CAisd/pdmweb.exe?OP=SEARCH+FACTORY=in+SKIPLIST=1+QBE.EQ.id=3660546" TargetMode="External"/><Relationship Id="rId13" Type="http://schemas.openxmlformats.org/officeDocument/2006/relationships/hyperlink" Target="http://s460-helpdesk/CAisd/pdmweb.exe?OP=SEARCH+FACTORY=in+SKIPLIST=1+QBE.EQ.id=3660540" TargetMode="External"/><Relationship Id="rId18" Type="http://schemas.openxmlformats.org/officeDocument/2006/relationships/printerSettings" Target="../printerSettings/printerSettings7.bin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http://s460-helpdesk/CAisd/pdmweb.exe?OP=SEARCH+FACTORY=in+SKIPLIST=1+QBE.EQ.id=3660547" TargetMode="External"/><Relationship Id="rId12" Type="http://schemas.openxmlformats.org/officeDocument/2006/relationships/hyperlink" Target="http://s460-helpdesk/CAisd/pdmweb.exe?OP=SEARCH+FACTORY=in+SKIPLIST=1+QBE.EQ.id=3660541" TargetMode="External"/><Relationship Id="rId17" Type="http://schemas.openxmlformats.org/officeDocument/2006/relationships/hyperlink" Target="http://s460-helpdesk/CAisd/pdmweb.exe?OP=SEARCH+FACTORY=in+SKIPLIST=1+QBE.EQ.id=3660536" TargetMode="External"/><Relationship Id="rId2" Type="http://schemas.openxmlformats.org/officeDocument/2006/relationships/printerSettings" Target="../printerSettings/printerSettings2.bin"/><Relationship Id="rId16" Type="http://schemas.openxmlformats.org/officeDocument/2006/relationships/hyperlink" Target="http://s460-helpdesk/CAisd/pdmweb.exe?OP=SEARCH+FACTORY=in+SKIPLIST=1+QBE.EQ.id=3660537" TargetMode="External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hyperlink" Target="http://s460-helpdesk/CAisd/pdmweb.exe?OP=SEARCH+FACTORY=in+SKIPLIST=1+QBE.EQ.id=3660543" TargetMode="External"/><Relationship Id="rId5" Type="http://schemas.openxmlformats.org/officeDocument/2006/relationships/printerSettings" Target="../printerSettings/printerSettings5.bin"/><Relationship Id="rId15" Type="http://schemas.openxmlformats.org/officeDocument/2006/relationships/hyperlink" Target="http://s460-helpdesk/CAisd/pdmweb.exe?OP=SEARCH+FACTORY=in+SKIPLIST=1+QBE.EQ.id=3660538" TargetMode="External"/><Relationship Id="rId10" Type="http://schemas.openxmlformats.org/officeDocument/2006/relationships/hyperlink" Target="http://s460-helpdesk/CAisd/pdmweb.exe?OP=SEARCH+FACTORY=in+SKIPLIST=1+QBE.EQ.id=3660544" TargetMode="External"/><Relationship Id="rId4" Type="http://schemas.openxmlformats.org/officeDocument/2006/relationships/printerSettings" Target="../printerSettings/printerSettings4.bin"/><Relationship Id="rId9" Type="http://schemas.openxmlformats.org/officeDocument/2006/relationships/hyperlink" Target="http://s460-helpdesk/CAisd/pdmweb.exe?OP=SEARCH+FACTORY=in+SKIPLIST=1+QBE.EQ.id=3660545" TargetMode="External"/><Relationship Id="rId14" Type="http://schemas.openxmlformats.org/officeDocument/2006/relationships/hyperlink" Target="http://s460-helpdesk/CAisd/pdmweb.exe?OP=SEARCH+FACTORY=in+SKIPLIST=1+QBE.EQ.id=3660539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E7" sqref="E7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5" t="s">
        <v>58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114" t="str">
        <f ca="1">CONCATENATE(TODAY()-C3," días")</f>
        <v>64.8324421296275 días</v>
      </c>
      <c r="B3" s="98" t="s">
        <v>2543</v>
      </c>
      <c r="C3" s="100">
        <v>44325.167557870373</v>
      </c>
      <c r="D3" s="100" t="s">
        <v>2180</v>
      </c>
      <c r="E3" s="96">
        <v>812</v>
      </c>
      <c r="F3" s="102" t="str">
        <f>VLOOKUP(E3,'LISTADO ATM'!$A$2:$B$818,2,0)</f>
        <v xml:space="preserve">ATM Canasta del Pueblo </v>
      </c>
      <c r="G3" s="102" t="str">
        <f>VLOOKUP(E3,VIP!$A$2:$O4512,6,0)</f>
        <v>NO</v>
      </c>
      <c r="H3" s="102" t="str">
        <f>VLOOKUP(E3,VIP!$A$2:$O4544,7,FALSE)</f>
        <v>Si</v>
      </c>
      <c r="I3" s="102" t="str">
        <f>VLOOKUP(E3,VIP!$A$2:$O4421,8,FALSE)</f>
        <v>Si</v>
      </c>
      <c r="J3" s="102" t="str">
        <f>VLOOKUP(E3,VIP!$A$2:$O4350,8,FALSE)</f>
        <v>Si</v>
      </c>
      <c r="K3" s="97" t="s">
        <v>2219</v>
      </c>
    </row>
    <row r="4" spans="1:11" ht="18" x14ac:dyDescent="0.25">
      <c r="A4" s="114" t="str">
        <f t="shared" ref="A4:A12" ca="1" si="0">CONCATENATE(TODAY()-C4," días")</f>
        <v>38.3409722222204 días</v>
      </c>
      <c r="B4" s="108">
        <v>3335910002</v>
      </c>
      <c r="C4" s="100">
        <v>44351.65902777778</v>
      </c>
      <c r="D4" s="100" t="s">
        <v>2180</v>
      </c>
      <c r="E4" s="107">
        <v>744</v>
      </c>
      <c r="F4" s="102" t="str">
        <f>VLOOKUP(E4,'LISTADO ATM'!$A$2:$B$818,2,0)</f>
        <v xml:space="preserve">ATM Multicentro La Sirena Venezuela </v>
      </c>
      <c r="G4" s="102" t="str">
        <f>VLOOKUP(E4,VIP!$A$2:$O4513,6,0)</f>
        <v>SI</v>
      </c>
      <c r="H4" s="102" t="str">
        <f>VLOOKUP(E4,VIP!$A$2:$O4545,7,FALSE)</f>
        <v>Si</v>
      </c>
      <c r="I4" s="102" t="str">
        <f>VLOOKUP(E4,VIP!$A$2:$O4422,8,FALSE)</f>
        <v>Si</v>
      </c>
      <c r="J4" s="102" t="str">
        <f>VLOOKUP(E4,VIP!$A$2:$O4351,8,FALSE)</f>
        <v>Si</v>
      </c>
      <c r="K4" s="109" t="s">
        <v>2245</v>
      </c>
    </row>
    <row r="5" spans="1:11" ht="18" x14ac:dyDescent="0.25">
      <c r="A5" s="114" t="str">
        <f t="shared" ca="1" si="0"/>
        <v>27.4985879629603 días</v>
      </c>
      <c r="B5" s="108">
        <v>3335920777</v>
      </c>
      <c r="C5" s="100">
        <v>44362.50141203704</v>
      </c>
      <c r="D5" s="100" t="s">
        <v>2180</v>
      </c>
      <c r="E5" s="107">
        <v>909</v>
      </c>
      <c r="F5" s="102" t="str">
        <f>VLOOKUP(E5,'LISTADO ATM'!$A$2:$B$818,2,0)</f>
        <v xml:space="preserve">ATM UNP UASD </v>
      </c>
      <c r="G5" s="102" t="str">
        <f>VLOOKUP(E5,VIP!$A$2:$O4514,6,0)</f>
        <v>SI</v>
      </c>
      <c r="H5" s="102" t="str">
        <f>VLOOKUP(E5,VIP!$A$2:$O4546,7,FALSE)</f>
        <v>Si</v>
      </c>
      <c r="I5" s="102" t="str">
        <f>VLOOKUP(E5,VIP!$A$2:$O4423,8,FALSE)</f>
        <v>Si</v>
      </c>
      <c r="J5" s="102" t="str">
        <f>VLOOKUP(E5,VIP!$A$2:$O4352,8,FALSE)</f>
        <v>Si</v>
      </c>
      <c r="K5" s="109" t="s">
        <v>2245</v>
      </c>
    </row>
    <row r="6" spans="1:11" ht="18" x14ac:dyDescent="0.25">
      <c r="A6" s="114" t="str">
        <f ca="1">CONCATENATE(TODAY()-C6," días")</f>
        <v>17.4985879629603 días</v>
      </c>
      <c r="B6" s="112">
        <v>3335933212</v>
      </c>
      <c r="C6" s="100">
        <v>44372.50141203704</v>
      </c>
      <c r="D6" s="100" t="s">
        <v>2180</v>
      </c>
      <c r="E6" s="111">
        <v>919</v>
      </c>
      <c r="F6" s="102" t="str">
        <f>VLOOKUP(E6,'LISTADO ATM'!$A$2:$B$818,2,0)</f>
        <v xml:space="preserve">ATM S/M La Cadena Sarasota </v>
      </c>
      <c r="G6" s="102" t="str">
        <f>VLOOKUP(E6,VIP!$A$2:$O4515,6,0)</f>
        <v>SI</v>
      </c>
      <c r="H6" s="102" t="str">
        <f>VLOOKUP(E6,VIP!$A$2:$O4547,7,FALSE)</f>
        <v>Si</v>
      </c>
      <c r="I6" s="102" t="str">
        <f>VLOOKUP(E6,VIP!$A$2:$O4424,8,FALSE)</f>
        <v>Si</v>
      </c>
      <c r="J6" s="102" t="str">
        <f>VLOOKUP(E6,VIP!$A$2:$O4353,8,FALSE)</f>
        <v>Si</v>
      </c>
      <c r="K6" s="109" t="s">
        <v>2245</v>
      </c>
    </row>
    <row r="7" spans="1:11" ht="18" x14ac:dyDescent="0.25">
      <c r="A7" s="114" t="str">
        <f t="shared" ca="1" si="0"/>
        <v>17.5651273148178 días</v>
      </c>
      <c r="B7" s="112">
        <v>3335932386</v>
      </c>
      <c r="C7" s="100">
        <v>44372.434872685182</v>
      </c>
      <c r="D7" s="100" t="s">
        <v>2180</v>
      </c>
      <c r="E7" s="111">
        <v>387</v>
      </c>
      <c r="F7" s="102" t="str">
        <f>VLOOKUP(E7,'LISTADO ATM'!$A$2:$B$818,2,0)</f>
        <v xml:space="preserve">ATM S/M La Cadena San Vicente de Paul </v>
      </c>
      <c r="G7" s="102" t="str">
        <f>VLOOKUP(E7,VIP!$A$2:$O4516,6,0)</f>
        <v>NO</v>
      </c>
      <c r="H7" s="102" t="str">
        <f>VLOOKUP(E7,VIP!$A$2:$O4548,7,FALSE)</f>
        <v>Si</v>
      </c>
      <c r="I7" s="102" t="str">
        <f>VLOOKUP(E7,VIP!$A$2:$O4425,8,FALSE)</f>
        <v>Si</v>
      </c>
      <c r="J7" s="102" t="str">
        <f>VLOOKUP(E7,VIP!$A$2:$O4354,8,FALSE)</f>
        <v>Si</v>
      </c>
      <c r="K7" s="113" t="s">
        <v>2219</v>
      </c>
    </row>
    <row r="8" spans="1:11" ht="18" x14ac:dyDescent="0.25">
      <c r="A8" s="114" t="str">
        <f t="shared" ca="1" si="0"/>
        <v>16.6175231481466 días</v>
      </c>
      <c r="B8" s="112">
        <v>3335933212</v>
      </c>
      <c r="C8" s="100">
        <v>44373.382476851853</v>
      </c>
      <c r="D8" s="100" t="s">
        <v>2180</v>
      </c>
      <c r="E8" s="111">
        <v>919</v>
      </c>
      <c r="F8" s="102" t="str">
        <f>VLOOKUP(E8,'LISTADO ATM'!$A$2:$B$818,2,0)</f>
        <v xml:space="preserve">ATM S/M La Cadena Sarasota </v>
      </c>
      <c r="G8" s="102" t="str">
        <f>VLOOKUP(E8,VIP!$A$2:$O4517,6,0)</f>
        <v>SI</v>
      </c>
      <c r="H8" s="102" t="str">
        <f>VLOOKUP(E8,VIP!$A$2:$O4549,7,FALSE)</f>
        <v>Si</v>
      </c>
      <c r="I8" s="102" t="str">
        <f>VLOOKUP(E8,VIP!$A$2:$O4426,8,FALSE)</f>
        <v>Si</v>
      </c>
      <c r="J8" s="102" t="str">
        <f>VLOOKUP(E8,VIP!$A$2:$O4355,8,FALSE)</f>
        <v>Si</v>
      </c>
      <c r="K8" s="113" t="s">
        <v>2245</v>
      </c>
    </row>
    <row r="9" spans="1:11" ht="18" x14ac:dyDescent="0.25">
      <c r="A9" s="114" t="str">
        <f t="shared" ca="1" si="0"/>
        <v>13.6447916666657 días</v>
      </c>
      <c r="B9" s="112">
        <v>3335935327</v>
      </c>
      <c r="C9" s="100">
        <v>44376.355208333334</v>
      </c>
      <c r="D9" s="100" t="s">
        <v>2180</v>
      </c>
      <c r="E9" s="111">
        <v>183</v>
      </c>
      <c r="F9" s="102" t="str">
        <f>VLOOKUP(E9,'LISTADO ATM'!$A$2:$B$818,2,0)</f>
        <v>ATM Estación Nativa Km. 22 Aut. Duarte.</v>
      </c>
      <c r="G9" s="102" t="str">
        <f>VLOOKUP(E9,VIP!$A$2:$O4518,6,0)</f>
        <v>N/A</v>
      </c>
      <c r="H9" s="102" t="str">
        <f>VLOOKUP(E9,VIP!$A$2:$O4550,7,FALSE)</f>
        <v>N/A</v>
      </c>
      <c r="I9" s="102" t="str">
        <f>VLOOKUP(E9,VIP!$A$2:$O4427,8,FALSE)</f>
        <v>N/A</v>
      </c>
      <c r="J9" s="102" t="str">
        <f>VLOOKUP(E9,VIP!$A$2:$O4356,8,FALSE)</f>
        <v>N/A</v>
      </c>
      <c r="K9" s="113" t="s">
        <v>2219</v>
      </c>
    </row>
    <row r="10" spans="1:11" ht="18" x14ac:dyDescent="0.25">
      <c r="A10" s="114" t="str">
        <f t="shared" ca="1" si="0"/>
        <v>11.6312615740753 días</v>
      </c>
      <c r="B10" s="112">
        <v>3335938194</v>
      </c>
      <c r="C10" s="100">
        <v>44378.368738425925</v>
      </c>
      <c r="D10" s="100" t="s">
        <v>2180</v>
      </c>
      <c r="E10" s="111">
        <v>569</v>
      </c>
      <c r="F10" s="102" t="str">
        <f>VLOOKUP(E10,'LISTADO ATM'!$A$2:$B$818,2,0)</f>
        <v xml:space="preserve">ATM Superintendencia de Seguros </v>
      </c>
      <c r="G10" s="102" t="str">
        <f>VLOOKUP(E10,VIP!$A$2:$O4519,6,0)</f>
        <v>NO</v>
      </c>
      <c r="H10" s="102" t="str">
        <f>VLOOKUP(E10,VIP!$A$2:$O4551,7,FALSE)</f>
        <v>Si</v>
      </c>
      <c r="I10" s="102" t="str">
        <f>VLOOKUP(E10,VIP!$A$2:$O4428,8,FALSE)</f>
        <v>Si</v>
      </c>
      <c r="J10" s="102" t="str">
        <f>VLOOKUP(E10,VIP!$A$2:$O4357,8,FALSE)</f>
        <v>Si</v>
      </c>
      <c r="K10" s="113" t="s">
        <v>2219</v>
      </c>
    </row>
    <row r="11" spans="1:11" ht="18" x14ac:dyDescent="0.25">
      <c r="A11" s="114" t="str">
        <f t="shared" ca="1" si="0"/>
        <v>11.5685532407442 días</v>
      </c>
      <c r="B11" s="112">
        <v>3335938443</v>
      </c>
      <c r="C11" s="100">
        <v>44378.431446759256</v>
      </c>
      <c r="D11" s="100" t="s">
        <v>2180</v>
      </c>
      <c r="E11" s="111">
        <v>135</v>
      </c>
      <c r="F11" s="102" t="str">
        <f>VLOOKUP(E11,'LISTADO ATM'!$A$2:$B$818,2,0)</f>
        <v xml:space="preserve">ATM Oficina Las Dunas Baní </v>
      </c>
      <c r="G11" s="102" t="str">
        <f>VLOOKUP(E11,VIP!$A$2:$O4520,6,0)</f>
        <v>SI</v>
      </c>
      <c r="H11" s="102" t="str">
        <f>VLOOKUP(E11,VIP!$A$2:$O4552,7,FALSE)</f>
        <v>Si</v>
      </c>
      <c r="I11" s="102" t="str">
        <f>VLOOKUP(E11,VIP!$A$2:$O4429,8,FALSE)</f>
        <v>Si</v>
      </c>
      <c r="J11" s="102" t="str">
        <f>VLOOKUP(E11,VIP!$A$2:$O4358,8,FALSE)</f>
        <v>Si</v>
      </c>
      <c r="K11" s="113" t="s">
        <v>2245</v>
      </c>
    </row>
    <row r="12" spans="1:11" ht="18" x14ac:dyDescent="0.25">
      <c r="A12" s="114" t="str">
        <f t="shared" ca="1" si="0"/>
        <v>7.68958333333285 días</v>
      </c>
      <c r="B12" s="112" t="s">
        <v>2585</v>
      </c>
      <c r="C12" s="100">
        <v>44382.310416666667</v>
      </c>
      <c r="D12" s="100" t="s">
        <v>2180</v>
      </c>
      <c r="E12" s="111">
        <v>744</v>
      </c>
      <c r="F12" s="102" t="str">
        <f>VLOOKUP(E12,'LISTADO ATM'!$A$2:$B$818,2,0)</f>
        <v xml:space="preserve">ATM Multicentro La Sirena Venezuela </v>
      </c>
      <c r="G12" s="102" t="str">
        <f>VLOOKUP(E12,VIP!$A$2:$O4521,6,0)</f>
        <v>SI</v>
      </c>
      <c r="H12" s="102" t="str">
        <f>VLOOKUP(E12,VIP!$A$2:$O4553,7,FALSE)</f>
        <v>Si</v>
      </c>
      <c r="I12" s="102" t="str">
        <f>VLOOKUP(E12,VIP!$A$2:$O4430,8,FALSE)</f>
        <v>Si</v>
      </c>
      <c r="J12" s="102" t="str">
        <f>VLOOKUP(E12,VIP!$A$2:$O4359,8,FALSE)</f>
        <v>Si</v>
      </c>
      <c r="K12" s="113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77" priority="99335"/>
  </conditionalFormatting>
  <conditionalFormatting sqref="E3">
    <cfRule type="duplicateValues" dxfId="76" priority="121698"/>
  </conditionalFormatting>
  <conditionalFormatting sqref="E3">
    <cfRule type="duplicateValues" dxfId="75" priority="121699"/>
    <cfRule type="duplicateValues" dxfId="74" priority="121700"/>
  </conditionalFormatting>
  <conditionalFormatting sqref="E3">
    <cfRule type="duplicateValues" dxfId="73" priority="121701"/>
    <cfRule type="duplicateValues" dxfId="72" priority="121702"/>
    <cfRule type="duplicateValues" dxfId="71" priority="121703"/>
    <cfRule type="duplicateValues" dxfId="70" priority="121704"/>
  </conditionalFormatting>
  <conditionalFormatting sqref="B3">
    <cfRule type="duplicateValues" dxfId="69" priority="121705"/>
  </conditionalFormatting>
  <conditionalFormatting sqref="E4">
    <cfRule type="duplicateValues" dxfId="68" priority="60"/>
  </conditionalFormatting>
  <conditionalFormatting sqref="E4">
    <cfRule type="duplicateValues" dxfId="67" priority="57"/>
    <cfRule type="duplicateValues" dxfId="66" priority="58"/>
    <cfRule type="duplicateValues" dxfId="65" priority="59"/>
  </conditionalFormatting>
  <conditionalFormatting sqref="E4">
    <cfRule type="duplicateValues" dxfId="64" priority="56"/>
  </conditionalFormatting>
  <conditionalFormatting sqref="E4">
    <cfRule type="duplicateValues" dxfId="63" priority="53"/>
    <cfRule type="duplicateValues" dxfId="62" priority="54"/>
    <cfRule type="duplicateValues" dxfId="61" priority="55"/>
  </conditionalFormatting>
  <conditionalFormatting sqref="B4">
    <cfRule type="duplicateValues" dxfId="60" priority="52"/>
  </conditionalFormatting>
  <conditionalFormatting sqref="E4">
    <cfRule type="duplicateValues" dxfId="59" priority="51"/>
  </conditionalFormatting>
  <conditionalFormatting sqref="E5">
    <cfRule type="duplicateValues" dxfId="58" priority="50"/>
  </conditionalFormatting>
  <conditionalFormatting sqref="E5">
    <cfRule type="duplicateValues" dxfId="57" priority="47"/>
    <cfRule type="duplicateValues" dxfId="56" priority="48"/>
    <cfRule type="duplicateValues" dxfId="55" priority="49"/>
  </conditionalFormatting>
  <conditionalFormatting sqref="E5">
    <cfRule type="duplicateValues" dxfId="54" priority="46"/>
  </conditionalFormatting>
  <conditionalFormatting sqref="E5">
    <cfRule type="duplicateValues" dxfId="53" priority="43"/>
    <cfRule type="duplicateValues" dxfId="52" priority="44"/>
    <cfRule type="duplicateValues" dxfId="51" priority="45"/>
  </conditionalFormatting>
  <conditionalFormatting sqref="B5">
    <cfRule type="duplicateValues" dxfId="50" priority="42"/>
  </conditionalFormatting>
  <conditionalFormatting sqref="E5">
    <cfRule type="duplicateValues" dxfId="49" priority="41"/>
  </conditionalFormatting>
  <conditionalFormatting sqref="E7:E11">
    <cfRule type="duplicateValues" dxfId="48" priority="40"/>
  </conditionalFormatting>
  <conditionalFormatting sqref="B7:B11">
    <cfRule type="duplicateValues" dxfId="47" priority="39"/>
  </conditionalFormatting>
  <conditionalFormatting sqref="B7:B11">
    <cfRule type="duplicateValues" dxfId="46" priority="36"/>
    <cfRule type="duplicateValues" dxfId="45" priority="37"/>
    <cfRule type="duplicateValues" dxfId="44" priority="38"/>
  </conditionalFormatting>
  <conditionalFormatting sqref="E7:E11">
    <cfRule type="duplicateValues" dxfId="43" priority="35"/>
  </conditionalFormatting>
  <conditionalFormatting sqref="E7:E11">
    <cfRule type="duplicateValues" dxfId="42" priority="33"/>
    <cfRule type="duplicateValues" dxfId="41" priority="34"/>
  </conditionalFormatting>
  <conditionalFormatting sqref="E7:E11">
    <cfRule type="duplicateValues" dxfId="40" priority="30"/>
    <cfRule type="duplicateValues" dxfId="39" priority="31"/>
    <cfRule type="duplicateValues" dxfId="38" priority="32"/>
  </conditionalFormatting>
  <conditionalFormatting sqref="E7:E11">
    <cfRule type="duplicateValues" dxfId="37" priority="26"/>
    <cfRule type="duplicateValues" dxfId="36" priority="27"/>
    <cfRule type="duplicateValues" dxfId="35" priority="28"/>
    <cfRule type="duplicateValues" dxfId="34" priority="29"/>
  </conditionalFormatting>
  <conditionalFormatting sqref="B6">
    <cfRule type="duplicateValues" dxfId="33" priority="25"/>
  </conditionalFormatting>
  <conditionalFormatting sqref="E6">
    <cfRule type="duplicateValues" dxfId="32" priority="24"/>
  </conditionalFormatting>
  <conditionalFormatting sqref="E6">
    <cfRule type="duplicateValues" dxfId="31" priority="21"/>
    <cfRule type="duplicateValues" dxfId="30" priority="22"/>
    <cfRule type="duplicateValues" dxfId="29" priority="23"/>
  </conditionalFormatting>
  <conditionalFormatting sqref="E6">
    <cfRule type="duplicateValues" dxfId="28" priority="20"/>
  </conditionalFormatting>
  <conditionalFormatting sqref="E6">
    <cfRule type="duplicateValues" dxfId="27" priority="17"/>
    <cfRule type="duplicateValues" dxfId="26" priority="18"/>
    <cfRule type="duplicateValues" dxfId="25" priority="19"/>
  </conditionalFormatting>
  <conditionalFormatting sqref="E6">
    <cfRule type="duplicateValues" dxfId="24" priority="16"/>
  </conditionalFormatting>
  <conditionalFormatting sqref="E12">
    <cfRule type="duplicateValues" dxfId="23" priority="15"/>
  </conditionalFormatting>
  <conditionalFormatting sqref="B12">
    <cfRule type="duplicateValues" dxfId="22" priority="14"/>
  </conditionalFormatting>
  <conditionalFormatting sqref="B12">
    <cfRule type="duplicateValues" dxfId="21" priority="11"/>
    <cfRule type="duplicateValues" dxfId="20" priority="12"/>
    <cfRule type="duplicateValues" dxfId="19" priority="13"/>
  </conditionalFormatting>
  <conditionalFormatting sqref="E12">
    <cfRule type="duplicateValues" dxfId="18" priority="10"/>
  </conditionalFormatting>
  <conditionalFormatting sqref="E12">
    <cfRule type="duplicateValues" dxfId="17" priority="8"/>
    <cfRule type="duplicateValues" dxfId="16" priority="9"/>
  </conditionalFormatting>
  <conditionalFormatting sqref="E12">
    <cfRule type="duplicateValues" dxfId="15" priority="5"/>
    <cfRule type="duplicateValues" dxfId="14" priority="6"/>
    <cfRule type="duplicateValues" dxfId="13" priority="7"/>
  </conditionalFormatting>
  <conditionalFormatting sqref="E12">
    <cfRule type="duplicateValues" dxfId="12" priority="1"/>
    <cfRule type="duplicateValues" dxfId="11" priority="2"/>
    <cfRule type="duplicateValues" dxfId="10" priority="3"/>
    <cfRule type="duplicateValues" dxfId="9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90">
        <v>7</v>
      </c>
      <c r="B2" s="91" t="s">
        <v>2029</v>
      </c>
      <c r="C2" s="91" t="s">
        <v>2533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90">
        <v>591</v>
      </c>
      <c r="B3" s="91" t="s">
        <v>507</v>
      </c>
      <c r="C3" s="91" t="s">
        <v>2534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90">
        <v>553</v>
      </c>
      <c r="B4" s="91" t="s">
        <v>544</v>
      </c>
      <c r="C4" s="91" t="s">
        <v>2535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0" customFormat="1" ht="15.75" x14ac:dyDescent="0.25">
      <c r="A337" s="81">
        <v>300</v>
      </c>
      <c r="B337" s="82" t="s">
        <v>1224</v>
      </c>
      <c r="C337" s="82" t="s">
        <v>1225</v>
      </c>
      <c r="D337" s="82" t="s">
        <v>72</v>
      </c>
      <c r="E337" s="82" t="s">
        <v>73</v>
      </c>
      <c r="F337" s="82" t="s">
        <v>2031</v>
      </c>
      <c r="G337" s="82" t="s">
        <v>77</v>
      </c>
      <c r="H337" s="82" t="s">
        <v>77</v>
      </c>
      <c r="I337" s="82" t="s">
        <v>74</v>
      </c>
      <c r="J337" s="82" t="s">
        <v>77</v>
      </c>
      <c r="K337" s="82" t="s">
        <v>77</v>
      </c>
      <c r="L337" s="82" t="s">
        <v>77</v>
      </c>
      <c r="M337" s="82" t="s">
        <v>77</v>
      </c>
      <c r="N337" s="82" t="s">
        <v>74</v>
      </c>
      <c r="O337" s="8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0" customFormat="1" ht="31.5" x14ac:dyDescent="0.25">
      <c r="A408" s="72">
        <v>387</v>
      </c>
      <c r="B408" s="73" t="s">
        <v>634</v>
      </c>
      <c r="C408" s="73" t="s">
        <v>635</v>
      </c>
      <c r="D408" s="32" t="s">
        <v>130</v>
      </c>
      <c r="E408" s="73" t="s">
        <v>73</v>
      </c>
      <c r="F408" s="73" t="s">
        <v>2031</v>
      </c>
      <c r="G408" s="73" t="s">
        <v>77</v>
      </c>
      <c r="H408" s="73" t="s">
        <v>77</v>
      </c>
      <c r="I408" s="73" t="s">
        <v>74</v>
      </c>
      <c r="J408" s="73" t="s">
        <v>77</v>
      </c>
      <c r="K408" s="73" t="s">
        <v>77</v>
      </c>
      <c r="L408" s="73" t="s">
        <v>77</v>
      </c>
      <c r="M408" s="73" t="s">
        <v>77</v>
      </c>
      <c r="N408" s="73" t="s">
        <v>74</v>
      </c>
      <c r="O408" s="73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0" customFormat="1" ht="31.5" x14ac:dyDescent="0.25">
      <c r="A443" s="81">
        <v>425</v>
      </c>
      <c r="B443" s="82" t="s">
        <v>701</v>
      </c>
      <c r="C443" s="82" t="s">
        <v>702</v>
      </c>
      <c r="D443" s="82" t="s">
        <v>130</v>
      </c>
      <c r="E443" s="82" t="s">
        <v>73</v>
      </c>
      <c r="F443" s="82" t="s">
        <v>2031</v>
      </c>
      <c r="G443" s="82" t="s">
        <v>77</v>
      </c>
      <c r="H443" s="82" t="s">
        <v>77</v>
      </c>
      <c r="I443" s="82" t="s">
        <v>74</v>
      </c>
      <c r="J443" s="82" t="s">
        <v>77</v>
      </c>
      <c r="K443" s="82" t="s">
        <v>74</v>
      </c>
      <c r="L443" s="82" t="s">
        <v>77</v>
      </c>
      <c r="M443" s="82" t="s">
        <v>77</v>
      </c>
      <c r="N443" s="82" t="s">
        <v>74</v>
      </c>
      <c r="O443" s="8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75" x14ac:dyDescent="0.25">
      <c r="A461" s="67">
        <v>446</v>
      </c>
      <c r="B461" s="68" t="s">
        <v>1954</v>
      </c>
      <c r="C461" s="68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3" customFormat="1" ht="15.75" x14ac:dyDescent="0.25">
      <c r="A793" s="85">
        <v>985</v>
      </c>
      <c r="B793" s="86" t="s">
        <v>1150</v>
      </c>
      <c r="C793" s="87" t="s">
        <v>1151</v>
      </c>
      <c r="D793" s="87" t="s">
        <v>72</v>
      </c>
      <c r="E793" s="8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6" t="s">
        <v>1180</v>
      </c>
    </row>
    <row r="794" spans="1:15" s="83" customFormat="1" ht="15.75" x14ac:dyDescent="0.25">
      <c r="A794" s="85">
        <v>986</v>
      </c>
      <c r="B794" s="86" t="s">
        <v>1152</v>
      </c>
      <c r="C794" s="87" t="s">
        <v>1153</v>
      </c>
      <c r="D794" s="86" t="s">
        <v>72</v>
      </c>
      <c r="E794" s="8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6" t="s">
        <v>1209</v>
      </c>
    </row>
    <row r="795" spans="1:15" s="83" customFormat="1" ht="15.75" x14ac:dyDescent="0.25">
      <c r="A795" s="85">
        <v>987</v>
      </c>
      <c r="B795" s="86" t="s">
        <v>1154</v>
      </c>
      <c r="C795" s="87" t="s">
        <v>1155</v>
      </c>
      <c r="D795" s="86" t="s">
        <v>72</v>
      </c>
      <c r="E795" s="8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6" t="s">
        <v>1209</v>
      </c>
    </row>
    <row r="796" spans="1:15" s="83" customFormat="1" ht="15.75" x14ac:dyDescent="0.25">
      <c r="A796" s="85">
        <v>988</v>
      </c>
      <c r="B796" s="86" t="s">
        <v>1156</v>
      </c>
      <c r="C796" s="87" t="s">
        <v>1157</v>
      </c>
      <c r="D796" s="87" t="s">
        <v>72</v>
      </c>
      <c r="E796" s="8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6" t="s">
        <v>1186</v>
      </c>
    </row>
    <row r="797" spans="1:15" s="83" customFormat="1" ht="15.75" x14ac:dyDescent="0.25">
      <c r="A797" s="85">
        <v>989</v>
      </c>
      <c r="B797" s="86" t="s">
        <v>1158</v>
      </c>
      <c r="C797" s="87" t="s">
        <v>1159</v>
      </c>
      <c r="D797" s="87" t="s">
        <v>72</v>
      </c>
      <c r="E797" s="8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6" t="s">
        <v>1184</v>
      </c>
    </row>
    <row r="798" spans="1:15" s="83" customFormat="1" ht="15.75" x14ac:dyDescent="0.25">
      <c r="A798" s="85">
        <v>742</v>
      </c>
      <c r="B798" s="86" t="s">
        <v>1160</v>
      </c>
      <c r="C798" s="87" t="s">
        <v>1161</v>
      </c>
      <c r="D798" s="87" t="s">
        <v>72</v>
      </c>
      <c r="E798" s="8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6" t="s">
        <v>1191</v>
      </c>
    </row>
    <row r="799" spans="1:15" s="83" customFormat="1" ht="15.75" x14ac:dyDescent="0.25">
      <c r="A799" s="85">
        <v>991</v>
      </c>
      <c r="B799" s="86" t="s">
        <v>1162</v>
      </c>
      <c r="C799" s="87" t="s">
        <v>1163</v>
      </c>
      <c r="D799" s="87" t="s">
        <v>72</v>
      </c>
      <c r="E799" s="8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6" t="s">
        <v>1180</v>
      </c>
    </row>
    <row r="800" spans="1:15" s="83" customFormat="1" ht="15.75" x14ac:dyDescent="0.25">
      <c r="A800" s="85">
        <v>715</v>
      </c>
      <c r="B800" s="86" t="s">
        <v>1164</v>
      </c>
      <c r="C800" s="87" t="s">
        <v>1165</v>
      </c>
      <c r="D800" s="87" t="s">
        <v>72</v>
      </c>
      <c r="E800" s="8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6" t="s">
        <v>1185</v>
      </c>
    </row>
    <row r="801" spans="1:15" s="83" customFormat="1" ht="15.75" x14ac:dyDescent="0.25">
      <c r="A801" s="85">
        <v>993</v>
      </c>
      <c r="B801" s="86" t="s">
        <v>1166</v>
      </c>
      <c r="C801" s="87" t="s">
        <v>1167</v>
      </c>
      <c r="D801" s="87" t="s">
        <v>72</v>
      </c>
      <c r="E801" s="8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6" t="s">
        <v>1190</v>
      </c>
    </row>
    <row r="802" spans="1:15" s="83" customFormat="1" ht="15.75" x14ac:dyDescent="0.25">
      <c r="A802" s="85">
        <v>994</v>
      </c>
      <c r="B802" s="86" t="s">
        <v>1889</v>
      </c>
      <c r="C802" s="87" t="s">
        <v>1888</v>
      </c>
      <c r="D802" s="87" t="s">
        <v>72</v>
      </c>
      <c r="E802" s="8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6" t="s">
        <v>2020</v>
      </c>
    </row>
    <row r="803" spans="1:15" s="83" customFormat="1" ht="15.75" x14ac:dyDescent="0.25">
      <c r="A803" s="85">
        <v>545</v>
      </c>
      <c r="B803" s="86" t="s">
        <v>1168</v>
      </c>
      <c r="C803" s="87" t="s">
        <v>1169</v>
      </c>
      <c r="D803" s="87" t="s">
        <v>72</v>
      </c>
      <c r="E803" s="8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1188</v>
      </c>
    </row>
    <row r="804" spans="1:15" s="83" customFormat="1" ht="15.75" x14ac:dyDescent="0.25">
      <c r="A804" s="85">
        <v>996</v>
      </c>
      <c r="B804" s="86" t="s">
        <v>1193</v>
      </c>
      <c r="C804" s="87" t="s">
        <v>1194</v>
      </c>
      <c r="D804" s="87" t="s">
        <v>72</v>
      </c>
      <c r="E804" s="8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6" t="s">
        <v>1184</v>
      </c>
    </row>
    <row r="805" spans="1:15" s="83" customFormat="1" ht="15.75" x14ac:dyDescent="0.25">
      <c r="A805" s="85">
        <v>724</v>
      </c>
      <c r="B805" s="86" t="s">
        <v>1170</v>
      </c>
      <c r="C805" s="87" t="s">
        <v>1171</v>
      </c>
      <c r="D805" s="87" t="s">
        <v>72</v>
      </c>
      <c r="E805" s="8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6" t="s">
        <v>1185</v>
      </c>
    </row>
    <row r="806" spans="1:15" s="63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77">
        <v>726</v>
      </c>
      <c r="B807" s="32" t="s">
        <v>1174</v>
      </c>
      <c r="C807" s="29" t="s">
        <v>1175</v>
      </c>
      <c r="D807" s="29" t="s">
        <v>72</v>
      </c>
      <c r="E807" s="8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77">
        <v>166</v>
      </c>
      <c r="B808" s="101" t="s">
        <v>2542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77">
        <v>361</v>
      </c>
      <c r="B809" s="101" t="s">
        <v>2554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77">
        <v>348</v>
      </c>
      <c r="B810" s="101" t="s">
        <v>2563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8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7" t="s">
        <v>0</v>
      </c>
      <c r="B1" s="198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9" t="s">
        <v>8</v>
      </c>
      <c r="B9" s="200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1" t="s">
        <v>9</v>
      </c>
      <c r="B14" s="202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137"/>
  <sheetViews>
    <sheetView tabSelected="1" zoomScale="70" zoomScaleNormal="70" workbookViewId="0">
      <pane ySplit="4" topLeftCell="A5" activePane="bottomLeft" state="frozen"/>
      <selection pane="bottomLeft" activeCell="L43" sqref="L43:L49"/>
    </sheetView>
  </sheetViews>
  <sheetFormatPr baseColWidth="10" defaultColWidth="20.28515625" defaultRowHeight="15" x14ac:dyDescent="0.25"/>
  <cols>
    <col min="1" max="1" width="25.7109375" style="106" bestFit="1" customWidth="1"/>
    <col min="2" max="2" width="21.140625" style="84" bestFit="1" customWidth="1"/>
    <col min="3" max="3" width="17.7109375" style="43" bestFit="1" customWidth="1"/>
    <col min="4" max="4" width="28.28515625" style="106" bestFit="1" customWidth="1"/>
    <col min="5" max="5" width="13.42578125" style="75" bestFit="1" customWidth="1"/>
    <col min="6" max="6" width="11.7109375" style="44" bestFit="1" customWidth="1"/>
    <col min="7" max="7" width="55.7109375" style="44" bestFit="1" customWidth="1"/>
    <col min="8" max="11" width="5.85546875" style="44" bestFit="1" customWidth="1"/>
    <col min="12" max="12" width="52" style="44" customWidth="1"/>
    <col min="13" max="13" width="20.140625" style="106" bestFit="1" customWidth="1"/>
    <col min="14" max="14" width="18.85546875" style="106" bestFit="1" customWidth="1"/>
    <col min="15" max="15" width="42.5703125" style="106" bestFit="1" customWidth="1"/>
    <col min="16" max="16" width="22.42578125" style="79" bestFit="1" customWidth="1"/>
    <col min="17" max="17" width="52" style="69" bestFit="1" customWidth="1"/>
    <col min="18" max="16384" width="20.28515625" style="42"/>
  </cols>
  <sheetData>
    <row r="1" spans="1:17" ht="18" x14ac:dyDescent="0.25">
      <c r="A1" s="161" t="s">
        <v>2153</v>
      </c>
      <c r="B1" s="162"/>
      <c r="C1" s="162"/>
      <c r="D1" s="162"/>
      <c r="E1" s="162"/>
      <c r="F1" s="162"/>
      <c r="G1" s="162"/>
      <c r="H1" s="162"/>
      <c r="I1" s="162"/>
      <c r="J1" s="162"/>
      <c r="K1" s="162"/>
      <c r="L1" s="162"/>
      <c r="M1" s="162"/>
      <c r="N1" s="162"/>
      <c r="O1" s="162"/>
      <c r="P1" s="162"/>
      <c r="Q1" s="163"/>
    </row>
    <row r="2" spans="1:17" ht="18" x14ac:dyDescent="0.25">
      <c r="A2" s="158" t="s">
        <v>2150</v>
      </c>
      <c r="B2" s="159"/>
      <c r="C2" s="159"/>
      <c r="D2" s="159"/>
      <c r="E2" s="159"/>
      <c r="F2" s="159"/>
      <c r="G2" s="159"/>
      <c r="H2" s="159"/>
      <c r="I2" s="159"/>
      <c r="J2" s="159"/>
      <c r="K2" s="159"/>
      <c r="L2" s="159"/>
      <c r="M2" s="159"/>
      <c r="N2" s="159"/>
      <c r="O2" s="159"/>
      <c r="P2" s="159"/>
      <c r="Q2" s="160"/>
    </row>
    <row r="3" spans="1:17" ht="18.75" thickBot="1" x14ac:dyDescent="0.3">
      <c r="A3" s="164" t="s">
        <v>2643</v>
      </c>
      <c r="B3" s="165"/>
      <c r="C3" s="165"/>
      <c r="D3" s="165"/>
      <c r="E3" s="165"/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6"/>
    </row>
    <row r="4" spans="1:17" s="25" customFormat="1" ht="18" x14ac:dyDescent="0.25">
      <c r="A4" s="93" t="s">
        <v>2394</v>
      </c>
      <c r="B4" s="92" t="s">
        <v>2215</v>
      </c>
      <c r="C4" s="93" t="s">
        <v>11</v>
      </c>
      <c r="D4" s="93" t="s">
        <v>12</v>
      </c>
      <c r="E4" s="94" t="s">
        <v>18</v>
      </c>
      <c r="F4" s="93"/>
      <c r="G4" s="93"/>
      <c r="H4" s="93"/>
      <c r="I4" s="93"/>
      <c r="J4" s="93"/>
      <c r="K4" s="93"/>
      <c r="L4" s="93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5" t="s">
        <v>2437</v>
      </c>
    </row>
    <row r="5" spans="1:17" s="115" customFormat="1" ht="18" x14ac:dyDescent="0.25">
      <c r="A5" s="142" t="str">
        <f>VLOOKUP(E5,'LISTADO ATM'!$A$2:$C$898,3,0)</f>
        <v>DISTRITO NACIONAL</v>
      </c>
      <c r="B5" s="139">
        <v>3335949614</v>
      </c>
      <c r="C5" s="100">
        <v>44386.786423611113</v>
      </c>
      <c r="D5" s="100" t="s">
        <v>2469</v>
      </c>
      <c r="E5" s="134">
        <v>701</v>
      </c>
      <c r="F5" s="142" t="str">
        <f>VLOOKUP(E5,VIP!$A$2:$O14207,2,0)</f>
        <v>DRBR701</v>
      </c>
      <c r="G5" s="142" t="str">
        <f>VLOOKUP(E5,'LISTADO ATM'!$A$2:$B$897,2,0)</f>
        <v>ATM Autoservicio Los Alcarrizos</v>
      </c>
      <c r="H5" s="142" t="str">
        <f>VLOOKUP(E5,VIP!$A$2:$O19168,7,FALSE)</f>
        <v>Si</v>
      </c>
      <c r="I5" s="142" t="str">
        <f>VLOOKUP(E5,VIP!$A$2:$O11133,8,FALSE)</f>
        <v>Si</v>
      </c>
      <c r="J5" s="142" t="str">
        <f>VLOOKUP(E5,VIP!$A$2:$O11083,8,FALSE)</f>
        <v>Si</v>
      </c>
      <c r="K5" s="142" t="str">
        <f>VLOOKUP(E5,VIP!$A$2:$O14657,6,0)</f>
        <v>NO</v>
      </c>
      <c r="L5" s="143" t="s">
        <v>2560</v>
      </c>
      <c r="M5" s="157" t="s">
        <v>2545</v>
      </c>
      <c r="N5" s="99" t="s">
        <v>2452</v>
      </c>
      <c r="O5" s="142" t="s">
        <v>2470</v>
      </c>
      <c r="P5" s="142"/>
      <c r="Q5" s="156">
        <v>44390.7</v>
      </c>
    </row>
    <row r="6" spans="1:17" s="115" customFormat="1" ht="18" x14ac:dyDescent="0.25">
      <c r="A6" s="142" t="str">
        <f>VLOOKUP(E6,'LISTADO ATM'!$A$2:$C$898,3,0)</f>
        <v>SUR</v>
      </c>
      <c r="B6" s="139">
        <v>3335947792</v>
      </c>
      <c r="C6" s="100">
        <v>44387.551550925928</v>
      </c>
      <c r="D6" s="100" t="s">
        <v>2469</v>
      </c>
      <c r="E6" s="134">
        <v>880</v>
      </c>
      <c r="F6" s="142" t="str">
        <f>VLOOKUP(E6,VIP!$A$2:$O14224,2,0)</f>
        <v>DRBR880</v>
      </c>
      <c r="G6" s="142" t="str">
        <f>VLOOKUP(E6,'LISTADO ATM'!$A$2:$B$897,2,0)</f>
        <v xml:space="preserve">ATM Autoservicio Barahona II </v>
      </c>
      <c r="H6" s="142" t="str">
        <f>VLOOKUP(E6,VIP!$A$2:$O19185,7,FALSE)</f>
        <v>Si</v>
      </c>
      <c r="I6" s="142" t="str">
        <f>VLOOKUP(E6,VIP!$A$2:$O11150,8,FALSE)</f>
        <v>Si</v>
      </c>
      <c r="J6" s="142" t="str">
        <f>VLOOKUP(E6,VIP!$A$2:$O11100,8,FALSE)</f>
        <v>Si</v>
      </c>
      <c r="K6" s="142" t="str">
        <f>VLOOKUP(E6,VIP!$A$2:$O14674,6,0)</f>
        <v>SI</v>
      </c>
      <c r="L6" s="143" t="s">
        <v>2561</v>
      </c>
      <c r="M6" s="99" t="s">
        <v>2445</v>
      </c>
      <c r="N6" s="99" t="s">
        <v>2452</v>
      </c>
      <c r="O6" s="142" t="s">
        <v>2470</v>
      </c>
      <c r="P6" s="142"/>
      <c r="Q6" s="99" t="s">
        <v>2561</v>
      </c>
    </row>
    <row r="7" spans="1:17" s="115" customFormat="1" ht="18" x14ac:dyDescent="0.25">
      <c r="A7" s="142" t="str">
        <f>VLOOKUP(E7,'LISTADO ATM'!$A$2:$C$898,3,0)</f>
        <v>DISTRITO NACIONAL</v>
      </c>
      <c r="B7" s="139" t="s">
        <v>2592</v>
      </c>
      <c r="C7" s="100">
        <v>44387.578159722223</v>
      </c>
      <c r="D7" s="100" t="s">
        <v>2180</v>
      </c>
      <c r="E7" s="134">
        <v>686</v>
      </c>
      <c r="F7" s="142" t="str">
        <f>VLOOKUP(E7,VIP!$A$2:$O14222,2,0)</f>
        <v>DRBR686</v>
      </c>
      <c r="G7" s="142" t="str">
        <f>VLOOKUP(E7,'LISTADO ATM'!$A$2:$B$897,2,0)</f>
        <v>ATM Autoservicio Oficina Máximo Gómez</v>
      </c>
      <c r="H7" s="142" t="str">
        <f>VLOOKUP(E7,VIP!$A$2:$O19183,7,FALSE)</f>
        <v>Si</v>
      </c>
      <c r="I7" s="142" t="str">
        <f>VLOOKUP(E7,VIP!$A$2:$O11148,8,FALSE)</f>
        <v>Si</v>
      </c>
      <c r="J7" s="142" t="str">
        <f>VLOOKUP(E7,VIP!$A$2:$O11098,8,FALSE)</f>
        <v>Si</v>
      </c>
      <c r="K7" s="142" t="str">
        <f>VLOOKUP(E7,VIP!$A$2:$O14672,6,0)</f>
        <v>NO</v>
      </c>
      <c r="L7" s="143" t="s">
        <v>2219</v>
      </c>
      <c r="M7" s="99" t="s">
        <v>2445</v>
      </c>
      <c r="N7" s="99" t="s">
        <v>2452</v>
      </c>
      <c r="O7" s="142" t="s">
        <v>2454</v>
      </c>
      <c r="P7" s="142"/>
      <c r="Q7" s="99" t="s">
        <v>2219</v>
      </c>
    </row>
    <row r="8" spans="1:17" s="115" customFormat="1" ht="18" x14ac:dyDescent="0.25">
      <c r="A8" s="142" t="str">
        <f>VLOOKUP(E8,'LISTADO ATM'!$A$2:$C$898,3,0)</f>
        <v>DISTRITO NACIONAL</v>
      </c>
      <c r="B8" s="139" t="s">
        <v>2591</v>
      </c>
      <c r="C8" s="100">
        <v>44387.58216435185</v>
      </c>
      <c r="D8" s="100" t="s">
        <v>2180</v>
      </c>
      <c r="E8" s="134">
        <v>952</v>
      </c>
      <c r="F8" s="142" t="str">
        <f>VLOOKUP(E8,VIP!$A$2:$O14221,2,0)</f>
        <v>DRBR16L</v>
      </c>
      <c r="G8" s="142" t="str">
        <f>VLOOKUP(E8,'LISTADO ATM'!$A$2:$B$897,2,0)</f>
        <v xml:space="preserve">ATM Alvarez Rivas </v>
      </c>
      <c r="H8" s="142" t="str">
        <f>VLOOKUP(E8,VIP!$A$2:$O19182,7,FALSE)</f>
        <v>Si</v>
      </c>
      <c r="I8" s="142" t="str">
        <f>VLOOKUP(E8,VIP!$A$2:$O11147,8,FALSE)</f>
        <v>Si</v>
      </c>
      <c r="J8" s="142" t="str">
        <f>VLOOKUP(E8,VIP!$A$2:$O11097,8,FALSE)</f>
        <v>Si</v>
      </c>
      <c r="K8" s="142" t="str">
        <f>VLOOKUP(E8,VIP!$A$2:$O14671,6,0)</f>
        <v>NO</v>
      </c>
      <c r="L8" s="143" t="s">
        <v>2219</v>
      </c>
      <c r="M8" s="157" t="s">
        <v>2545</v>
      </c>
      <c r="N8" s="157" t="s">
        <v>2676</v>
      </c>
      <c r="O8" s="142" t="s">
        <v>2454</v>
      </c>
      <c r="P8" s="142"/>
      <c r="Q8" s="156">
        <v>44390.53696759259</v>
      </c>
    </row>
    <row r="9" spans="1:17" s="115" customFormat="1" ht="18" x14ac:dyDescent="0.25">
      <c r="A9" s="142" t="str">
        <f>VLOOKUP(E9,'LISTADO ATM'!$A$2:$C$898,3,0)</f>
        <v>NORTE</v>
      </c>
      <c r="B9" s="139">
        <v>3335950098</v>
      </c>
      <c r="C9" s="100">
        <v>44388.598611111112</v>
      </c>
      <c r="D9" s="100" t="s">
        <v>2180</v>
      </c>
      <c r="E9" s="134">
        <v>257</v>
      </c>
      <c r="F9" s="142" t="str">
        <f>VLOOKUP(E9,VIP!$A$2:$O14224,2,0)</f>
        <v>DRBR257</v>
      </c>
      <c r="G9" s="142" t="str">
        <f>VLOOKUP(E9,'LISTADO ATM'!$A$2:$B$897,2,0)</f>
        <v xml:space="preserve">ATM S/M Pola (Santiago) </v>
      </c>
      <c r="H9" s="142" t="str">
        <f>VLOOKUP(E9,VIP!$A$2:$O19185,7,FALSE)</f>
        <v>Si</v>
      </c>
      <c r="I9" s="142" t="str">
        <f>VLOOKUP(E9,VIP!$A$2:$O11150,8,FALSE)</f>
        <v>Si</v>
      </c>
      <c r="J9" s="142" t="str">
        <f>VLOOKUP(E9,VIP!$A$2:$O11100,8,FALSE)</f>
        <v>Si</v>
      </c>
      <c r="K9" s="142" t="str">
        <f>VLOOKUP(E9,VIP!$A$2:$O14674,6,0)</f>
        <v>NO</v>
      </c>
      <c r="L9" s="143" t="s">
        <v>2219</v>
      </c>
      <c r="M9" s="157" t="s">
        <v>2545</v>
      </c>
      <c r="N9" s="157" t="s">
        <v>2676</v>
      </c>
      <c r="O9" s="142" t="s">
        <v>2454</v>
      </c>
      <c r="P9" s="142"/>
      <c r="Q9" s="156">
        <v>44390.447812500002</v>
      </c>
    </row>
    <row r="10" spans="1:17" s="115" customFormat="1" ht="18" x14ac:dyDescent="0.25">
      <c r="A10" s="142" t="str">
        <f>VLOOKUP(E10,'LISTADO ATM'!$A$2:$C$898,3,0)</f>
        <v>SUR</v>
      </c>
      <c r="B10" s="139" t="s">
        <v>2598</v>
      </c>
      <c r="C10" s="100">
        <v>44388.677685185183</v>
      </c>
      <c r="D10" s="100" t="s">
        <v>2469</v>
      </c>
      <c r="E10" s="134">
        <v>249</v>
      </c>
      <c r="F10" s="142" t="str">
        <f>VLOOKUP(E10,VIP!$A$2:$O14260,2,0)</f>
        <v>DRBR249</v>
      </c>
      <c r="G10" s="142" t="str">
        <f>VLOOKUP(E10,'LISTADO ATM'!$A$2:$B$897,2,0)</f>
        <v xml:space="preserve">ATM Banco Agrícola Neiba </v>
      </c>
      <c r="H10" s="142" t="str">
        <f>VLOOKUP(E10,VIP!$A$2:$O19221,7,FALSE)</f>
        <v>Si</v>
      </c>
      <c r="I10" s="142" t="str">
        <f>VLOOKUP(E10,VIP!$A$2:$O11186,8,FALSE)</f>
        <v>Si</v>
      </c>
      <c r="J10" s="142" t="str">
        <f>VLOOKUP(E10,VIP!$A$2:$O11136,8,FALSE)</f>
        <v>Si</v>
      </c>
      <c r="K10" s="142" t="str">
        <f>VLOOKUP(E10,VIP!$A$2:$O14710,6,0)</f>
        <v>NO</v>
      </c>
      <c r="L10" s="143" t="s">
        <v>2417</v>
      </c>
      <c r="M10" s="157" t="s">
        <v>2545</v>
      </c>
      <c r="N10" s="99" t="s">
        <v>2452</v>
      </c>
      <c r="O10" s="142" t="s">
        <v>2470</v>
      </c>
      <c r="P10" s="142"/>
      <c r="Q10" s="156">
        <v>44390.572222222225</v>
      </c>
    </row>
    <row r="11" spans="1:17" s="115" customFormat="1" ht="18" x14ac:dyDescent="0.25">
      <c r="A11" s="142" t="str">
        <f>VLOOKUP(E11,'LISTADO ATM'!$A$2:$C$898,3,0)</f>
        <v>DISTRITO NACIONAL</v>
      </c>
      <c r="B11" s="139" t="s">
        <v>2597</v>
      </c>
      <c r="C11" s="100">
        <v>44388.678391203706</v>
      </c>
      <c r="D11" s="100" t="s">
        <v>2180</v>
      </c>
      <c r="E11" s="134">
        <v>527</v>
      </c>
      <c r="F11" s="142" t="str">
        <f>VLOOKUP(E11,VIP!$A$2:$O14258,2,0)</f>
        <v>DRBR527</v>
      </c>
      <c r="G11" s="142" t="str">
        <f>VLOOKUP(E11,'LISTADO ATM'!$A$2:$B$897,2,0)</f>
        <v>ATM Oficina Zona Oriental II</v>
      </c>
      <c r="H11" s="142" t="str">
        <f>VLOOKUP(E11,VIP!$A$2:$O19219,7,FALSE)</f>
        <v>Si</v>
      </c>
      <c r="I11" s="142" t="str">
        <f>VLOOKUP(E11,VIP!$A$2:$O11184,8,FALSE)</f>
        <v>Si</v>
      </c>
      <c r="J11" s="142" t="str">
        <f>VLOOKUP(E11,VIP!$A$2:$O11134,8,FALSE)</f>
        <v>Si</v>
      </c>
      <c r="K11" s="142" t="str">
        <f>VLOOKUP(E11,VIP!$A$2:$O14708,6,0)</f>
        <v>SI</v>
      </c>
      <c r="L11" s="143" t="s">
        <v>2465</v>
      </c>
      <c r="M11" s="157" t="s">
        <v>2545</v>
      </c>
      <c r="N11" s="157" t="s">
        <v>2676</v>
      </c>
      <c r="O11" s="142" t="s">
        <v>2454</v>
      </c>
      <c r="P11" s="142"/>
      <c r="Q11" s="156">
        <v>44390.447812500002</v>
      </c>
    </row>
    <row r="12" spans="1:17" s="115" customFormat="1" ht="18" x14ac:dyDescent="0.25">
      <c r="A12" s="142" t="str">
        <f>VLOOKUP(E12,'LISTADO ATM'!$A$2:$C$898,3,0)</f>
        <v>DISTRITO NACIONAL</v>
      </c>
      <c r="B12" s="139" t="s">
        <v>2596</v>
      </c>
      <c r="C12" s="100">
        <v>44388.679062499999</v>
      </c>
      <c r="D12" s="100" t="s">
        <v>2180</v>
      </c>
      <c r="E12" s="134">
        <v>707</v>
      </c>
      <c r="F12" s="142" t="str">
        <f>VLOOKUP(E12,VIP!$A$2:$O14256,2,0)</f>
        <v>DRBR707</v>
      </c>
      <c r="G12" s="142" t="str">
        <f>VLOOKUP(E12,'LISTADO ATM'!$A$2:$B$897,2,0)</f>
        <v xml:space="preserve">ATM IAD </v>
      </c>
      <c r="H12" s="142" t="str">
        <f>VLOOKUP(E12,VIP!$A$2:$O19217,7,FALSE)</f>
        <v>No</v>
      </c>
      <c r="I12" s="142" t="str">
        <f>VLOOKUP(E12,VIP!$A$2:$O11182,8,FALSE)</f>
        <v>No</v>
      </c>
      <c r="J12" s="142" t="str">
        <f>VLOOKUP(E12,VIP!$A$2:$O11132,8,FALSE)</f>
        <v>No</v>
      </c>
      <c r="K12" s="142" t="str">
        <f>VLOOKUP(E12,VIP!$A$2:$O14706,6,0)</f>
        <v>NO</v>
      </c>
      <c r="L12" s="143" t="s">
        <v>2465</v>
      </c>
      <c r="M12" s="157" t="s">
        <v>2545</v>
      </c>
      <c r="N12" s="157" t="s">
        <v>2676</v>
      </c>
      <c r="O12" s="142" t="s">
        <v>2454</v>
      </c>
      <c r="P12" s="142"/>
      <c r="Q12" s="156">
        <v>44390.447812500002</v>
      </c>
    </row>
    <row r="13" spans="1:17" s="115" customFormat="1" ht="18" x14ac:dyDescent="0.25">
      <c r="A13" s="142" t="str">
        <f>VLOOKUP(E13,'LISTADO ATM'!$A$2:$C$898,3,0)</f>
        <v>DISTRITO NACIONAL</v>
      </c>
      <c r="B13" s="139" t="s">
        <v>2595</v>
      </c>
      <c r="C13" s="100">
        <v>44388.695798611108</v>
      </c>
      <c r="D13" s="100" t="s">
        <v>2180</v>
      </c>
      <c r="E13" s="134">
        <v>224</v>
      </c>
      <c r="F13" s="142" t="str">
        <f>VLOOKUP(E13,VIP!$A$2:$O14245,2,0)</f>
        <v>DRBR224</v>
      </c>
      <c r="G13" s="142" t="str">
        <f>VLOOKUP(E13,'LISTADO ATM'!$A$2:$B$897,2,0)</f>
        <v xml:space="preserve">ATM S/M Nacional El Millón (Núñez de Cáceres) </v>
      </c>
      <c r="H13" s="142" t="str">
        <f>VLOOKUP(E13,VIP!$A$2:$O19206,7,FALSE)</f>
        <v>Si</v>
      </c>
      <c r="I13" s="142" t="str">
        <f>VLOOKUP(E13,VIP!$A$2:$O11171,8,FALSE)</f>
        <v>Si</v>
      </c>
      <c r="J13" s="142" t="str">
        <f>VLOOKUP(E13,VIP!$A$2:$O11121,8,FALSE)</f>
        <v>Si</v>
      </c>
      <c r="K13" s="142" t="str">
        <f>VLOOKUP(E13,VIP!$A$2:$O14695,6,0)</f>
        <v>SI</v>
      </c>
      <c r="L13" s="143" t="s">
        <v>2219</v>
      </c>
      <c r="M13" s="157" t="s">
        <v>2545</v>
      </c>
      <c r="N13" s="157" t="s">
        <v>2676</v>
      </c>
      <c r="O13" s="142" t="s">
        <v>2454</v>
      </c>
      <c r="P13" s="142"/>
      <c r="Q13" s="156">
        <v>44390.447812500002</v>
      </c>
    </row>
    <row r="14" spans="1:17" s="115" customFormat="1" ht="18" x14ac:dyDescent="0.25">
      <c r="A14" s="142" t="str">
        <f>VLOOKUP(E14,'LISTADO ATM'!$A$2:$C$898,3,0)</f>
        <v>NORTE</v>
      </c>
      <c r="B14" s="139" t="s">
        <v>2601</v>
      </c>
      <c r="C14" s="100">
        <v>44389.387569444443</v>
      </c>
      <c r="D14" s="100" t="s">
        <v>2181</v>
      </c>
      <c r="E14" s="134">
        <v>727</v>
      </c>
      <c r="F14" s="142" t="str">
        <f>VLOOKUP(E14,VIP!$A$2:$O14231,2,0)</f>
        <v>DRBR286</v>
      </c>
      <c r="G14" s="142" t="str">
        <f>VLOOKUP(E14,'LISTADO ATM'!$A$2:$B$897,2,0)</f>
        <v xml:space="preserve">ATM UNP Pisano </v>
      </c>
      <c r="H14" s="142" t="str">
        <f>VLOOKUP(E14,VIP!$A$2:$O19192,7,FALSE)</f>
        <v>Si</v>
      </c>
      <c r="I14" s="142" t="str">
        <f>VLOOKUP(E14,VIP!$A$2:$O11157,8,FALSE)</f>
        <v>Si</v>
      </c>
      <c r="J14" s="142" t="str">
        <f>VLOOKUP(E14,VIP!$A$2:$O11107,8,FALSE)</f>
        <v>Si</v>
      </c>
      <c r="K14" s="142" t="str">
        <f>VLOOKUP(E14,VIP!$A$2:$O14681,6,0)</f>
        <v>NO</v>
      </c>
      <c r="L14" s="143" t="s">
        <v>2219</v>
      </c>
      <c r="M14" s="157" t="s">
        <v>2545</v>
      </c>
      <c r="N14" s="157" t="s">
        <v>2676</v>
      </c>
      <c r="O14" s="142" t="s">
        <v>2588</v>
      </c>
      <c r="P14" s="142"/>
      <c r="Q14" s="156">
        <v>44390.53696759259</v>
      </c>
    </row>
    <row r="15" spans="1:17" s="115" customFormat="1" ht="18" x14ac:dyDescent="0.25">
      <c r="A15" s="142" t="str">
        <f>VLOOKUP(E15,'LISTADO ATM'!$A$2:$C$898,3,0)</f>
        <v>DISTRITO NACIONAL</v>
      </c>
      <c r="B15" s="139" t="s">
        <v>2608</v>
      </c>
      <c r="C15" s="100">
        <v>44389.589398148149</v>
      </c>
      <c r="D15" s="100" t="s">
        <v>2180</v>
      </c>
      <c r="E15" s="134">
        <v>175</v>
      </c>
      <c r="F15" s="142" t="str">
        <f>VLOOKUP(E15,VIP!$A$2:$O14241,2,0)</f>
        <v>DRBR175</v>
      </c>
      <c r="G15" s="142" t="str">
        <f>VLOOKUP(E15,'LISTADO ATM'!$A$2:$B$897,2,0)</f>
        <v xml:space="preserve">ATM Dirección de Ingeniería </v>
      </c>
      <c r="H15" s="142" t="str">
        <f>VLOOKUP(E15,VIP!$A$2:$O19202,7,FALSE)</f>
        <v>Si</v>
      </c>
      <c r="I15" s="142" t="str">
        <f>VLOOKUP(E15,VIP!$A$2:$O11167,8,FALSE)</f>
        <v>No</v>
      </c>
      <c r="J15" s="142" t="str">
        <f>VLOOKUP(E15,VIP!$A$2:$O11117,8,FALSE)</f>
        <v>No</v>
      </c>
      <c r="K15" s="142" t="str">
        <f>VLOOKUP(E15,VIP!$A$2:$O14691,6,0)</f>
        <v>NO</v>
      </c>
      <c r="L15" s="143" t="s">
        <v>2219</v>
      </c>
      <c r="M15" s="157" t="s">
        <v>2545</v>
      </c>
      <c r="N15" s="157" t="s">
        <v>2676</v>
      </c>
      <c r="O15" s="142" t="s">
        <v>2454</v>
      </c>
      <c r="P15" s="142"/>
      <c r="Q15" s="156">
        <v>44390.53696759259</v>
      </c>
    </row>
    <row r="16" spans="1:17" s="115" customFormat="1" ht="18" x14ac:dyDescent="0.25">
      <c r="A16" s="142" t="str">
        <f>VLOOKUP(E16,'LISTADO ATM'!$A$2:$C$898,3,0)</f>
        <v>DISTRITO NACIONAL</v>
      </c>
      <c r="B16" s="139" t="s">
        <v>2607</v>
      </c>
      <c r="C16" s="100">
        <v>44389.601226851853</v>
      </c>
      <c r="D16" s="100" t="s">
        <v>2180</v>
      </c>
      <c r="E16" s="134">
        <v>435</v>
      </c>
      <c r="F16" s="142" t="str">
        <f>VLOOKUP(E16,VIP!$A$2:$O14238,2,0)</f>
        <v>DRBR435</v>
      </c>
      <c r="G16" s="142" t="str">
        <f>VLOOKUP(E16,'LISTADO ATM'!$A$2:$B$897,2,0)</f>
        <v xml:space="preserve">ATM Autobanco Torre I </v>
      </c>
      <c r="H16" s="142" t="str">
        <f>VLOOKUP(E16,VIP!$A$2:$O19199,7,FALSE)</f>
        <v>Si</v>
      </c>
      <c r="I16" s="142" t="str">
        <f>VLOOKUP(E16,VIP!$A$2:$O11164,8,FALSE)</f>
        <v>Si</v>
      </c>
      <c r="J16" s="142" t="str">
        <f>VLOOKUP(E16,VIP!$A$2:$O11114,8,FALSE)</f>
        <v>Si</v>
      </c>
      <c r="K16" s="142" t="str">
        <f>VLOOKUP(E16,VIP!$A$2:$O14688,6,0)</f>
        <v>SI</v>
      </c>
      <c r="L16" s="143" t="s">
        <v>2219</v>
      </c>
      <c r="M16" s="157" t="s">
        <v>2545</v>
      </c>
      <c r="N16" s="99" t="s">
        <v>2452</v>
      </c>
      <c r="O16" s="142" t="s">
        <v>2454</v>
      </c>
      <c r="P16" s="142"/>
      <c r="Q16" s="156">
        <v>44390.53696759259</v>
      </c>
    </row>
    <row r="17" spans="1:17" ht="18" x14ac:dyDescent="0.25">
      <c r="A17" s="142" t="str">
        <f>VLOOKUP(E17,'LISTADO ATM'!$A$2:$C$898,3,0)</f>
        <v>ESTE</v>
      </c>
      <c r="B17" s="139" t="s">
        <v>2606</v>
      </c>
      <c r="C17" s="100">
        <v>44389.606585648151</v>
      </c>
      <c r="D17" s="100" t="s">
        <v>2180</v>
      </c>
      <c r="E17" s="134">
        <v>218</v>
      </c>
      <c r="F17" s="142" t="str">
        <f>VLOOKUP(E17,VIP!$A$2:$O14237,2,0)</f>
        <v>DRBR218</v>
      </c>
      <c r="G17" s="142" t="str">
        <f>VLOOKUP(E17,'LISTADO ATM'!$A$2:$B$897,2,0)</f>
        <v xml:space="preserve">ATM Hotel Secrets Cap Cana II </v>
      </c>
      <c r="H17" s="142" t="str">
        <f>VLOOKUP(E17,VIP!$A$2:$O19198,7,FALSE)</f>
        <v>Si</v>
      </c>
      <c r="I17" s="142" t="str">
        <f>VLOOKUP(E17,VIP!$A$2:$O11163,8,FALSE)</f>
        <v>Si</v>
      </c>
      <c r="J17" s="142" t="str">
        <f>VLOOKUP(E17,VIP!$A$2:$O11113,8,FALSE)</f>
        <v>Si</v>
      </c>
      <c r="K17" s="142" t="str">
        <f>VLOOKUP(E17,VIP!$A$2:$O14687,6,0)</f>
        <v>NO</v>
      </c>
      <c r="L17" s="143" t="s">
        <v>2245</v>
      </c>
      <c r="M17" s="157" t="s">
        <v>2545</v>
      </c>
      <c r="N17" s="99" t="s">
        <v>2452</v>
      </c>
      <c r="O17" s="142" t="s">
        <v>2454</v>
      </c>
      <c r="P17" s="142"/>
      <c r="Q17" s="156">
        <v>44390.53696759259</v>
      </c>
    </row>
    <row r="18" spans="1:17" ht="18" x14ac:dyDescent="0.25">
      <c r="A18" s="142" t="str">
        <f>VLOOKUP(E18,'LISTADO ATM'!$A$2:$C$898,3,0)</f>
        <v>DISTRITO NACIONAL</v>
      </c>
      <c r="B18" s="139" t="s">
        <v>2605</v>
      </c>
      <c r="C18" s="100">
        <v>44389.607754629629</v>
      </c>
      <c r="D18" s="100" t="s">
        <v>2180</v>
      </c>
      <c r="E18" s="134">
        <v>199</v>
      </c>
      <c r="F18" s="142" t="str">
        <f>VLOOKUP(E18,VIP!$A$2:$O14236,2,0)</f>
        <v>DRBR199</v>
      </c>
      <c r="G18" s="142" t="str">
        <f>VLOOKUP(E18,'LISTADO ATM'!$A$2:$B$897,2,0)</f>
        <v xml:space="preserve">ATM S/M Amigo </v>
      </c>
      <c r="H18" s="142" t="str">
        <f>VLOOKUP(E18,VIP!$A$2:$O19197,7,FALSE)</f>
        <v>Si</v>
      </c>
      <c r="I18" s="142" t="str">
        <f>VLOOKUP(E18,VIP!$A$2:$O11162,8,FALSE)</f>
        <v>Si</v>
      </c>
      <c r="J18" s="142" t="str">
        <f>VLOOKUP(E18,VIP!$A$2:$O11112,8,FALSE)</f>
        <v>Si</v>
      </c>
      <c r="K18" s="142" t="str">
        <f>VLOOKUP(E18,VIP!$A$2:$O14686,6,0)</f>
        <v>NO</v>
      </c>
      <c r="L18" s="143" t="s">
        <v>2245</v>
      </c>
      <c r="M18" s="157" t="s">
        <v>2545</v>
      </c>
      <c r="N18" s="157" t="s">
        <v>2676</v>
      </c>
      <c r="O18" s="142" t="s">
        <v>2454</v>
      </c>
      <c r="P18" s="142"/>
      <c r="Q18" s="156">
        <v>44390.447812500002</v>
      </c>
    </row>
    <row r="19" spans="1:17" ht="18" x14ac:dyDescent="0.25">
      <c r="A19" s="142" t="str">
        <f>VLOOKUP(E19,'LISTADO ATM'!$A$2:$C$898,3,0)</f>
        <v>DISTRITO NACIONAL</v>
      </c>
      <c r="B19" s="139" t="s">
        <v>2604</v>
      </c>
      <c r="C19" s="100">
        <v>44389.608668981484</v>
      </c>
      <c r="D19" s="100" t="s">
        <v>2180</v>
      </c>
      <c r="E19" s="134">
        <v>408</v>
      </c>
      <c r="F19" s="142" t="str">
        <f>VLOOKUP(E19,VIP!$A$2:$O14235,2,0)</f>
        <v>DRBR408</v>
      </c>
      <c r="G19" s="142" t="str">
        <f>VLOOKUP(E19,'LISTADO ATM'!$A$2:$B$897,2,0)</f>
        <v xml:space="preserve">ATM Autobanco Las Palmas de Herrera </v>
      </c>
      <c r="H19" s="142" t="str">
        <f>VLOOKUP(E19,VIP!$A$2:$O19196,7,FALSE)</f>
        <v>Si</v>
      </c>
      <c r="I19" s="142" t="str">
        <f>VLOOKUP(E19,VIP!$A$2:$O11161,8,FALSE)</f>
        <v>Si</v>
      </c>
      <c r="J19" s="142" t="str">
        <f>VLOOKUP(E19,VIP!$A$2:$O11111,8,FALSE)</f>
        <v>Si</v>
      </c>
      <c r="K19" s="142" t="str">
        <f>VLOOKUP(E19,VIP!$A$2:$O14685,6,0)</f>
        <v>NO</v>
      </c>
      <c r="L19" s="143" t="s">
        <v>2245</v>
      </c>
      <c r="M19" s="157" t="s">
        <v>2545</v>
      </c>
      <c r="N19" s="157" t="s">
        <v>2676</v>
      </c>
      <c r="O19" s="142" t="s">
        <v>2454</v>
      </c>
      <c r="P19" s="142"/>
      <c r="Q19" s="156">
        <v>44390.53696759259</v>
      </c>
    </row>
    <row r="20" spans="1:17" ht="18" x14ac:dyDescent="0.25">
      <c r="A20" s="142" t="str">
        <f>VLOOKUP(E20,'LISTADO ATM'!$A$2:$C$898,3,0)</f>
        <v>DISTRITO NACIONAL</v>
      </c>
      <c r="B20" s="139" t="s">
        <v>2603</v>
      </c>
      <c r="C20" s="100">
        <v>44389.618831018517</v>
      </c>
      <c r="D20" s="100" t="s">
        <v>2180</v>
      </c>
      <c r="E20" s="134">
        <v>676</v>
      </c>
      <c r="F20" s="142" t="str">
        <f>VLOOKUP(E20,VIP!$A$2:$O14231,2,0)</f>
        <v>DRBR676</v>
      </c>
      <c r="G20" s="142" t="str">
        <f>VLOOKUP(E20,'LISTADO ATM'!$A$2:$B$897,2,0)</f>
        <v>ATM S/M Bravo Colina Del Oeste</v>
      </c>
      <c r="H20" s="142" t="str">
        <f>VLOOKUP(E20,VIP!$A$2:$O19192,7,FALSE)</f>
        <v>Si</v>
      </c>
      <c r="I20" s="142" t="str">
        <f>VLOOKUP(E20,VIP!$A$2:$O11157,8,FALSE)</f>
        <v>Si</v>
      </c>
      <c r="J20" s="142" t="str">
        <f>VLOOKUP(E20,VIP!$A$2:$O11107,8,FALSE)</f>
        <v>Si</v>
      </c>
      <c r="K20" s="142" t="str">
        <f>VLOOKUP(E20,VIP!$A$2:$O14681,6,0)</f>
        <v>NO</v>
      </c>
      <c r="L20" s="143" t="s">
        <v>2465</v>
      </c>
      <c r="M20" s="157" t="s">
        <v>2545</v>
      </c>
      <c r="N20" s="157" t="s">
        <v>2676</v>
      </c>
      <c r="O20" s="142" t="s">
        <v>2454</v>
      </c>
      <c r="P20" s="142"/>
      <c r="Q20" s="156">
        <v>44390.53696759259</v>
      </c>
    </row>
    <row r="21" spans="1:17" ht="18" x14ac:dyDescent="0.25">
      <c r="A21" s="142" t="str">
        <f>VLOOKUP(E21,'LISTADO ATM'!$A$2:$C$898,3,0)</f>
        <v>SUR</v>
      </c>
      <c r="B21" s="139" t="s">
        <v>2602</v>
      </c>
      <c r="C21" s="100">
        <v>44389.634664351855</v>
      </c>
      <c r="D21" s="100" t="s">
        <v>2180</v>
      </c>
      <c r="E21" s="134">
        <v>311</v>
      </c>
      <c r="F21" s="142" t="str">
        <f>VLOOKUP(E21,VIP!$A$2:$O14228,2,0)</f>
        <v>DRBR381</v>
      </c>
      <c r="G21" s="142" t="str">
        <f>VLOOKUP(E21,'LISTADO ATM'!$A$2:$B$897,2,0)</f>
        <v>ATM Plaza Eroski</v>
      </c>
      <c r="H21" s="142" t="str">
        <f>VLOOKUP(E21,VIP!$A$2:$O19189,7,FALSE)</f>
        <v>Si</v>
      </c>
      <c r="I21" s="142" t="str">
        <f>VLOOKUP(E21,VIP!$A$2:$O11154,8,FALSE)</f>
        <v>Si</v>
      </c>
      <c r="J21" s="142" t="str">
        <f>VLOOKUP(E21,VIP!$A$2:$O11104,8,FALSE)</f>
        <v>Si</v>
      </c>
      <c r="K21" s="142" t="str">
        <f>VLOOKUP(E21,VIP!$A$2:$O14678,6,0)</f>
        <v>NO</v>
      </c>
      <c r="L21" s="143" t="s">
        <v>2593</v>
      </c>
      <c r="M21" s="157" t="s">
        <v>2545</v>
      </c>
      <c r="N21" s="157" t="s">
        <v>2676</v>
      </c>
      <c r="O21" s="142" t="s">
        <v>2454</v>
      </c>
      <c r="P21" s="142"/>
      <c r="Q21" s="156">
        <v>44390.53696759259</v>
      </c>
    </row>
    <row r="22" spans="1:17" ht="18" x14ac:dyDescent="0.25">
      <c r="A22" s="142" t="str">
        <f>VLOOKUP(E22,'LISTADO ATM'!$A$2:$C$898,3,0)</f>
        <v>DISTRITO NACIONAL</v>
      </c>
      <c r="B22" s="139" t="s">
        <v>2631</v>
      </c>
      <c r="C22" s="100">
        <v>44389.676655092589</v>
      </c>
      <c r="D22" s="100" t="s">
        <v>2448</v>
      </c>
      <c r="E22" s="134">
        <v>240</v>
      </c>
      <c r="F22" s="142" t="str">
        <f>VLOOKUP(E22,VIP!$A$2:$O14269,2,0)</f>
        <v>DRBR24D</v>
      </c>
      <c r="G22" s="142" t="str">
        <f>VLOOKUP(E22,'LISTADO ATM'!$A$2:$B$897,2,0)</f>
        <v xml:space="preserve">ATM Oficina Carrefour I </v>
      </c>
      <c r="H22" s="142" t="str">
        <f>VLOOKUP(E22,VIP!$A$2:$O19230,7,FALSE)</f>
        <v>Si</v>
      </c>
      <c r="I22" s="142" t="str">
        <f>VLOOKUP(E22,VIP!$A$2:$O11195,8,FALSE)</f>
        <v>Si</v>
      </c>
      <c r="J22" s="142" t="str">
        <f>VLOOKUP(E22,VIP!$A$2:$O11145,8,FALSE)</f>
        <v>Si</v>
      </c>
      <c r="K22" s="142" t="str">
        <f>VLOOKUP(E22,VIP!$A$2:$O14719,6,0)</f>
        <v>SI</v>
      </c>
      <c r="L22" s="143" t="s">
        <v>2417</v>
      </c>
      <c r="M22" s="157" t="s">
        <v>2545</v>
      </c>
      <c r="N22" s="99" t="s">
        <v>2452</v>
      </c>
      <c r="O22" s="142" t="s">
        <v>2453</v>
      </c>
      <c r="P22" s="142"/>
      <c r="Q22" s="156">
        <v>44390.53696759259</v>
      </c>
    </row>
    <row r="23" spans="1:17" ht="18" x14ac:dyDescent="0.25">
      <c r="A23" s="142" t="str">
        <f>VLOOKUP(E23,'LISTADO ATM'!$A$2:$C$898,3,0)</f>
        <v>ESTE</v>
      </c>
      <c r="B23" s="139" t="s">
        <v>2630</v>
      </c>
      <c r="C23" s="100">
        <v>44389.678599537037</v>
      </c>
      <c r="D23" s="100" t="s">
        <v>2448</v>
      </c>
      <c r="E23" s="134">
        <v>651</v>
      </c>
      <c r="F23" s="142" t="str">
        <f>VLOOKUP(E23,VIP!$A$2:$O14268,2,0)</f>
        <v>DRBR651</v>
      </c>
      <c r="G23" s="142" t="str">
        <f>VLOOKUP(E23,'LISTADO ATM'!$A$2:$B$897,2,0)</f>
        <v>ATM Eco Petroleo Romana</v>
      </c>
      <c r="H23" s="142" t="str">
        <f>VLOOKUP(E23,VIP!$A$2:$O19229,7,FALSE)</f>
        <v>Si</v>
      </c>
      <c r="I23" s="142" t="str">
        <f>VLOOKUP(E23,VIP!$A$2:$O11194,8,FALSE)</f>
        <v>Si</v>
      </c>
      <c r="J23" s="142" t="str">
        <f>VLOOKUP(E23,VIP!$A$2:$O11144,8,FALSE)</f>
        <v>Si</v>
      </c>
      <c r="K23" s="142" t="str">
        <f>VLOOKUP(E23,VIP!$A$2:$O14718,6,0)</f>
        <v>NO</v>
      </c>
      <c r="L23" s="143" t="s">
        <v>2417</v>
      </c>
      <c r="M23" s="99" t="s">
        <v>2445</v>
      </c>
      <c r="N23" s="99" t="s">
        <v>2452</v>
      </c>
      <c r="O23" s="142" t="s">
        <v>2453</v>
      </c>
      <c r="P23" s="142"/>
      <c r="Q23" s="99" t="s">
        <v>2417</v>
      </c>
    </row>
    <row r="24" spans="1:17" ht="18" x14ac:dyDescent="0.25">
      <c r="A24" s="142" t="str">
        <f>VLOOKUP(E24,'LISTADO ATM'!$A$2:$C$898,3,0)</f>
        <v>DISTRITO NACIONAL</v>
      </c>
      <c r="B24" s="139" t="s">
        <v>2629</v>
      </c>
      <c r="C24" s="100">
        <v>44389.679895833331</v>
      </c>
      <c r="D24" s="100" t="s">
        <v>2469</v>
      </c>
      <c r="E24" s="134">
        <v>745</v>
      </c>
      <c r="F24" s="142" t="str">
        <f>VLOOKUP(E24,VIP!$A$2:$O14267,2,0)</f>
        <v>DRBR027</v>
      </c>
      <c r="G24" s="142" t="str">
        <f>VLOOKUP(E24,'LISTADO ATM'!$A$2:$B$897,2,0)</f>
        <v xml:space="preserve">ATM Oficina Ave. Duarte </v>
      </c>
      <c r="H24" s="142" t="str">
        <f>VLOOKUP(E24,VIP!$A$2:$O19228,7,FALSE)</f>
        <v>No</v>
      </c>
      <c r="I24" s="142" t="str">
        <f>VLOOKUP(E24,VIP!$A$2:$O11193,8,FALSE)</f>
        <v>No</v>
      </c>
      <c r="J24" s="142" t="str">
        <f>VLOOKUP(E24,VIP!$A$2:$O11143,8,FALSE)</f>
        <v>No</v>
      </c>
      <c r="K24" s="142" t="str">
        <f>VLOOKUP(E24,VIP!$A$2:$O14717,6,0)</f>
        <v>NO</v>
      </c>
      <c r="L24" s="143" t="s">
        <v>2441</v>
      </c>
      <c r="M24" s="157" t="s">
        <v>2545</v>
      </c>
      <c r="N24" s="99" t="s">
        <v>2452</v>
      </c>
      <c r="O24" s="142" t="s">
        <v>2470</v>
      </c>
      <c r="P24" s="142"/>
      <c r="Q24" s="156">
        <v>44390.447812500002</v>
      </c>
    </row>
    <row r="25" spans="1:17" ht="18" x14ac:dyDescent="0.25">
      <c r="A25" s="142" t="str">
        <f>VLOOKUP(E25,'LISTADO ATM'!$A$2:$C$898,3,0)</f>
        <v>DISTRITO NACIONAL</v>
      </c>
      <c r="B25" s="139" t="s">
        <v>2628</v>
      </c>
      <c r="C25" s="100">
        <v>44389.690370370372</v>
      </c>
      <c r="D25" s="100" t="s">
        <v>2180</v>
      </c>
      <c r="E25" s="134">
        <v>23</v>
      </c>
      <c r="F25" s="142" t="str">
        <f>VLOOKUP(E25,VIP!$A$2:$O14266,2,0)</f>
        <v>DRBR023</v>
      </c>
      <c r="G25" s="142" t="str">
        <f>VLOOKUP(E25,'LISTADO ATM'!$A$2:$B$897,2,0)</f>
        <v xml:space="preserve">ATM Oficina México </v>
      </c>
      <c r="H25" s="142" t="str">
        <f>VLOOKUP(E25,VIP!$A$2:$O19227,7,FALSE)</f>
        <v>Si</v>
      </c>
      <c r="I25" s="142" t="str">
        <f>VLOOKUP(E25,VIP!$A$2:$O11192,8,FALSE)</f>
        <v>Si</v>
      </c>
      <c r="J25" s="142" t="str">
        <f>VLOOKUP(E25,VIP!$A$2:$O11142,8,FALSE)</f>
        <v>Si</v>
      </c>
      <c r="K25" s="142" t="str">
        <f>VLOOKUP(E25,VIP!$A$2:$O14716,6,0)</f>
        <v>NO</v>
      </c>
      <c r="L25" s="143" t="s">
        <v>2465</v>
      </c>
      <c r="M25" s="99" t="s">
        <v>2445</v>
      </c>
      <c r="N25" s="157" t="s">
        <v>2676</v>
      </c>
      <c r="O25" s="142" t="s">
        <v>2454</v>
      </c>
      <c r="P25" s="142"/>
      <c r="Q25" s="99" t="s">
        <v>2465</v>
      </c>
    </row>
    <row r="26" spans="1:17" ht="18" x14ac:dyDescent="0.25">
      <c r="A26" s="142" t="str">
        <f>VLOOKUP(E26,'LISTADO ATM'!$A$2:$C$898,3,0)</f>
        <v>DISTRITO NACIONAL</v>
      </c>
      <c r="B26" s="139" t="s">
        <v>2627</v>
      </c>
      <c r="C26" s="100">
        <v>44389.690810185188</v>
      </c>
      <c r="D26" s="100" t="s">
        <v>2180</v>
      </c>
      <c r="E26" s="134">
        <v>930</v>
      </c>
      <c r="F26" s="142" t="str">
        <f>VLOOKUP(E26,VIP!$A$2:$O14265,2,0)</f>
        <v>DRBR930</v>
      </c>
      <c r="G26" s="142" t="str">
        <f>VLOOKUP(E26,'LISTADO ATM'!$A$2:$B$897,2,0)</f>
        <v>ATM Oficina Plaza Spring Center</v>
      </c>
      <c r="H26" s="142" t="str">
        <f>VLOOKUP(E26,VIP!$A$2:$O19226,7,FALSE)</f>
        <v>Si</v>
      </c>
      <c r="I26" s="142" t="str">
        <f>VLOOKUP(E26,VIP!$A$2:$O11191,8,FALSE)</f>
        <v>Si</v>
      </c>
      <c r="J26" s="142" t="str">
        <f>VLOOKUP(E26,VIP!$A$2:$O11141,8,FALSE)</f>
        <v>Si</v>
      </c>
      <c r="K26" s="142" t="str">
        <f>VLOOKUP(E26,VIP!$A$2:$O14715,6,0)</f>
        <v>NO</v>
      </c>
      <c r="L26" s="143" t="s">
        <v>2465</v>
      </c>
      <c r="M26" s="157" t="s">
        <v>2545</v>
      </c>
      <c r="N26" s="157" t="s">
        <v>2676</v>
      </c>
      <c r="O26" s="142" t="s">
        <v>2454</v>
      </c>
      <c r="P26" s="142"/>
      <c r="Q26" s="156">
        <v>44390.447812500002</v>
      </c>
    </row>
    <row r="27" spans="1:17" ht="18" x14ac:dyDescent="0.25">
      <c r="A27" s="142" t="str">
        <f>VLOOKUP(E27,'LISTADO ATM'!$A$2:$C$898,3,0)</f>
        <v>ESTE</v>
      </c>
      <c r="B27" s="139" t="s">
        <v>2626</v>
      </c>
      <c r="C27" s="100">
        <v>44389.691793981481</v>
      </c>
      <c r="D27" s="100" t="s">
        <v>2180</v>
      </c>
      <c r="E27" s="134">
        <v>368</v>
      </c>
      <c r="F27" s="142" t="str">
        <f>VLOOKUP(E27,VIP!$A$2:$O14264,2,0)</f>
        <v xml:space="preserve">DRBR368 </v>
      </c>
      <c r="G27" s="142" t="str">
        <f>VLOOKUP(E27,'LISTADO ATM'!$A$2:$B$897,2,0)</f>
        <v>ATM Ayuntamiento Peralvillo</v>
      </c>
      <c r="H27" s="142" t="str">
        <f>VLOOKUP(E27,VIP!$A$2:$O19225,7,FALSE)</f>
        <v>N/A</v>
      </c>
      <c r="I27" s="142" t="str">
        <f>VLOOKUP(E27,VIP!$A$2:$O11190,8,FALSE)</f>
        <v>N/A</v>
      </c>
      <c r="J27" s="142" t="str">
        <f>VLOOKUP(E27,VIP!$A$2:$O11140,8,FALSE)</f>
        <v>N/A</v>
      </c>
      <c r="K27" s="142" t="str">
        <f>VLOOKUP(E27,VIP!$A$2:$O14714,6,0)</f>
        <v>N/A</v>
      </c>
      <c r="L27" s="143" t="s">
        <v>2219</v>
      </c>
      <c r="M27" s="99" t="s">
        <v>2445</v>
      </c>
      <c r="N27" s="99" t="s">
        <v>2452</v>
      </c>
      <c r="O27" s="142" t="s">
        <v>2454</v>
      </c>
      <c r="P27" s="142"/>
      <c r="Q27" s="99" t="s">
        <v>2219</v>
      </c>
    </row>
    <row r="28" spans="1:17" ht="18" x14ac:dyDescent="0.25">
      <c r="A28" s="142" t="str">
        <f>VLOOKUP(E28,'LISTADO ATM'!$A$2:$C$898,3,0)</f>
        <v>DISTRITO NACIONAL</v>
      </c>
      <c r="B28" s="139" t="s">
        <v>2625</v>
      </c>
      <c r="C28" s="100">
        <v>44389.712141203701</v>
      </c>
      <c r="D28" s="100" t="s">
        <v>2448</v>
      </c>
      <c r="E28" s="134">
        <v>180</v>
      </c>
      <c r="F28" s="142" t="str">
        <f>VLOOKUP(E28,VIP!$A$2:$O14263,2,0)</f>
        <v>DRBR180</v>
      </c>
      <c r="G28" s="142" t="str">
        <f>VLOOKUP(E28,'LISTADO ATM'!$A$2:$B$897,2,0)</f>
        <v xml:space="preserve">ATM Megacentro II </v>
      </c>
      <c r="H28" s="142" t="str">
        <f>VLOOKUP(E28,VIP!$A$2:$O19224,7,FALSE)</f>
        <v>Si</v>
      </c>
      <c r="I28" s="142" t="str">
        <f>VLOOKUP(E28,VIP!$A$2:$O11189,8,FALSE)</f>
        <v>Si</v>
      </c>
      <c r="J28" s="142" t="str">
        <f>VLOOKUP(E28,VIP!$A$2:$O11139,8,FALSE)</f>
        <v>Si</v>
      </c>
      <c r="K28" s="142" t="str">
        <f>VLOOKUP(E28,VIP!$A$2:$O14713,6,0)</f>
        <v>SI</v>
      </c>
      <c r="L28" s="143" t="s">
        <v>2441</v>
      </c>
      <c r="M28" s="157" t="s">
        <v>2545</v>
      </c>
      <c r="N28" s="99" t="s">
        <v>2452</v>
      </c>
      <c r="O28" s="142" t="s">
        <v>2453</v>
      </c>
      <c r="P28" s="142"/>
      <c r="Q28" s="156">
        <v>44390.447812500002</v>
      </c>
    </row>
    <row r="29" spans="1:17" ht="18" x14ac:dyDescent="0.25">
      <c r="A29" s="142" t="str">
        <f>VLOOKUP(E29,'LISTADO ATM'!$A$2:$C$898,3,0)</f>
        <v>DISTRITO NACIONAL</v>
      </c>
      <c r="B29" s="139" t="s">
        <v>2624</v>
      </c>
      <c r="C29" s="100">
        <v>44389.717094907406</v>
      </c>
      <c r="D29" s="100" t="s">
        <v>2180</v>
      </c>
      <c r="E29" s="134">
        <v>536</v>
      </c>
      <c r="F29" s="142" t="str">
        <f>VLOOKUP(E29,VIP!$A$2:$O14262,2,0)</f>
        <v>DRBR509</v>
      </c>
      <c r="G29" s="142" t="str">
        <f>VLOOKUP(E29,'LISTADO ATM'!$A$2:$B$897,2,0)</f>
        <v xml:space="preserve">ATM Super Lama San Isidro </v>
      </c>
      <c r="H29" s="142" t="str">
        <f>VLOOKUP(E29,VIP!$A$2:$O19223,7,FALSE)</f>
        <v>Si</v>
      </c>
      <c r="I29" s="142" t="str">
        <f>VLOOKUP(E29,VIP!$A$2:$O11188,8,FALSE)</f>
        <v>Si</v>
      </c>
      <c r="J29" s="142" t="str">
        <f>VLOOKUP(E29,VIP!$A$2:$O11138,8,FALSE)</f>
        <v>Si</v>
      </c>
      <c r="K29" s="142" t="str">
        <f>VLOOKUP(E29,VIP!$A$2:$O14712,6,0)</f>
        <v>NO</v>
      </c>
      <c r="L29" s="143" t="s">
        <v>2465</v>
      </c>
      <c r="M29" s="157" t="s">
        <v>2545</v>
      </c>
      <c r="N29" s="157" t="s">
        <v>2676</v>
      </c>
      <c r="O29" s="142" t="s">
        <v>2454</v>
      </c>
      <c r="P29" s="142"/>
      <c r="Q29" s="156">
        <v>44390.447812500002</v>
      </c>
    </row>
    <row r="30" spans="1:17" ht="18" x14ac:dyDescent="0.25">
      <c r="A30" s="142" t="str">
        <f>VLOOKUP(E30,'LISTADO ATM'!$A$2:$C$898,3,0)</f>
        <v>DISTRITO NACIONAL</v>
      </c>
      <c r="B30" s="139" t="s">
        <v>2623</v>
      </c>
      <c r="C30" s="100">
        <v>44389.734803240739</v>
      </c>
      <c r="D30" s="100" t="s">
        <v>2180</v>
      </c>
      <c r="E30" s="134">
        <v>10</v>
      </c>
      <c r="F30" s="142" t="str">
        <f>VLOOKUP(E30,VIP!$A$2:$O14261,2,0)</f>
        <v>DRBR010</v>
      </c>
      <c r="G30" s="142" t="str">
        <f>VLOOKUP(E30,'LISTADO ATM'!$A$2:$B$897,2,0)</f>
        <v xml:space="preserve">ATM Ministerio Salud Pública </v>
      </c>
      <c r="H30" s="142" t="str">
        <f>VLOOKUP(E30,VIP!$A$2:$O19222,7,FALSE)</f>
        <v>Si</v>
      </c>
      <c r="I30" s="142" t="str">
        <f>VLOOKUP(E30,VIP!$A$2:$O11187,8,FALSE)</f>
        <v>Si</v>
      </c>
      <c r="J30" s="142" t="str">
        <f>VLOOKUP(E30,VIP!$A$2:$O11137,8,FALSE)</f>
        <v>Si</v>
      </c>
      <c r="K30" s="142" t="str">
        <f>VLOOKUP(E30,VIP!$A$2:$O14711,6,0)</f>
        <v>NO</v>
      </c>
      <c r="L30" s="143" t="s">
        <v>2219</v>
      </c>
      <c r="M30" s="157" t="s">
        <v>2545</v>
      </c>
      <c r="N30" s="157" t="s">
        <v>2676</v>
      </c>
      <c r="O30" s="142" t="s">
        <v>2454</v>
      </c>
      <c r="P30" s="142"/>
      <c r="Q30" s="156">
        <v>44390.447812500002</v>
      </c>
    </row>
    <row r="31" spans="1:17" ht="18" x14ac:dyDescent="0.25">
      <c r="A31" s="142" t="str">
        <f>VLOOKUP(E31,'LISTADO ATM'!$A$2:$C$898,3,0)</f>
        <v>DISTRITO NACIONAL</v>
      </c>
      <c r="B31" s="139" t="s">
        <v>2622</v>
      </c>
      <c r="C31" s="100">
        <v>44389.736770833333</v>
      </c>
      <c r="D31" s="100" t="s">
        <v>2180</v>
      </c>
      <c r="E31" s="134">
        <v>239</v>
      </c>
      <c r="F31" s="142" t="str">
        <f>VLOOKUP(E31,VIP!$A$2:$O14258,2,0)</f>
        <v>DRBR239</v>
      </c>
      <c r="G31" s="142" t="str">
        <f>VLOOKUP(E31,'LISTADO ATM'!$A$2:$B$897,2,0)</f>
        <v xml:space="preserve">ATM Autobanco Charles de Gaulle </v>
      </c>
      <c r="H31" s="142" t="str">
        <f>VLOOKUP(E31,VIP!$A$2:$O19219,7,FALSE)</f>
        <v>Si</v>
      </c>
      <c r="I31" s="142" t="str">
        <f>VLOOKUP(E31,VIP!$A$2:$O11184,8,FALSE)</f>
        <v>Si</v>
      </c>
      <c r="J31" s="142" t="str">
        <f>VLOOKUP(E31,VIP!$A$2:$O11134,8,FALSE)</f>
        <v>Si</v>
      </c>
      <c r="K31" s="142" t="str">
        <f>VLOOKUP(E31,VIP!$A$2:$O14708,6,0)</f>
        <v>SI</v>
      </c>
      <c r="L31" s="143" t="s">
        <v>2219</v>
      </c>
      <c r="M31" s="157" t="s">
        <v>2545</v>
      </c>
      <c r="N31" s="157" t="s">
        <v>2676</v>
      </c>
      <c r="O31" s="142" t="s">
        <v>2454</v>
      </c>
      <c r="P31" s="142"/>
      <c r="Q31" s="156">
        <v>44390.447812500002</v>
      </c>
    </row>
    <row r="32" spans="1:17" ht="18" x14ac:dyDescent="0.25">
      <c r="A32" s="142" t="str">
        <f>VLOOKUP(E32,'LISTADO ATM'!$A$2:$C$898,3,0)</f>
        <v>DISTRITO NACIONAL</v>
      </c>
      <c r="B32" s="139" t="s">
        <v>2621</v>
      </c>
      <c r="C32" s="100">
        <v>44389.73710648148</v>
      </c>
      <c r="D32" s="100" t="s">
        <v>2180</v>
      </c>
      <c r="E32" s="134">
        <v>244</v>
      </c>
      <c r="F32" s="142" t="str">
        <f>VLOOKUP(E32,VIP!$A$2:$O14257,2,0)</f>
        <v>DRBR244</v>
      </c>
      <c r="G32" s="142" t="str">
        <f>VLOOKUP(E32,'LISTADO ATM'!$A$2:$B$897,2,0)</f>
        <v xml:space="preserve">ATM Ministerio de Hacienda (antiguo Finanzas) </v>
      </c>
      <c r="H32" s="142" t="str">
        <f>VLOOKUP(E32,VIP!$A$2:$O19218,7,FALSE)</f>
        <v>Si</v>
      </c>
      <c r="I32" s="142" t="str">
        <f>VLOOKUP(E32,VIP!$A$2:$O11183,8,FALSE)</f>
        <v>Si</v>
      </c>
      <c r="J32" s="142" t="str">
        <f>VLOOKUP(E32,VIP!$A$2:$O11133,8,FALSE)</f>
        <v>Si</v>
      </c>
      <c r="K32" s="142" t="str">
        <f>VLOOKUP(E32,VIP!$A$2:$O14707,6,0)</f>
        <v>NO</v>
      </c>
      <c r="L32" s="143" t="s">
        <v>2219</v>
      </c>
      <c r="M32" s="157" t="s">
        <v>2545</v>
      </c>
      <c r="N32" s="157" t="s">
        <v>2676</v>
      </c>
      <c r="O32" s="142" t="s">
        <v>2454</v>
      </c>
      <c r="P32" s="142"/>
      <c r="Q32" s="156">
        <v>44390.447812500002</v>
      </c>
    </row>
    <row r="33" spans="1:17" ht="18" x14ac:dyDescent="0.25">
      <c r="A33" s="142" t="str">
        <f>VLOOKUP(E33,'LISTADO ATM'!$A$2:$C$898,3,0)</f>
        <v>DISTRITO NACIONAL</v>
      </c>
      <c r="B33" s="139" t="s">
        <v>2620</v>
      </c>
      <c r="C33" s="100">
        <v>44389.73715277778</v>
      </c>
      <c r="D33" s="100" t="s">
        <v>2180</v>
      </c>
      <c r="E33" s="134">
        <v>623</v>
      </c>
      <c r="F33" s="142" t="str">
        <f>VLOOKUP(E33,VIP!$A$2:$O14256,2,0)</f>
        <v>DRBR623</v>
      </c>
      <c r="G33" s="142" t="str">
        <f>VLOOKUP(E33,'LISTADO ATM'!$A$2:$B$897,2,0)</f>
        <v xml:space="preserve">ATM Operaciones Especiales (Manoguayabo) </v>
      </c>
      <c r="H33" s="142" t="str">
        <f>VLOOKUP(E33,VIP!$A$2:$O19217,7,FALSE)</f>
        <v>Si</v>
      </c>
      <c r="I33" s="142" t="str">
        <f>VLOOKUP(E33,VIP!$A$2:$O11182,8,FALSE)</f>
        <v>Si</v>
      </c>
      <c r="J33" s="142" t="str">
        <f>VLOOKUP(E33,VIP!$A$2:$O11132,8,FALSE)</f>
        <v>Si</v>
      </c>
      <c r="K33" s="142" t="str">
        <f>VLOOKUP(E33,VIP!$A$2:$O14706,6,0)</f>
        <v>No</v>
      </c>
      <c r="L33" s="143" t="s">
        <v>2219</v>
      </c>
      <c r="M33" s="157" t="s">
        <v>2545</v>
      </c>
      <c r="N33" s="157" t="s">
        <v>2676</v>
      </c>
      <c r="O33" s="142" t="s">
        <v>2454</v>
      </c>
      <c r="P33" s="142"/>
      <c r="Q33" s="156">
        <v>44390.53696759259</v>
      </c>
    </row>
    <row r="34" spans="1:17" ht="18" x14ac:dyDescent="0.25">
      <c r="A34" s="142" t="str">
        <f>VLOOKUP(E34,'LISTADO ATM'!$A$2:$C$898,3,0)</f>
        <v>DISTRITO NACIONAL</v>
      </c>
      <c r="B34" s="139" t="s">
        <v>2619</v>
      </c>
      <c r="C34" s="100">
        <v>44389.737800925926</v>
      </c>
      <c r="D34" s="100" t="s">
        <v>2180</v>
      </c>
      <c r="E34" s="134">
        <v>487</v>
      </c>
      <c r="F34" s="142" t="str">
        <f>VLOOKUP(E34,VIP!$A$2:$O14255,2,0)</f>
        <v>DRBR487</v>
      </c>
      <c r="G34" s="142" t="str">
        <f>VLOOKUP(E34,'LISTADO ATM'!$A$2:$B$897,2,0)</f>
        <v xml:space="preserve">ATM Olé Hainamosa </v>
      </c>
      <c r="H34" s="142" t="str">
        <f>VLOOKUP(E34,VIP!$A$2:$O19216,7,FALSE)</f>
        <v>Si</v>
      </c>
      <c r="I34" s="142" t="str">
        <f>VLOOKUP(E34,VIP!$A$2:$O11181,8,FALSE)</f>
        <v>Si</v>
      </c>
      <c r="J34" s="142" t="str">
        <f>VLOOKUP(E34,VIP!$A$2:$O11131,8,FALSE)</f>
        <v>Si</v>
      </c>
      <c r="K34" s="142" t="str">
        <f>VLOOKUP(E34,VIP!$A$2:$O14705,6,0)</f>
        <v>SI</v>
      </c>
      <c r="L34" s="143" t="s">
        <v>2219</v>
      </c>
      <c r="M34" s="99" t="s">
        <v>2445</v>
      </c>
      <c r="N34" s="99" t="s">
        <v>2452</v>
      </c>
      <c r="O34" s="142" t="s">
        <v>2454</v>
      </c>
      <c r="P34" s="142"/>
      <c r="Q34" s="99" t="s">
        <v>2219</v>
      </c>
    </row>
    <row r="35" spans="1:17" ht="18" x14ac:dyDescent="0.25">
      <c r="A35" s="142" t="str">
        <f>VLOOKUP(E35,'LISTADO ATM'!$A$2:$C$898,3,0)</f>
        <v>DISTRITO NACIONAL</v>
      </c>
      <c r="B35" s="139" t="s">
        <v>2618</v>
      </c>
      <c r="C35" s="100">
        <v>44389.738888888889</v>
      </c>
      <c r="D35" s="100" t="s">
        <v>2180</v>
      </c>
      <c r="E35" s="134">
        <v>961</v>
      </c>
      <c r="F35" s="142" t="str">
        <f>VLOOKUP(E35,VIP!$A$2:$O14254,2,0)</f>
        <v>DRBR03H</v>
      </c>
      <c r="G35" s="142" t="str">
        <f>VLOOKUP(E35,'LISTADO ATM'!$A$2:$B$897,2,0)</f>
        <v xml:space="preserve">ATM Listín Diario </v>
      </c>
      <c r="H35" s="142" t="str">
        <f>VLOOKUP(E35,VIP!$A$2:$O19215,7,FALSE)</f>
        <v>Si</v>
      </c>
      <c r="I35" s="142" t="str">
        <f>VLOOKUP(E35,VIP!$A$2:$O11180,8,FALSE)</f>
        <v>Si</v>
      </c>
      <c r="J35" s="142" t="str">
        <f>VLOOKUP(E35,VIP!$A$2:$O11130,8,FALSE)</f>
        <v>Si</v>
      </c>
      <c r="K35" s="142" t="str">
        <f>VLOOKUP(E35,VIP!$A$2:$O14704,6,0)</f>
        <v>NO</v>
      </c>
      <c r="L35" s="143" t="s">
        <v>2219</v>
      </c>
      <c r="M35" s="157" t="s">
        <v>2545</v>
      </c>
      <c r="N35" s="157" t="s">
        <v>2676</v>
      </c>
      <c r="O35" s="142" t="s">
        <v>2454</v>
      </c>
      <c r="P35" s="142"/>
      <c r="Q35" s="156">
        <v>44390.447812500002</v>
      </c>
    </row>
    <row r="36" spans="1:17" ht="18" x14ac:dyDescent="0.25">
      <c r="A36" s="142" t="str">
        <f>VLOOKUP(E36,'LISTADO ATM'!$A$2:$C$898,3,0)</f>
        <v>NORTE</v>
      </c>
      <c r="B36" s="139" t="s">
        <v>2617</v>
      </c>
      <c r="C36" s="100">
        <v>44389.741655092592</v>
      </c>
      <c r="D36" s="100" t="s">
        <v>2181</v>
      </c>
      <c r="E36" s="134">
        <v>172</v>
      </c>
      <c r="F36" s="142" t="str">
        <f>VLOOKUP(E36,VIP!$A$2:$O14253,2,0)</f>
        <v>DRBR172</v>
      </c>
      <c r="G36" s="142" t="str">
        <f>VLOOKUP(E36,'LISTADO ATM'!$A$2:$B$897,2,0)</f>
        <v xml:space="preserve">ATM UNP Guaucí </v>
      </c>
      <c r="H36" s="142" t="str">
        <f>VLOOKUP(E36,VIP!$A$2:$O19214,7,FALSE)</f>
        <v>Si</v>
      </c>
      <c r="I36" s="142" t="str">
        <f>VLOOKUP(E36,VIP!$A$2:$O11179,8,FALSE)</f>
        <v>Si</v>
      </c>
      <c r="J36" s="142" t="str">
        <f>VLOOKUP(E36,VIP!$A$2:$O11129,8,FALSE)</f>
        <v>Si</v>
      </c>
      <c r="K36" s="142" t="str">
        <f>VLOOKUP(E36,VIP!$A$2:$O14703,6,0)</f>
        <v>NO</v>
      </c>
      <c r="L36" s="143" t="s">
        <v>2219</v>
      </c>
      <c r="M36" s="157" t="s">
        <v>2545</v>
      </c>
      <c r="N36" s="157" t="s">
        <v>2676</v>
      </c>
      <c r="O36" s="142" t="s">
        <v>2588</v>
      </c>
      <c r="P36" s="142"/>
      <c r="Q36" s="156">
        <v>44390.447812500002</v>
      </c>
    </row>
    <row r="37" spans="1:17" ht="18" x14ac:dyDescent="0.25">
      <c r="A37" s="142" t="str">
        <f>VLOOKUP(E37,'LISTADO ATM'!$A$2:$C$898,3,0)</f>
        <v>NORTE</v>
      </c>
      <c r="B37" s="139" t="s">
        <v>2616</v>
      </c>
      <c r="C37" s="100">
        <v>44389.744513888887</v>
      </c>
      <c r="D37" s="100" t="s">
        <v>2589</v>
      </c>
      <c r="E37" s="134">
        <v>926</v>
      </c>
      <c r="F37" s="142" t="str">
        <f>VLOOKUP(E37,VIP!$A$2:$O14252,2,0)</f>
        <v>DRBR926</v>
      </c>
      <c r="G37" s="142" t="str">
        <f>VLOOKUP(E37,'LISTADO ATM'!$A$2:$B$897,2,0)</f>
        <v>ATM S/M Juan Cepin</v>
      </c>
      <c r="H37" s="142" t="str">
        <f>VLOOKUP(E37,VIP!$A$2:$O19213,7,FALSE)</f>
        <v>N/A</v>
      </c>
      <c r="I37" s="142" t="str">
        <f>VLOOKUP(E37,VIP!$A$2:$O11178,8,FALSE)</f>
        <v>N/A</v>
      </c>
      <c r="J37" s="142" t="str">
        <f>VLOOKUP(E37,VIP!$A$2:$O11128,8,FALSE)</f>
        <v>N/A</v>
      </c>
      <c r="K37" s="142" t="str">
        <f>VLOOKUP(E37,VIP!$A$2:$O14702,6,0)</f>
        <v>N/A</v>
      </c>
      <c r="L37" s="143" t="s">
        <v>2441</v>
      </c>
      <c r="M37" s="157" t="s">
        <v>2545</v>
      </c>
      <c r="N37" s="99" t="s">
        <v>2452</v>
      </c>
      <c r="O37" s="142" t="s">
        <v>2590</v>
      </c>
      <c r="P37" s="142"/>
      <c r="Q37" s="156">
        <v>44390.447812500002</v>
      </c>
    </row>
    <row r="38" spans="1:17" ht="18" x14ac:dyDescent="0.25">
      <c r="A38" s="142" t="str">
        <f>VLOOKUP(E38,'LISTADO ATM'!$A$2:$C$898,3,0)</f>
        <v>DISTRITO NACIONAL</v>
      </c>
      <c r="B38" s="139" t="s">
        <v>2615</v>
      </c>
      <c r="C38" s="100">
        <v>44389.747349537036</v>
      </c>
      <c r="D38" s="100" t="s">
        <v>2448</v>
      </c>
      <c r="E38" s="134">
        <v>542</v>
      </c>
      <c r="F38" s="142" t="str">
        <f>VLOOKUP(E38,VIP!$A$2:$O14251,2,0)</f>
        <v>DRBR542</v>
      </c>
      <c r="G38" s="142" t="str">
        <f>VLOOKUP(E38,'LISTADO ATM'!$A$2:$B$897,2,0)</f>
        <v>ATM S/M la Cadena Carretera Mella</v>
      </c>
      <c r="H38" s="142" t="str">
        <f>VLOOKUP(E38,VIP!$A$2:$O19212,7,FALSE)</f>
        <v>NO</v>
      </c>
      <c r="I38" s="142" t="str">
        <f>VLOOKUP(E38,VIP!$A$2:$O11177,8,FALSE)</f>
        <v>SI</v>
      </c>
      <c r="J38" s="142" t="str">
        <f>VLOOKUP(E38,VIP!$A$2:$O11127,8,FALSE)</f>
        <v>SI</v>
      </c>
      <c r="K38" s="142" t="str">
        <f>VLOOKUP(E38,VIP!$A$2:$O14701,6,0)</f>
        <v>NO</v>
      </c>
      <c r="L38" s="143" t="s">
        <v>2441</v>
      </c>
      <c r="M38" s="157" t="s">
        <v>2545</v>
      </c>
      <c r="N38" s="99" t="s">
        <v>2452</v>
      </c>
      <c r="O38" s="142" t="s">
        <v>2453</v>
      </c>
      <c r="P38" s="142"/>
      <c r="Q38" s="156">
        <v>44390.447812500002</v>
      </c>
    </row>
    <row r="39" spans="1:17" ht="18" x14ac:dyDescent="0.25">
      <c r="A39" s="142" t="str">
        <f>VLOOKUP(E39,'LISTADO ATM'!$A$2:$C$898,3,0)</f>
        <v>DISTRITO NACIONAL</v>
      </c>
      <c r="B39" s="139" t="s">
        <v>2614</v>
      </c>
      <c r="C39" s="100">
        <v>44389.753240740742</v>
      </c>
      <c r="D39" s="100" t="s">
        <v>2180</v>
      </c>
      <c r="E39" s="134">
        <v>280</v>
      </c>
      <c r="F39" s="142" t="str">
        <f>VLOOKUP(E39,VIP!$A$2:$O14250,2,0)</f>
        <v>DRBR752</v>
      </c>
      <c r="G39" s="142" t="str">
        <f>VLOOKUP(E39,'LISTADO ATM'!$A$2:$B$897,2,0)</f>
        <v xml:space="preserve">ATM Cooperativa BR </v>
      </c>
      <c r="H39" s="142" t="str">
        <f>VLOOKUP(E39,VIP!$A$2:$O19211,7,FALSE)</f>
        <v>Si</v>
      </c>
      <c r="I39" s="142" t="str">
        <f>VLOOKUP(E39,VIP!$A$2:$O11176,8,FALSE)</f>
        <v>Si</v>
      </c>
      <c r="J39" s="142" t="str">
        <f>VLOOKUP(E39,VIP!$A$2:$O11126,8,FALSE)</f>
        <v>Si</v>
      </c>
      <c r="K39" s="142" t="str">
        <f>VLOOKUP(E39,VIP!$A$2:$O14700,6,0)</f>
        <v>NO</v>
      </c>
      <c r="L39" s="143" t="s">
        <v>2465</v>
      </c>
      <c r="M39" s="157" t="s">
        <v>2545</v>
      </c>
      <c r="N39" s="157" t="s">
        <v>2676</v>
      </c>
      <c r="O39" s="142" t="s">
        <v>2454</v>
      </c>
      <c r="P39" s="142"/>
      <c r="Q39" s="156">
        <v>44390.447812500002</v>
      </c>
    </row>
    <row r="40" spans="1:17" ht="18" x14ac:dyDescent="0.25">
      <c r="A40" s="142" t="str">
        <f>VLOOKUP(E40,'LISTADO ATM'!$A$2:$C$898,3,0)</f>
        <v>DISTRITO NACIONAL</v>
      </c>
      <c r="B40" s="139" t="s">
        <v>2613</v>
      </c>
      <c r="C40" s="100">
        <v>44389.779733796298</v>
      </c>
      <c r="D40" s="100" t="s">
        <v>2180</v>
      </c>
      <c r="E40" s="134">
        <v>685</v>
      </c>
      <c r="F40" s="142" t="str">
        <f>VLOOKUP(E40,VIP!$A$2:$O14248,2,0)</f>
        <v>DRBR685</v>
      </c>
      <c r="G40" s="142" t="str">
        <f>VLOOKUP(E40,'LISTADO ATM'!$A$2:$B$897,2,0)</f>
        <v>ATM Autoservicio UASD</v>
      </c>
      <c r="H40" s="142" t="str">
        <f>VLOOKUP(E40,VIP!$A$2:$O19209,7,FALSE)</f>
        <v>NO</v>
      </c>
      <c r="I40" s="142" t="str">
        <f>VLOOKUP(E40,VIP!$A$2:$O11174,8,FALSE)</f>
        <v>SI</v>
      </c>
      <c r="J40" s="142" t="str">
        <f>VLOOKUP(E40,VIP!$A$2:$O11124,8,FALSE)</f>
        <v>SI</v>
      </c>
      <c r="K40" s="142" t="str">
        <f>VLOOKUP(E40,VIP!$A$2:$O14698,6,0)</f>
        <v>NO</v>
      </c>
      <c r="L40" s="143" t="s">
        <v>2219</v>
      </c>
      <c r="M40" s="157" t="s">
        <v>2545</v>
      </c>
      <c r="N40" s="157" t="s">
        <v>2676</v>
      </c>
      <c r="O40" s="142" t="s">
        <v>2454</v>
      </c>
      <c r="P40" s="142"/>
      <c r="Q40" s="156">
        <v>44390.53696759259</v>
      </c>
    </row>
    <row r="41" spans="1:17" ht="18" x14ac:dyDescent="0.25">
      <c r="A41" s="142" t="str">
        <f>VLOOKUP(E41,'LISTADO ATM'!$A$2:$C$898,3,0)</f>
        <v>DISTRITO NACIONAL</v>
      </c>
      <c r="B41" s="139" t="s">
        <v>2612</v>
      </c>
      <c r="C41" s="100">
        <v>44389.78020833333</v>
      </c>
      <c r="D41" s="100" t="s">
        <v>2180</v>
      </c>
      <c r="E41" s="134">
        <v>836</v>
      </c>
      <c r="F41" s="142" t="str">
        <f>VLOOKUP(E41,VIP!$A$2:$O14247,2,0)</f>
        <v>DRBR836</v>
      </c>
      <c r="G41" s="142" t="str">
        <f>VLOOKUP(E41,'LISTADO ATM'!$A$2:$B$897,2,0)</f>
        <v xml:space="preserve">ATM UNP Plaza Luperón </v>
      </c>
      <c r="H41" s="142" t="str">
        <f>VLOOKUP(E41,VIP!$A$2:$O19208,7,FALSE)</f>
        <v>Si</v>
      </c>
      <c r="I41" s="142" t="str">
        <f>VLOOKUP(E41,VIP!$A$2:$O11173,8,FALSE)</f>
        <v>Si</v>
      </c>
      <c r="J41" s="142" t="str">
        <f>VLOOKUP(E41,VIP!$A$2:$O11123,8,FALSE)</f>
        <v>Si</v>
      </c>
      <c r="K41" s="142" t="str">
        <f>VLOOKUP(E41,VIP!$A$2:$O14697,6,0)</f>
        <v>NO</v>
      </c>
      <c r="L41" s="143" t="s">
        <v>2465</v>
      </c>
      <c r="M41" s="157" t="s">
        <v>2545</v>
      </c>
      <c r="N41" s="157" t="s">
        <v>2676</v>
      </c>
      <c r="O41" s="142" t="s">
        <v>2454</v>
      </c>
      <c r="P41" s="142"/>
      <c r="Q41" s="156">
        <v>44390.447812500002</v>
      </c>
    </row>
    <row r="42" spans="1:17" ht="18" x14ac:dyDescent="0.25">
      <c r="A42" s="142" t="str">
        <f>VLOOKUP(E42,'LISTADO ATM'!$A$2:$C$898,3,0)</f>
        <v>SUR</v>
      </c>
      <c r="B42" s="139" t="s">
        <v>2611</v>
      </c>
      <c r="C42" s="100">
        <v>44389.781840277778</v>
      </c>
      <c r="D42" s="100" t="s">
        <v>2180</v>
      </c>
      <c r="E42" s="134">
        <v>829</v>
      </c>
      <c r="F42" s="142" t="str">
        <f>VLOOKUP(E42,VIP!$A$2:$O14246,2,0)</f>
        <v>DRBR829</v>
      </c>
      <c r="G42" s="142" t="str">
        <f>VLOOKUP(E42,'LISTADO ATM'!$A$2:$B$897,2,0)</f>
        <v xml:space="preserve">ATM UNP Multicentro Sirena Baní </v>
      </c>
      <c r="H42" s="142" t="str">
        <f>VLOOKUP(E42,VIP!$A$2:$O19207,7,FALSE)</f>
        <v>Si</v>
      </c>
      <c r="I42" s="142" t="str">
        <f>VLOOKUP(E42,VIP!$A$2:$O11172,8,FALSE)</f>
        <v>Si</v>
      </c>
      <c r="J42" s="142" t="str">
        <f>VLOOKUP(E42,VIP!$A$2:$O11122,8,FALSE)</f>
        <v>Si</v>
      </c>
      <c r="K42" s="142" t="str">
        <f>VLOOKUP(E42,VIP!$A$2:$O14696,6,0)</f>
        <v>NO</v>
      </c>
      <c r="L42" s="143" t="s">
        <v>2594</v>
      </c>
      <c r="M42" s="99" t="s">
        <v>2445</v>
      </c>
      <c r="N42" s="99" t="s">
        <v>2452</v>
      </c>
      <c r="O42" s="142" t="s">
        <v>2454</v>
      </c>
      <c r="P42" s="142"/>
      <c r="Q42" s="99" t="s">
        <v>2594</v>
      </c>
    </row>
    <row r="43" spans="1:17" ht="18" x14ac:dyDescent="0.25">
      <c r="A43" s="142" t="str">
        <f>VLOOKUP(E43,'LISTADO ATM'!$A$2:$C$898,3,0)</f>
        <v>NORTE</v>
      </c>
      <c r="B43" s="139" t="s">
        <v>2610</v>
      </c>
      <c r="C43" s="100">
        <v>44389.794664351852</v>
      </c>
      <c r="D43" s="100" t="s">
        <v>2181</v>
      </c>
      <c r="E43" s="134">
        <v>310</v>
      </c>
      <c r="F43" s="142" t="str">
        <f>VLOOKUP(E43,VIP!$A$2:$O14245,2,0)</f>
        <v>DRBR310</v>
      </c>
      <c r="G43" s="142" t="str">
        <f>VLOOKUP(E43,'LISTADO ATM'!$A$2:$B$897,2,0)</f>
        <v xml:space="preserve">ATM Farmacia San Judas Tadeo Jarabacoa </v>
      </c>
      <c r="H43" s="142" t="str">
        <f>VLOOKUP(E43,VIP!$A$2:$O19206,7,FALSE)</f>
        <v>Si</v>
      </c>
      <c r="I43" s="142" t="str">
        <f>VLOOKUP(E43,VIP!$A$2:$O11171,8,FALSE)</f>
        <v>Si</v>
      </c>
      <c r="J43" s="142" t="str">
        <f>VLOOKUP(E43,VIP!$A$2:$O11121,8,FALSE)</f>
        <v>Si</v>
      </c>
      <c r="K43" s="142" t="str">
        <f>VLOOKUP(E43,VIP!$A$2:$O14695,6,0)</f>
        <v>NO</v>
      </c>
      <c r="L43" s="143" t="s">
        <v>2219</v>
      </c>
      <c r="M43" s="157" t="s">
        <v>2545</v>
      </c>
      <c r="N43" s="157" t="s">
        <v>2676</v>
      </c>
      <c r="O43" s="142" t="s">
        <v>2586</v>
      </c>
      <c r="P43" s="142"/>
      <c r="Q43" s="156">
        <v>44390.53696759259</v>
      </c>
    </row>
    <row r="44" spans="1:17" ht="18" x14ac:dyDescent="0.25">
      <c r="A44" s="142" t="str">
        <f>VLOOKUP(E44,'LISTADO ATM'!$A$2:$C$898,3,0)</f>
        <v>SUR</v>
      </c>
      <c r="B44" s="139" t="s">
        <v>2642</v>
      </c>
      <c r="C44" s="100">
        <v>44389.825335648151</v>
      </c>
      <c r="D44" s="100" t="s">
        <v>2448</v>
      </c>
      <c r="E44" s="134">
        <v>84</v>
      </c>
      <c r="F44" s="142" t="str">
        <f>VLOOKUP(E44,VIP!$A$2:$O14281,2,0)</f>
        <v>DRBR084</v>
      </c>
      <c r="G44" s="142" t="str">
        <f>VLOOKUP(E44,'LISTADO ATM'!$A$2:$B$897,2,0)</f>
        <v xml:space="preserve">ATM Oficina Multicentro Sirena San Cristóbal </v>
      </c>
      <c r="H44" s="142" t="str">
        <f>VLOOKUP(E44,VIP!$A$2:$O19242,7,FALSE)</f>
        <v>Si</v>
      </c>
      <c r="I44" s="142" t="str">
        <f>VLOOKUP(E44,VIP!$A$2:$O11207,8,FALSE)</f>
        <v>Si</v>
      </c>
      <c r="J44" s="142" t="str">
        <f>VLOOKUP(E44,VIP!$A$2:$O11157,8,FALSE)</f>
        <v>Si</v>
      </c>
      <c r="K44" s="142" t="str">
        <f>VLOOKUP(E44,VIP!$A$2:$O14731,6,0)</f>
        <v>SI</v>
      </c>
      <c r="L44" s="143" t="s">
        <v>2441</v>
      </c>
      <c r="M44" s="157" t="s">
        <v>2545</v>
      </c>
      <c r="N44" s="99" t="s">
        <v>2452</v>
      </c>
      <c r="O44" s="142" t="s">
        <v>2453</v>
      </c>
      <c r="P44" s="142"/>
      <c r="Q44" s="156">
        <v>44390.53696759259</v>
      </c>
    </row>
    <row r="45" spans="1:17" ht="18" x14ac:dyDescent="0.25">
      <c r="A45" s="142" t="str">
        <f>VLOOKUP(E45,'LISTADO ATM'!$A$2:$C$898,3,0)</f>
        <v>DISTRITO NACIONAL</v>
      </c>
      <c r="B45" s="139" t="s">
        <v>2641</v>
      </c>
      <c r="C45" s="100">
        <v>44389.827557870369</v>
      </c>
      <c r="D45" s="100" t="s">
        <v>2448</v>
      </c>
      <c r="E45" s="134">
        <v>493</v>
      </c>
      <c r="F45" s="142" t="str">
        <f>VLOOKUP(E45,VIP!$A$2:$O14280,2,0)</f>
        <v>DRBR493</v>
      </c>
      <c r="G45" s="142" t="str">
        <f>VLOOKUP(E45,'LISTADO ATM'!$A$2:$B$897,2,0)</f>
        <v xml:space="preserve">ATM Oficina Haina Occidental II </v>
      </c>
      <c r="H45" s="142" t="str">
        <f>VLOOKUP(E45,VIP!$A$2:$O19241,7,FALSE)</f>
        <v>Si</v>
      </c>
      <c r="I45" s="142" t="str">
        <f>VLOOKUP(E45,VIP!$A$2:$O11206,8,FALSE)</f>
        <v>Si</v>
      </c>
      <c r="J45" s="142" t="str">
        <f>VLOOKUP(E45,VIP!$A$2:$O11156,8,FALSE)</f>
        <v>Si</v>
      </c>
      <c r="K45" s="142" t="str">
        <f>VLOOKUP(E45,VIP!$A$2:$O14730,6,0)</f>
        <v>NO</v>
      </c>
      <c r="L45" s="143" t="s">
        <v>2417</v>
      </c>
      <c r="M45" s="157" t="s">
        <v>2545</v>
      </c>
      <c r="N45" s="99" t="s">
        <v>2452</v>
      </c>
      <c r="O45" s="142" t="s">
        <v>2453</v>
      </c>
      <c r="P45" s="142"/>
      <c r="Q45" s="156">
        <v>44390.53696759259</v>
      </c>
    </row>
    <row r="46" spans="1:17" ht="18" x14ac:dyDescent="0.25">
      <c r="A46" s="142" t="str">
        <f>VLOOKUP(E46,'LISTADO ATM'!$A$2:$C$898,3,0)</f>
        <v>DISTRITO NACIONAL</v>
      </c>
      <c r="B46" s="139" t="s">
        <v>2640</v>
      </c>
      <c r="C46" s="100">
        <v>44389.83216435185</v>
      </c>
      <c r="D46" s="100" t="s">
        <v>2448</v>
      </c>
      <c r="E46" s="134">
        <v>415</v>
      </c>
      <c r="F46" s="142" t="str">
        <f>VLOOKUP(E46,VIP!$A$2:$O14279,2,0)</f>
        <v>DRBR415</v>
      </c>
      <c r="G46" s="142" t="str">
        <f>VLOOKUP(E46,'LISTADO ATM'!$A$2:$B$897,2,0)</f>
        <v xml:space="preserve">ATM Autobanco San Martín I </v>
      </c>
      <c r="H46" s="142" t="str">
        <f>VLOOKUP(E46,VIP!$A$2:$O19240,7,FALSE)</f>
        <v>Si</v>
      </c>
      <c r="I46" s="142" t="str">
        <f>VLOOKUP(E46,VIP!$A$2:$O11205,8,FALSE)</f>
        <v>Si</v>
      </c>
      <c r="J46" s="142" t="str">
        <f>VLOOKUP(E46,VIP!$A$2:$O11155,8,FALSE)</f>
        <v>Si</v>
      </c>
      <c r="K46" s="142" t="str">
        <f>VLOOKUP(E46,VIP!$A$2:$O14729,6,0)</f>
        <v>NO</v>
      </c>
      <c r="L46" s="143" t="s">
        <v>2441</v>
      </c>
      <c r="M46" s="157" t="s">
        <v>2545</v>
      </c>
      <c r="N46" s="99" t="s">
        <v>2452</v>
      </c>
      <c r="O46" s="142" t="s">
        <v>2453</v>
      </c>
      <c r="P46" s="142"/>
      <c r="Q46" s="156">
        <v>44390.53696759259</v>
      </c>
    </row>
    <row r="47" spans="1:17" ht="18" x14ac:dyDescent="0.25">
      <c r="A47" s="142" t="str">
        <f>VLOOKUP(E47,'LISTADO ATM'!$A$2:$C$898,3,0)</f>
        <v>NORTE</v>
      </c>
      <c r="B47" s="139" t="s">
        <v>2639</v>
      </c>
      <c r="C47" s="100">
        <v>44389.837939814817</v>
      </c>
      <c r="D47" s="100" t="s">
        <v>2589</v>
      </c>
      <c r="E47" s="134">
        <v>599</v>
      </c>
      <c r="F47" s="142" t="str">
        <f>VLOOKUP(E47,VIP!$A$2:$O14278,2,0)</f>
        <v>DRBR258</v>
      </c>
      <c r="G47" s="142" t="str">
        <f>VLOOKUP(E47,'LISTADO ATM'!$A$2:$B$897,2,0)</f>
        <v xml:space="preserve">ATM Oficina Plaza Internacional (Santiago) </v>
      </c>
      <c r="H47" s="142" t="str">
        <f>VLOOKUP(E47,VIP!$A$2:$O19239,7,FALSE)</f>
        <v>Si</v>
      </c>
      <c r="I47" s="142" t="str">
        <f>VLOOKUP(E47,VIP!$A$2:$O11204,8,FALSE)</f>
        <v>Si</v>
      </c>
      <c r="J47" s="142" t="str">
        <f>VLOOKUP(E47,VIP!$A$2:$O11154,8,FALSE)</f>
        <v>Si</v>
      </c>
      <c r="K47" s="142" t="str">
        <f>VLOOKUP(E47,VIP!$A$2:$O14728,6,0)</f>
        <v>NO</v>
      </c>
      <c r="L47" s="143" t="s">
        <v>2561</v>
      </c>
      <c r="M47" s="157" t="s">
        <v>2545</v>
      </c>
      <c r="N47" s="99" t="s">
        <v>2452</v>
      </c>
      <c r="O47" s="142" t="s">
        <v>2590</v>
      </c>
      <c r="P47" s="142"/>
      <c r="Q47" s="156">
        <v>44390.770138888889</v>
      </c>
    </row>
    <row r="48" spans="1:17" ht="18" x14ac:dyDescent="0.25">
      <c r="A48" s="142" t="str">
        <f>VLOOKUP(E48,'LISTADO ATM'!$A$2:$C$898,3,0)</f>
        <v>DISTRITO NACIONAL</v>
      </c>
      <c r="B48" s="139" t="s">
        <v>2638</v>
      </c>
      <c r="C48" s="100">
        <v>44389.84480324074</v>
      </c>
      <c r="D48" s="100" t="s">
        <v>2180</v>
      </c>
      <c r="E48" s="134">
        <v>35</v>
      </c>
      <c r="F48" s="142" t="str">
        <f>VLOOKUP(E48,VIP!$A$2:$O14277,2,0)</f>
        <v>DRBR035</v>
      </c>
      <c r="G48" s="142" t="str">
        <f>VLOOKUP(E48,'LISTADO ATM'!$A$2:$B$897,2,0)</f>
        <v xml:space="preserve">ATM Dirección General de Aduanas I </v>
      </c>
      <c r="H48" s="142" t="str">
        <f>VLOOKUP(E48,VIP!$A$2:$O19238,7,FALSE)</f>
        <v>Si</v>
      </c>
      <c r="I48" s="142" t="str">
        <f>VLOOKUP(E48,VIP!$A$2:$O11203,8,FALSE)</f>
        <v>Si</v>
      </c>
      <c r="J48" s="142" t="str">
        <f>VLOOKUP(E48,VIP!$A$2:$O11153,8,FALSE)</f>
        <v>Si</v>
      </c>
      <c r="K48" s="142" t="str">
        <f>VLOOKUP(E48,VIP!$A$2:$O14727,6,0)</f>
        <v>NO</v>
      </c>
      <c r="L48" s="143" t="s">
        <v>2245</v>
      </c>
      <c r="M48" s="99" t="s">
        <v>2445</v>
      </c>
      <c r="N48" s="99" t="s">
        <v>2452</v>
      </c>
      <c r="O48" s="142" t="s">
        <v>2454</v>
      </c>
      <c r="P48" s="142"/>
      <c r="Q48" s="99" t="s">
        <v>2245</v>
      </c>
    </row>
    <row r="49" spans="1:17" ht="18" x14ac:dyDescent="0.25">
      <c r="A49" s="142" t="str">
        <f>VLOOKUP(E49,'LISTADO ATM'!$A$2:$C$898,3,0)</f>
        <v>DISTRITO NACIONAL</v>
      </c>
      <c r="B49" s="139" t="s">
        <v>2637</v>
      </c>
      <c r="C49" s="100">
        <v>44389.845462962963</v>
      </c>
      <c r="D49" s="100" t="s">
        <v>2180</v>
      </c>
      <c r="E49" s="134">
        <v>858</v>
      </c>
      <c r="F49" s="142" t="str">
        <f>VLOOKUP(E49,VIP!$A$2:$O14276,2,0)</f>
        <v>DRBR858</v>
      </c>
      <c r="G49" s="142" t="str">
        <f>VLOOKUP(E49,'LISTADO ATM'!$A$2:$B$897,2,0)</f>
        <v xml:space="preserve">ATM Cooperativa Maestros (COOPNAMA) </v>
      </c>
      <c r="H49" s="142" t="str">
        <f>VLOOKUP(E49,VIP!$A$2:$O19237,7,FALSE)</f>
        <v>Si</v>
      </c>
      <c r="I49" s="142" t="str">
        <f>VLOOKUP(E49,VIP!$A$2:$O11202,8,FALSE)</f>
        <v>No</v>
      </c>
      <c r="J49" s="142" t="str">
        <f>VLOOKUP(E49,VIP!$A$2:$O11152,8,FALSE)</f>
        <v>No</v>
      </c>
      <c r="K49" s="142" t="str">
        <f>VLOOKUP(E49,VIP!$A$2:$O14726,6,0)</f>
        <v>NO</v>
      </c>
      <c r="L49" s="143" t="s">
        <v>2219</v>
      </c>
      <c r="M49" s="157" t="s">
        <v>2545</v>
      </c>
      <c r="N49" s="157" t="s">
        <v>2676</v>
      </c>
      <c r="O49" s="142" t="s">
        <v>2454</v>
      </c>
      <c r="P49" s="142"/>
      <c r="Q49" s="156">
        <v>44390.447812500002</v>
      </c>
    </row>
    <row r="50" spans="1:17" ht="18" x14ac:dyDescent="0.25">
      <c r="A50" s="142" t="str">
        <f>VLOOKUP(E50,'LISTADO ATM'!$A$2:$C$898,3,0)</f>
        <v>ESTE</v>
      </c>
      <c r="B50" s="139" t="s">
        <v>2636</v>
      </c>
      <c r="C50" s="100">
        <v>44389.847280092596</v>
      </c>
      <c r="D50" s="100" t="s">
        <v>2180</v>
      </c>
      <c r="E50" s="134">
        <v>293</v>
      </c>
      <c r="F50" s="142" t="str">
        <f>VLOOKUP(E50,VIP!$A$2:$O14275,2,0)</f>
        <v>DRBR293</v>
      </c>
      <c r="G50" s="142" t="str">
        <f>VLOOKUP(E50,'LISTADO ATM'!$A$2:$B$897,2,0)</f>
        <v xml:space="preserve">ATM S/M Nueva Visión (San Pedro) </v>
      </c>
      <c r="H50" s="142" t="str">
        <f>VLOOKUP(E50,VIP!$A$2:$O19236,7,FALSE)</f>
        <v>Si</v>
      </c>
      <c r="I50" s="142" t="str">
        <f>VLOOKUP(E50,VIP!$A$2:$O11201,8,FALSE)</f>
        <v>Si</v>
      </c>
      <c r="J50" s="142" t="str">
        <f>VLOOKUP(E50,VIP!$A$2:$O11151,8,FALSE)</f>
        <v>Si</v>
      </c>
      <c r="K50" s="142" t="str">
        <f>VLOOKUP(E50,VIP!$A$2:$O14725,6,0)</f>
        <v>NO</v>
      </c>
      <c r="L50" s="143" t="s">
        <v>2465</v>
      </c>
      <c r="M50" s="157" t="s">
        <v>2545</v>
      </c>
      <c r="N50" s="157" t="s">
        <v>2676</v>
      </c>
      <c r="O50" s="142" t="s">
        <v>2454</v>
      </c>
      <c r="P50" s="142"/>
      <c r="Q50" s="156">
        <v>44390.53696759259</v>
      </c>
    </row>
    <row r="51" spans="1:17" ht="18" x14ac:dyDescent="0.25">
      <c r="A51" s="142" t="str">
        <f>VLOOKUP(E51,'LISTADO ATM'!$A$2:$C$898,3,0)</f>
        <v>DISTRITO NACIONAL</v>
      </c>
      <c r="B51" s="139" t="s">
        <v>2635</v>
      </c>
      <c r="C51" s="100">
        <v>44389.907696759263</v>
      </c>
      <c r="D51" s="100" t="s">
        <v>2180</v>
      </c>
      <c r="E51" s="134">
        <v>192</v>
      </c>
      <c r="F51" s="142" t="str">
        <f>VLOOKUP(E51,VIP!$A$2:$O14274,2,0)</f>
        <v>DRBR192</v>
      </c>
      <c r="G51" s="142" t="str">
        <f>VLOOKUP(E51,'LISTADO ATM'!$A$2:$B$897,2,0)</f>
        <v xml:space="preserve">ATM Autobanco Luperón II </v>
      </c>
      <c r="H51" s="142" t="str">
        <f>VLOOKUP(E51,VIP!$A$2:$O19235,7,FALSE)</f>
        <v>Si</v>
      </c>
      <c r="I51" s="142" t="str">
        <f>VLOOKUP(E51,VIP!$A$2:$O11200,8,FALSE)</f>
        <v>Si</v>
      </c>
      <c r="J51" s="142" t="str">
        <f>VLOOKUP(E51,VIP!$A$2:$O11150,8,FALSE)</f>
        <v>Si</v>
      </c>
      <c r="K51" s="142" t="str">
        <f>VLOOKUP(E51,VIP!$A$2:$O14724,6,0)</f>
        <v>NO</v>
      </c>
      <c r="L51" s="143" t="s">
        <v>2219</v>
      </c>
      <c r="M51" s="157" t="s">
        <v>2545</v>
      </c>
      <c r="N51" s="99" t="s">
        <v>2452</v>
      </c>
      <c r="O51" s="142" t="s">
        <v>2454</v>
      </c>
      <c r="P51" s="142"/>
      <c r="Q51" s="156">
        <v>44390.53696759259</v>
      </c>
    </row>
    <row r="52" spans="1:17" ht="18" x14ac:dyDescent="0.25">
      <c r="A52" s="142" t="str">
        <f>VLOOKUP(E52,'LISTADO ATM'!$A$2:$C$898,3,0)</f>
        <v>NORTE</v>
      </c>
      <c r="B52" s="139" t="s">
        <v>2634</v>
      </c>
      <c r="C52" s="100">
        <v>44389.914525462962</v>
      </c>
      <c r="D52" s="100" t="s">
        <v>2181</v>
      </c>
      <c r="E52" s="134">
        <v>854</v>
      </c>
      <c r="F52" s="142" t="str">
        <f>VLOOKUP(E52,VIP!$A$2:$O14273,2,0)</f>
        <v>DRBR854</v>
      </c>
      <c r="G52" s="142" t="str">
        <f>VLOOKUP(E52,'LISTADO ATM'!$A$2:$B$897,2,0)</f>
        <v xml:space="preserve">ATM Centro Comercial Blanco Batista </v>
      </c>
      <c r="H52" s="142" t="str">
        <f>VLOOKUP(E52,VIP!$A$2:$O19234,7,FALSE)</f>
        <v>Si</v>
      </c>
      <c r="I52" s="142" t="str">
        <f>VLOOKUP(E52,VIP!$A$2:$O11199,8,FALSE)</f>
        <v>Si</v>
      </c>
      <c r="J52" s="142" t="str">
        <f>VLOOKUP(E52,VIP!$A$2:$O11149,8,FALSE)</f>
        <v>Si</v>
      </c>
      <c r="K52" s="142" t="str">
        <f>VLOOKUP(E52,VIP!$A$2:$O14723,6,0)</f>
        <v>NO</v>
      </c>
      <c r="L52" s="143" t="s">
        <v>2219</v>
      </c>
      <c r="M52" s="157" t="s">
        <v>2545</v>
      </c>
      <c r="N52" s="157" t="s">
        <v>2676</v>
      </c>
      <c r="O52" s="142" t="s">
        <v>2586</v>
      </c>
      <c r="P52" s="142"/>
      <c r="Q52" s="156">
        <v>44390.762499999997</v>
      </c>
    </row>
    <row r="53" spans="1:17" ht="18" x14ac:dyDescent="0.25">
      <c r="A53" s="142" t="str">
        <f>VLOOKUP(E53,'LISTADO ATM'!$A$2:$C$898,3,0)</f>
        <v>DISTRITO NACIONAL</v>
      </c>
      <c r="B53" s="139" t="s">
        <v>2633</v>
      </c>
      <c r="C53" s="100">
        <v>44389.933761574073</v>
      </c>
      <c r="D53" s="100" t="s">
        <v>2180</v>
      </c>
      <c r="E53" s="134">
        <v>18</v>
      </c>
      <c r="F53" s="142" t="str">
        <f>VLOOKUP(E53,VIP!$A$2:$O14272,2,0)</f>
        <v>DRBR018</v>
      </c>
      <c r="G53" s="142" t="str">
        <f>VLOOKUP(E53,'LISTADO ATM'!$A$2:$B$897,2,0)</f>
        <v xml:space="preserve">ATM Oficina Haina Occidental I </v>
      </c>
      <c r="H53" s="142" t="str">
        <f>VLOOKUP(E53,VIP!$A$2:$O19233,7,FALSE)</f>
        <v>Si</v>
      </c>
      <c r="I53" s="142" t="str">
        <f>VLOOKUP(E53,VIP!$A$2:$O11198,8,FALSE)</f>
        <v>Si</v>
      </c>
      <c r="J53" s="142" t="str">
        <f>VLOOKUP(E53,VIP!$A$2:$O11148,8,FALSE)</f>
        <v>Si</v>
      </c>
      <c r="K53" s="142" t="str">
        <f>VLOOKUP(E53,VIP!$A$2:$O14722,6,0)</f>
        <v>SI</v>
      </c>
      <c r="L53" s="143" t="s">
        <v>2219</v>
      </c>
      <c r="M53" s="157" t="s">
        <v>2545</v>
      </c>
      <c r="N53" s="157" t="s">
        <v>2676</v>
      </c>
      <c r="O53" s="142" t="s">
        <v>2454</v>
      </c>
      <c r="P53" s="142"/>
      <c r="Q53" s="156">
        <v>44390.53696759259</v>
      </c>
    </row>
    <row r="54" spans="1:17" ht="18" x14ac:dyDescent="0.25">
      <c r="A54" s="142" t="str">
        <f>VLOOKUP(E54,'LISTADO ATM'!$A$2:$C$898,3,0)</f>
        <v>NORTE</v>
      </c>
      <c r="B54" s="139" t="s">
        <v>2632</v>
      </c>
      <c r="C54" s="100">
        <v>44389.934328703705</v>
      </c>
      <c r="D54" s="100" t="s">
        <v>2181</v>
      </c>
      <c r="E54" s="134">
        <v>383</v>
      </c>
      <c r="F54" s="142" t="str">
        <f>VLOOKUP(E54,VIP!$A$2:$O14271,2,0)</f>
        <v>DRBR383</v>
      </c>
      <c r="G54" s="142" t="str">
        <f>VLOOKUP(E54,'LISTADO ATM'!$A$2:$B$897,2,0)</f>
        <v>ATM S/M Daniel (Dajabón)</v>
      </c>
      <c r="H54" s="142" t="str">
        <f>VLOOKUP(E54,VIP!$A$2:$O19232,7,FALSE)</f>
        <v>N/A</v>
      </c>
      <c r="I54" s="142" t="str">
        <f>VLOOKUP(E54,VIP!$A$2:$O11197,8,FALSE)</f>
        <v>N/A</v>
      </c>
      <c r="J54" s="142" t="str">
        <f>VLOOKUP(E54,VIP!$A$2:$O11147,8,FALSE)</f>
        <v>N/A</v>
      </c>
      <c r="K54" s="142" t="str">
        <f>VLOOKUP(E54,VIP!$A$2:$O14721,6,0)</f>
        <v>N/A</v>
      </c>
      <c r="L54" s="143" t="s">
        <v>2219</v>
      </c>
      <c r="M54" s="157" t="s">
        <v>2545</v>
      </c>
      <c r="N54" s="157" t="s">
        <v>2676</v>
      </c>
      <c r="O54" s="142" t="s">
        <v>2586</v>
      </c>
      <c r="P54" s="142"/>
      <c r="Q54" s="156">
        <v>44390.447812500002</v>
      </c>
    </row>
    <row r="55" spans="1:17" ht="18" x14ac:dyDescent="0.25">
      <c r="A55" s="142" t="str">
        <f>VLOOKUP(E55,'LISTADO ATM'!$A$2:$C$898,3,0)</f>
        <v>DISTRITO NACIONAL</v>
      </c>
      <c r="B55" s="139" t="s">
        <v>2644</v>
      </c>
      <c r="C55" s="100">
        <v>44390.106840277775</v>
      </c>
      <c r="D55" s="100" t="s">
        <v>2180</v>
      </c>
      <c r="E55" s="134">
        <v>866</v>
      </c>
      <c r="F55" s="142" t="str">
        <f>VLOOKUP(E55,VIP!$A$2:$O14272,2,0)</f>
        <v>DRBR866</v>
      </c>
      <c r="G55" s="142" t="str">
        <f>VLOOKUP(E55,'LISTADO ATM'!$A$2:$B$897,2,0)</f>
        <v xml:space="preserve">ATM CARDNET </v>
      </c>
      <c r="H55" s="142" t="str">
        <f>VLOOKUP(E55,VIP!$A$2:$O19233,7,FALSE)</f>
        <v>Si</v>
      </c>
      <c r="I55" s="142" t="str">
        <f>VLOOKUP(E55,VIP!$A$2:$O11198,8,FALSE)</f>
        <v>No</v>
      </c>
      <c r="J55" s="142" t="str">
        <f>VLOOKUP(E55,VIP!$A$2:$O11148,8,FALSE)</f>
        <v>No</v>
      </c>
      <c r="K55" s="142" t="str">
        <f>VLOOKUP(E55,VIP!$A$2:$O14722,6,0)</f>
        <v>NO</v>
      </c>
      <c r="L55" s="143" t="s">
        <v>2219</v>
      </c>
      <c r="M55" s="157" t="s">
        <v>2545</v>
      </c>
      <c r="N55" s="157" t="s">
        <v>2676</v>
      </c>
      <c r="O55" s="142" t="s">
        <v>2454</v>
      </c>
      <c r="P55" s="142"/>
      <c r="Q55" s="156">
        <v>44390.53696759259</v>
      </c>
    </row>
    <row r="56" spans="1:17" ht="18" x14ac:dyDescent="0.25">
      <c r="A56" s="142" t="str">
        <f>VLOOKUP(E56,'LISTADO ATM'!$A$2:$C$898,3,0)</f>
        <v>DISTRITO NACIONAL</v>
      </c>
      <c r="B56" s="139" t="s">
        <v>2645</v>
      </c>
      <c r="C56" s="100">
        <v>44390.108171296299</v>
      </c>
      <c r="D56" s="100" t="s">
        <v>2180</v>
      </c>
      <c r="E56" s="134">
        <v>622</v>
      </c>
      <c r="F56" s="142" t="str">
        <f>VLOOKUP(E56,VIP!$A$2:$O14273,2,0)</f>
        <v>DRBR622</v>
      </c>
      <c r="G56" s="142" t="str">
        <f>VLOOKUP(E56,'LISTADO ATM'!$A$2:$B$897,2,0)</f>
        <v xml:space="preserve">ATM Ayuntamiento D.N. </v>
      </c>
      <c r="H56" s="142" t="str">
        <f>VLOOKUP(E56,VIP!$A$2:$O19234,7,FALSE)</f>
        <v>Si</v>
      </c>
      <c r="I56" s="142" t="str">
        <f>VLOOKUP(E56,VIP!$A$2:$O11199,8,FALSE)</f>
        <v>Si</v>
      </c>
      <c r="J56" s="142" t="str">
        <f>VLOOKUP(E56,VIP!$A$2:$O11149,8,FALSE)</f>
        <v>Si</v>
      </c>
      <c r="K56" s="142" t="str">
        <f>VLOOKUP(E56,VIP!$A$2:$O14723,6,0)</f>
        <v>NO</v>
      </c>
      <c r="L56" s="143" t="s">
        <v>2245</v>
      </c>
      <c r="M56" s="157" t="s">
        <v>2545</v>
      </c>
      <c r="N56" s="157" t="s">
        <v>2676</v>
      </c>
      <c r="O56" s="142" t="s">
        <v>2454</v>
      </c>
      <c r="P56" s="142"/>
      <c r="Q56" s="156">
        <v>44390.447812500002</v>
      </c>
    </row>
    <row r="57" spans="1:17" ht="18" x14ac:dyDescent="0.25">
      <c r="A57" s="142" t="str">
        <f>VLOOKUP(E57,'LISTADO ATM'!$A$2:$C$898,3,0)</f>
        <v>ESTE</v>
      </c>
      <c r="B57" s="139" t="s">
        <v>2646</v>
      </c>
      <c r="C57" s="100">
        <v>44390.108819444446</v>
      </c>
      <c r="D57" s="100" t="s">
        <v>2180</v>
      </c>
      <c r="E57" s="134">
        <v>309</v>
      </c>
      <c r="F57" s="142" t="str">
        <f>VLOOKUP(E57,VIP!$A$2:$O14274,2,0)</f>
        <v>DRBR309</v>
      </c>
      <c r="G57" s="142" t="str">
        <f>VLOOKUP(E57,'LISTADO ATM'!$A$2:$B$897,2,0)</f>
        <v xml:space="preserve">ATM Secrets Cap Cana I </v>
      </c>
      <c r="H57" s="142" t="str">
        <f>VLOOKUP(E57,VIP!$A$2:$O19235,7,FALSE)</f>
        <v>Si</v>
      </c>
      <c r="I57" s="142" t="str">
        <f>VLOOKUP(E57,VIP!$A$2:$O11200,8,FALSE)</f>
        <v>Si</v>
      </c>
      <c r="J57" s="142" t="str">
        <f>VLOOKUP(E57,VIP!$A$2:$O11150,8,FALSE)</f>
        <v>Si</v>
      </c>
      <c r="K57" s="142" t="str">
        <f>VLOOKUP(E57,VIP!$A$2:$O14724,6,0)</f>
        <v>NO</v>
      </c>
      <c r="L57" s="143" t="s">
        <v>2245</v>
      </c>
      <c r="M57" s="157" t="s">
        <v>2545</v>
      </c>
      <c r="N57" s="157" t="s">
        <v>2676</v>
      </c>
      <c r="O57" s="142" t="s">
        <v>2454</v>
      </c>
      <c r="P57" s="142"/>
      <c r="Q57" s="156">
        <v>44390.53696759259</v>
      </c>
    </row>
    <row r="58" spans="1:17" ht="18" x14ac:dyDescent="0.25">
      <c r="A58" s="142" t="str">
        <f>VLOOKUP(E58,'LISTADO ATM'!$A$2:$C$898,3,0)</f>
        <v>NORTE</v>
      </c>
      <c r="B58" s="139" t="s">
        <v>2647</v>
      </c>
      <c r="C58" s="100">
        <v>44390.109583333331</v>
      </c>
      <c r="D58" s="100" t="s">
        <v>2181</v>
      </c>
      <c r="E58" s="134">
        <v>198</v>
      </c>
      <c r="F58" s="142" t="str">
        <f>VLOOKUP(E58,VIP!$A$2:$O14275,2,0)</f>
        <v>DRBR198</v>
      </c>
      <c r="G58" s="142" t="str">
        <f>VLOOKUP(E58,'LISTADO ATM'!$A$2:$B$897,2,0)</f>
        <v xml:space="preserve">ATM Almacenes El Encanto  (Santiago) </v>
      </c>
      <c r="H58" s="142" t="str">
        <f>VLOOKUP(E58,VIP!$A$2:$O19236,7,FALSE)</f>
        <v>NO</v>
      </c>
      <c r="I58" s="142" t="str">
        <f>VLOOKUP(E58,VIP!$A$2:$O11201,8,FALSE)</f>
        <v>NO</v>
      </c>
      <c r="J58" s="142" t="str">
        <f>VLOOKUP(E58,VIP!$A$2:$O11151,8,FALSE)</f>
        <v>NO</v>
      </c>
      <c r="K58" s="142" t="str">
        <f>VLOOKUP(E58,VIP!$A$2:$O14725,6,0)</f>
        <v>NO</v>
      </c>
      <c r="L58" s="143" t="s">
        <v>2245</v>
      </c>
      <c r="M58" s="157" t="s">
        <v>2545</v>
      </c>
      <c r="N58" s="157" t="s">
        <v>2676</v>
      </c>
      <c r="O58" s="142" t="s">
        <v>2588</v>
      </c>
      <c r="P58" s="142"/>
      <c r="Q58" s="156">
        <v>44390.53696759259</v>
      </c>
    </row>
    <row r="59" spans="1:17" ht="18" x14ac:dyDescent="0.25">
      <c r="A59" s="142" t="str">
        <f>VLOOKUP(E59,'LISTADO ATM'!$A$2:$C$898,3,0)</f>
        <v>SUR</v>
      </c>
      <c r="B59" s="139" t="s">
        <v>2648</v>
      </c>
      <c r="C59" s="100">
        <v>44390.110520833332</v>
      </c>
      <c r="D59" s="100" t="s">
        <v>2180</v>
      </c>
      <c r="E59" s="134">
        <v>360</v>
      </c>
      <c r="F59" s="142" t="str">
        <f>VLOOKUP(E59,VIP!$A$2:$O14276,2,0)</f>
        <v>DRBR360</v>
      </c>
      <c r="G59" s="142" t="str">
        <f>VLOOKUP(E59,'LISTADO ATM'!$A$2:$B$897,2,0)</f>
        <v>ATM Ayuntamiento Guayabal</v>
      </c>
      <c r="H59" s="142" t="str">
        <f>VLOOKUP(E59,VIP!$A$2:$O19237,7,FALSE)</f>
        <v>si</v>
      </c>
      <c r="I59" s="142" t="str">
        <f>VLOOKUP(E59,VIP!$A$2:$O11202,8,FALSE)</f>
        <v>si</v>
      </c>
      <c r="J59" s="142" t="str">
        <f>VLOOKUP(E59,VIP!$A$2:$O11152,8,FALSE)</f>
        <v>si</v>
      </c>
      <c r="K59" s="142" t="str">
        <f>VLOOKUP(E59,VIP!$A$2:$O14726,6,0)</f>
        <v>NO</v>
      </c>
      <c r="L59" s="143" t="s">
        <v>2245</v>
      </c>
      <c r="M59" s="157" t="s">
        <v>2545</v>
      </c>
      <c r="N59" s="157" t="s">
        <v>2676</v>
      </c>
      <c r="O59" s="142" t="s">
        <v>2454</v>
      </c>
      <c r="P59" s="142"/>
      <c r="Q59" s="156">
        <v>44390.447812500002</v>
      </c>
    </row>
    <row r="60" spans="1:17" ht="18" x14ac:dyDescent="0.25">
      <c r="A60" s="142" t="str">
        <f>VLOOKUP(E60,'LISTADO ATM'!$A$2:$C$898,3,0)</f>
        <v>DISTRITO NACIONAL</v>
      </c>
      <c r="B60" s="139" t="s">
        <v>2649</v>
      </c>
      <c r="C60" s="100">
        <v>44390.112453703703</v>
      </c>
      <c r="D60" s="100" t="s">
        <v>2180</v>
      </c>
      <c r="E60" s="134">
        <v>621</v>
      </c>
      <c r="F60" s="142" t="str">
        <f>VLOOKUP(E60,VIP!$A$2:$O14277,2,0)</f>
        <v>DRBR621</v>
      </c>
      <c r="G60" s="142" t="str">
        <f>VLOOKUP(E60,'LISTADO ATM'!$A$2:$B$897,2,0)</f>
        <v xml:space="preserve">ATM CESAC  </v>
      </c>
      <c r="H60" s="142" t="str">
        <f>VLOOKUP(E60,VIP!$A$2:$O19238,7,FALSE)</f>
        <v>Si</v>
      </c>
      <c r="I60" s="142" t="str">
        <f>VLOOKUP(E60,VIP!$A$2:$O11203,8,FALSE)</f>
        <v>Si</v>
      </c>
      <c r="J60" s="142" t="str">
        <f>VLOOKUP(E60,VIP!$A$2:$O11153,8,FALSE)</f>
        <v>Si</v>
      </c>
      <c r="K60" s="142" t="str">
        <f>VLOOKUP(E60,VIP!$A$2:$O14727,6,0)</f>
        <v>NO</v>
      </c>
      <c r="L60" s="143" t="s">
        <v>2465</v>
      </c>
      <c r="M60" s="157" t="s">
        <v>2545</v>
      </c>
      <c r="N60" s="157" t="s">
        <v>2676</v>
      </c>
      <c r="O60" s="142" t="s">
        <v>2454</v>
      </c>
      <c r="P60" s="142"/>
      <c r="Q60" s="156">
        <v>44390.53696759259</v>
      </c>
    </row>
    <row r="61" spans="1:17" ht="18" x14ac:dyDescent="0.25">
      <c r="A61" s="142" t="str">
        <f>VLOOKUP(E61,'LISTADO ATM'!$A$2:$C$898,3,0)</f>
        <v>DISTRITO NACIONAL</v>
      </c>
      <c r="B61" s="139" t="s">
        <v>2650</v>
      </c>
      <c r="C61" s="100">
        <v>44390.131226851852</v>
      </c>
      <c r="D61" s="100" t="s">
        <v>2180</v>
      </c>
      <c r="E61" s="134">
        <v>37</v>
      </c>
      <c r="F61" s="142" t="str">
        <f>VLOOKUP(E61,VIP!$A$2:$O14278,2,0)</f>
        <v>DRBR037</v>
      </c>
      <c r="G61" s="142" t="str">
        <f>VLOOKUP(E61,'LISTADO ATM'!$A$2:$B$897,2,0)</f>
        <v xml:space="preserve">ATM Oficina Villa Mella </v>
      </c>
      <c r="H61" s="142" t="str">
        <f>VLOOKUP(E61,VIP!$A$2:$O19239,7,FALSE)</f>
        <v>Si</v>
      </c>
      <c r="I61" s="142" t="str">
        <f>VLOOKUP(E61,VIP!$A$2:$O11204,8,FALSE)</f>
        <v>Si</v>
      </c>
      <c r="J61" s="142" t="str">
        <f>VLOOKUP(E61,VIP!$A$2:$O11154,8,FALSE)</f>
        <v>Si</v>
      </c>
      <c r="K61" s="142" t="str">
        <f>VLOOKUP(E61,VIP!$A$2:$O14728,6,0)</f>
        <v>SI</v>
      </c>
      <c r="L61" s="143" t="s">
        <v>2245</v>
      </c>
      <c r="M61" s="157" t="s">
        <v>2545</v>
      </c>
      <c r="N61" s="157" t="s">
        <v>2676</v>
      </c>
      <c r="O61" s="142" t="s">
        <v>2454</v>
      </c>
      <c r="P61" s="142"/>
      <c r="Q61" s="156">
        <v>44390.447812500002</v>
      </c>
    </row>
    <row r="62" spans="1:17" ht="18" x14ac:dyDescent="0.25">
      <c r="A62" s="142" t="str">
        <f>VLOOKUP(E62,'LISTADO ATM'!$A$2:$C$898,3,0)</f>
        <v>DISTRITO NACIONAL</v>
      </c>
      <c r="B62" s="139" t="s">
        <v>2651</v>
      </c>
      <c r="C62" s="100">
        <v>44390.251944444448</v>
      </c>
      <c r="D62" s="100" t="s">
        <v>2448</v>
      </c>
      <c r="E62" s="134">
        <v>14</v>
      </c>
      <c r="F62" s="142" t="str">
        <f>VLOOKUP(E62,VIP!$A$2:$O14279,2,0)</f>
        <v>DRBR014</v>
      </c>
      <c r="G62" s="142" t="str">
        <f>VLOOKUP(E62,'LISTADO ATM'!$A$2:$B$897,2,0)</f>
        <v xml:space="preserve">ATM Oficina Aeropuerto Las Américas I </v>
      </c>
      <c r="H62" s="142" t="str">
        <f>VLOOKUP(E62,VIP!$A$2:$O19240,7,FALSE)</f>
        <v>Si</v>
      </c>
      <c r="I62" s="142" t="str">
        <f>VLOOKUP(E62,VIP!$A$2:$O11205,8,FALSE)</f>
        <v>Si</v>
      </c>
      <c r="J62" s="142" t="str">
        <f>VLOOKUP(E62,VIP!$A$2:$O11155,8,FALSE)</f>
        <v>Si</v>
      </c>
      <c r="K62" s="142" t="str">
        <f>VLOOKUP(E62,VIP!$A$2:$O14729,6,0)</f>
        <v>NO</v>
      </c>
      <c r="L62" s="143" t="s">
        <v>2417</v>
      </c>
      <c r="M62" s="157" t="s">
        <v>2545</v>
      </c>
      <c r="N62" s="99" t="s">
        <v>2452</v>
      </c>
      <c r="O62" s="142" t="s">
        <v>2453</v>
      </c>
      <c r="P62" s="142"/>
      <c r="Q62" s="156">
        <v>44390.53696759259</v>
      </c>
    </row>
    <row r="63" spans="1:17" ht="18" x14ac:dyDescent="0.25">
      <c r="A63" s="142" t="str">
        <f>VLOOKUP(E63,'LISTADO ATM'!$A$2:$C$898,3,0)</f>
        <v>DISTRITO NACIONAL</v>
      </c>
      <c r="B63" s="139" t="s">
        <v>2652</v>
      </c>
      <c r="C63" s="100">
        <v>44390.252534722225</v>
      </c>
      <c r="D63" s="100" t="s">
        <v>2469</v>
      </c>
      <c r="E63" s="134">
        <v>722</v>
      </c>
      <c r="F63" s="142" t="str">
        <f>VLOOKUP(E63,VIP!$A$2:$O14280,2,0)</f>
        <v>DRBR393</v>
      </c>
      <c r="G63" s="142" t="str">
        <f>VLOOKUP(E63,'LISTADO ATM'!$A$2:$B$897,2,0)</f>
        <v xml:space="preserve">ATM Oficina Charles de Gaulle III </v>
      </c>
      <c r="H63" s="142" t="str">
        <f>VLOOKUP(E63,VIP!$A$2:$O19241,7,FALSE)</f>
        <v>Si</v>
      </c>
      <c r="I63" s="142" t="str">
        <f>VLOOKUP(E63,VIP!$A$2:$O11206,8,FALSE)</f>
        <v>Si</v>
      </c>
      <c r="J63" s="142" t="str">
        <f>VLOOKUP(E63,VIP!$A$2:$O11156,8,FALSE)</f>
        <v>Si</v>
      </c>
      <c r="K63" s="142" t="str">
        <f>VLOOKUP(E63,VIP!$A$2:$O14730,6,0)</f>
        <v>SI</v>
      </c>
      <c r="L63" s="143" t="s">
        <v>2417</v>
      </c>
      <c r="M63" s="157" t="s">
        <v>2545</v>
      </c>
      <c r="N63" s="99" t="s">
        <v>2452</v>
      </c>
      <c r="O63" s="142" t="s">
        <v>2470</v>
      </c>
      <c r="P63" s="142"/>
      <c r="Q63" s="156">
        <v>44390.447812500002</v>
      </c>
    </row>
    <row r="64" spans="1:17" ht="18" x14ac:dyDescent="0.25">
      <c r="A64" s="142" t="str">
        <f>VLOOKUP(E64,'LISTADO ATM'!$A$2:$C$898,3,0)</f>
        <v>NORTE</v>
      </c>
      <c r="B64" s="139" t="s">
        <v>2653</v>
      </c>
      <c r="C64" s="100">
        <v>44390.252708333333</v>
      </c>
      <c r="D64" s="100" t="s">
        <v>2469</v>
      </c>
      <c r="E64" s="134">
        <v>950</v>
      </c>
      <c r="F64" s="142" t="str">
        <f>VLOOKUP(E64,VIP!$A$2:$O14281,2,0)</f>
        <v>DRBR12G</v>
      </c>
      <c r="G64" s="142" t="str">
        <f>VLOOKUP(E64,'LISTADO ATM'!$A$2:$B$897,2,0)</f>
        <v xml:space="preserve">ATM Oficina Monterrico </v>
      </c>
      <c r="H64" s="142" t="str">
        <f>VLOOKUP(E64,VIP!$A$2:$O19242,7,FALSE)</f>
        <v>Si</v>
      </c>
      <c r="I64" s="142" t="str">
        <f>VLOOKUP(E64,VIP!$A$2:$O11207,8,FALSE)</f>
        <v>Si</v>
      </c>
      <c r="J64" s="142" t="str">
        <f>VLOOKUP(E64,VIP!$A$2:$O11157,8,FALSE)</f>
        <v>Si</v>
      </c>
      <c r="K64" s="142" t="str">
        <f>VLOOKUP(E64,VIP!$A$2:$O14731,6,0)</f>
        <v>SI</v>
      </c>
      <c r="L64" s="143" t="s">
        <v>2417</v>
      </c>
      <c r="M64" s="157" t="s">
        <v>2545</v>
      </c>
      <c r="N64" s="99" t="s">
        <v>2452</v>
      </c>
      <c r="O64" s="142" t="s">
        <v>2470</v>
      </c>
      <c r="P64" s="142"/>
      <c r="Q64" s="156">
        <v>44390.774305555555</v>
      </c>
    </row>
    <row r="65" spans="1:17" ht="18" x14ac:dyDescent="0.25">
      <c r="A65" s="142" t="str">
        <f>VLOOKUP(E65,'LISTADO ATM'!$A$2:$C$898,3,0)</f>
        <v>SUR</v>
      </c>
      <c r="B65" s="139" t="s">
        <v>2654</v>
      </c>
      <c r="C65" s="100">
        <v>44390.26189814815</v>
      </c>
      <c r="D65" s="100" t="s">
        <v>2180</v>
      </c>
      <c r="E65" s="134">
        <v>584</v>
      </c>
      <c r="F65" s="142" t="str">
        <f>VLOOKUP(E65,VIP!$A$2:$O14282,2,0)</f>
        <v>DRBR404</v>
      </c>
      <c r="G65" s="142" t="str">
        <f>VLOOKUP(E65,'LISTADO ATM'!$A$2:$B$897,2,0)</f>
        <v xml:space="preserve">ATM Oficina San Cristóbal I </v>
      </c>
      <c r="H65" s="142" t="str">
        <f>VLOOKUP(E65,VIP!$A$2:$O19243,7,FALSE)</f>
        <v>Si</v>
      </c>
      <c r="I65" s="142" t="str">
        <f>VLOOKUP(E65,VIP!$A$2:$O11208,8,FALSE)</f>
        <v>Si</v>
      </c>
      <c r="J65" s="142" t="str">
        <f>VLOOKUP(E65,VIP!$A$2:$O11158,8,FALSE)</f>
        <v>Si</v>
      </c>
      <c r="K65" s="142" t="str">
        <f>VLOOKUP(E65,VIP!$A$2:$O14732,6,0)</f>
        <v>SI</v>
      </c>
      <c r="L65" s="143" t="s">
        <v>2465</v>
      </c>
      <c r="M65" s="157" t="s">
        <v>2545</v>
      </c>
      <c r="N65" s="157" t="s">
        <v>2676</v>
      </c>
      <c r="O65" s="142" t="s">
        <v>2454</v>
      </c>
      <c r="P65" s="142"/>
      <c r="Q65" s="156">
        <v>44390.781944444447</v>
      </c>
    </row>
    <row r="66" spans="1:17" ht="18" x14ac:dyDescent="0.25">
      <c r="A66" s="142" t="str">
        <f>VLOOKUP(E66,'LISTADO ATM'!$A$2:$C$898,3,0)</f>
        <v>NORTE</v>
      </c>
      <c r="B66" s="139" t="s">
        <v>2659</v>
      </c>
      <c r="C66" s="100">
        <v>44390.302141203705</v>
      </c>
      <c r="D66" s="100" t="s">
        <v>2589</v>
      </c>
      <c r="E66" s="134">
        <v>771</v>
      </c>
      <c r="F66" s="142" t="str">
        <f>VLOOKUP(E66,VIP!$A$2:$O14287,2,0)</f>
        <v>DRBR771</v>
      </c>
      <c r="G66" s="142" t="str">
        <f>VLOOKUP(E66,'LISTADO ATM'!$A$2:$B$897,2,0)</f>
        <v xml:space="preserve">ATM UASD Mao </v>
      </c>
      <c r="H66" s="142" t="str">
        <f>VLOOKUP(E66,VIP!$A$2:$O19248,7,FALSE)</f>
        <v>Si</v>
      </c>
      <c r="I66" s="142" t="str">
        <f>VLOOKUP(E66,VIP!$A$2:$O11213,8,FALSE)</f>
        <v>Si</v>
      </c>
      <c r="J66" s="142" t="str">
        <f>VLOOKUP(E66,VIP!$A$2:$O11163,8,FALSE)</f>
        <v>Si</v>
      </c>
      <c r="K66" s="142" t="str">
        <f>VLOOKUP(E66,VIP!$A$2:$O14737,6,0)</f>
        <v>NO</v>
      </c>
      <c r="L66" s="143" t="s">
        <v>2417</v>
      </c>
      <c r="M66" s="99" t="s">
        <v>2445</v>
      </c>
      <c r="N66" s="99" t="s">
        <v>2452</v>
      </c>
      <c r="O66" s="142" t="s">
        <v>2661</v>
      </c>
      <c r="P66" s="142"/>
      <c r="Q66" s="99" t="s">
        <v>2417</v>
      </c>
    </row>
    <row r="67" spans="1:17" ht="18" x14ac:dyDescent="0.25">
      <c r="A67" s="142" t="str">
        <f>VLOOKUP(E67,'LISTADO ATM'!$A$2:$C$898,3,0)</f>
        <v>DISTRITO NACIONAL</v>
      </c>
      <c r="B67" s="139" t="s">
        <v>2658</v>
      </c>
      <c r="C67" s="100">
        <v>44390.314699074072</v>
      </c>
      <c r="D67" s="100" t="s">
        <v>2180</v>
      </c>
      <c r="E67" s="134">
        <v>240</v>
      </c>
      <c r="F67" s="142" t="str">
        <f>VLOOKUP(E67,VIP!$A$2:$O14286,2,0)</f>
        <v>DRBR24D</v>
      </c>
      <c r="G67" s="142" t="str">
        <f>VLOOKUP(E67,'LISTADO ATM'!$A$2:$B$897,2,0)</f>
        <v xml:space="preserve">ATM Oficina Carrefour I </v>
      </c>
      <c r="H67" s="142" t="str">
        <f>VLOOKUP(E67,VIP!$A$2:$O19247,7,FALSE)</f>
        <v>Si</v>
      </c>
      <c r="I67" s="142" t="str">
        <f>VLOOKUP(E67,VIP!$A$2:$O11212,8,FALSE)</f>
        <v>Si</v>
      </c>
      <c r="J67" s="142" t="str">
        <f>VLOOKUP(E67,VIP!$A$2:$O11162,8,FALSE)</f>
        <v>Si</v>
      </c>
      <c r="K67" s="142" t="str">
        <f>VLOOKUP(E67,VIP!$A$2:$O14736,6,0)</f>
        <v>SI</v>
      </c>
      <c r="L67" s="143" t="s">
        <v>2245</v>
      </c>
      <c r="M67" s="99" t="s">
        <v>2445</v>
      </c>
      <c r="N67" s="99" t="s">
        <v>2599</v>
      </c>
      <c r="O67" s="142" t="s">
        <v>2454</v>
      </c>
      <c r="P67" s="142"/>
      <c r="Q67" s="99" t="s">
        <v>2245</v>
      </c>
    </row>
    <row r="68" spans="1:17" s="115" customFormat="1" ht="18" x14ac:dyDescent="0.25">
      <c r="A68" s="142" t="str">
        <f>VLOOKUP(E68,'LISTADO ATM'!$A$2:$C$898,3,0)</f>
        <v>SUR</v>
      </c>
      <c r="B68" s="139" t="s">
        <v>2657</v>
      </c>
      <c r="C68" s="100">
        <v>44390.335902777777</v>
      </c>
      <c r="D68" s="100" t="s">
        <v>2469</v>
      </c>
      <c r="E68" s="134">
        <v>829</v>
      </c>
      <c r="F68" s="142" t="str">
        <f>VLOOKUP(E68,VIP!$A$2:$O14285,2,0)</f>
        <v>DRBR829</v>
      </c>
      <c r="G68" s="142" t="str">
        <f>VLOOKUP(E68,'LISTADO ATM'!$A$2:$B$897,2,0)</f>
        <v xml:space="preserve">ATM UNP Multicentro Sirena Baní </v>
      </c>
      <c r="H68" s="142" t="str">
        <f>VLOOKUP(E68,VIP!$A$2:$O19246,7,FALSE)</f>
        <v>Si</v>
      </c>
      <c r="I68" s="142" t="str">
        <f>VLOOKUP(E68,VIP!$A$2:$O11211,8,FALSE)</f>
        <v>Si</v>
      </c>
      <c r="J68" s="142" t="str">
        <f>VLOOKUP(E68,VIP!$A$2:$O11161,8,FALSE)</f>
        <v>Si</v>
      </c>
      <c r="K68" s="142" t="str">
        <f>VLOOKUP(E68,VIP!$A$2:$O14735,6,0)</f>
        <v>NO</v>
      </c>
      <c r="L68" s="143" t="s">
        <v>2417</v>
      </c>
      <c r="M68" s="99" t="s">
        <v>2445</v>
      </c>
      <c r="N68" s="99" t="s">
        <v>2452</v>
      </c>
      <c r="O68" s="142" t="s">
        <v>2470</v>
      </c>
      <c r="P68" s="142"/>
      <c r="Q68" s="99" t="s">
        <v>2417</v>
      </c>
    </row>
    <row r="69" spans="1:17" s="115" customFormat="1" ht="18" x14ac:dyDescent="0.25">
      <c r="A69" s="142" t="str">
        <f>VLOOKUP(E69,'LISTADO ATM'!$A$2:$C$898,3,0)</f>
        <v>SUR</v>
      </c>
      <c r="B69" s="139" t="s">
        <v>2656</v>
      </c>
      <c r="C69" s="100">
        <v>44390.349270833336</v>
      </c>
      <c r="D69" s="100" t="s">
        <v>2180</v>
      </c>
      <c r="E69" s="134">
        <v>470</v>
      </c>
      <c r="F69" s="142" t="str">
        <f>VLOOKUP(E69,VIP!$A$2:$O14284,2,0)</f>
        <v>DRBR470</v>
      </c>
      <c r="G69" s="142" t="str">
        <f>VLOOKUP(E69,'LISTADO ATM'!$A$2:$B$897,2,0)</f>
        <v xml:space="preserve">ATM Hospital Taiwán (Azua) </v>
      </c>
      <c r="H69" s="142" t="str">
        <f>VLOOKUP(E69,VIP!$A$2:$O19245,7,FALSE)</f>
        <v>Si</v>
      </c>
      <c r="I69" s="142" t="str">
        <f>VLOOKUP(E69,VIP!$A$2:$O11210,8,FALSE)</f>
        <v>Si</v>
      </c>
      <c r="J69" s="142" t="str">
        <f>VLOOKUP(E69,VIP!$A$2:$O11160,8,FALSE)</f>
        <v>Si</v>
      </c>
      <c r="K69" s="142" t="str">
        <f>VLOOKUP(E69,VIP!$A$2:$O14734,6,0)</f>
        <v>NO</v>
      </c>
      <c r="L69" s="143" t="s">
        <v>2219</v>
      </c>
      <c r="M69" s="99" t="s">
        <v>2445</v>
      </c>
      <c r="N69" s="99" t="s">
        <v>2452</v>
      </c>
      <c r="O69" s="142" t="s">
        <v>2454</v>
      </c>
      <c r="P69" s="142"/>
      <c r="Q69" s="99" t="s">
        <v>2219</v>
      </c>
    </row>
    <row r="70" spans="1:17" s="115" customFormat="1" ht="18" x14ac:dyDescent="0.25">
      <c r="A70" s="142" t="str">
        <f>VLOOKUP(E70,'LISTADO ATM'!$A$2:$C$898,3,0)</f>
        <v>NORTE</v>
      </c>
      <c r="B70" s="139" t="s">
        <v>2655</v>
      </c>
      <c r="C70" s="100">
        <v>44390.351423611108</v>
      </c>
      <c r="D70" s="100" t="s">
        <v>2469</v>
      </c>
      <c r="E70" s="134">
        <v>262</v>
      </c>
      <c r="F70" s="142" t="str">
        <f>VLOOKUP(E70,VIP!$A$2:$O14283,2,0)</f>
        <v>DRBR262</v>
      </c>
      <c r="G70" s="142" t="str">
        <f>VLOOKUP(E70,'LISTADO ATM'!$A$2:$B$897,2,0)</f>
        <v xml:space="preserve">ATM Oficina Obras Públicas (Santiago) </v>
      </c>
      <c r="H70" s="142" t="str">
        <f>VLOOKUP(E70,VIP!$A$2:$O19244,7,FALSE)</f>
        <v>Si</v>
      </c>
      <c r="I70" s="142" t="str">
        <f>VLOOKUP(E70,VIP!$A$2:$O11209,8,FALSE)</f>
        <v>Si</v>
      </c>
      <c r="J70" s="142" t="str">
        <f>VLOOKUP(E70,VIP!$A$2:$O11159,8,FALSE)</f>
        <v>Si</v>
      </c>
      <c r="K70" s="142" t="str">
        <f>VLOOKUP(E70,VIP!$A$2:$O14733,6,0)</f>
        <v>SI</v>
      </c>
      <c r="L70" s="143" t="s">
        <v>2441</v>
      </c>
      <c r="M70" s="157" t="s">
        <v>2545</v>
      </c>
      <c r="N70" s="99" t="s">
        <v>2452</v>
      </c>
      <c r="O70" s="142" t="s">
        <v>2660</v>
      </c>
      <c r="P70" s="142"/>
      <c r="Q70" s="156">
        <v>44390.53696759259</v>
      </c>
    </row>
    <row r="71" spans="1:17" s="115" customFormat="1" ht="18" x14ac:dyDescent="0.25">
      <c r="A71" s="142" t="str">
        <f>VLOOKUP(E71,'LISTADO ATM'!$A$2:$C$898,3,0)</f>
        <v>DISTRITO NACIONAL</v>
      </c>
      <c r="B71" s="139" t="s">
        <v>2670</v>
      </c>
      <c r="C71" s="100">
        <v>44390.373703703706</v>
      </c>
      <c r="D71" s="100" t="s">
        <v>2180</v>
      </c>
      <c r="E71" s="134">
        <v>865</v>
      </c>
      <c r="F71" s="142" t="str">
        <f>VLOOKUP(E71,VIP!$A$2:$O14290,2,0)</f>
        <v>DRBR865</v>
      </c>
      <c r="G71" s="142" t="str">
        <f>VLOOKUP(E71,'LISTADO ATM'!$A$2:$B$897,2,0)</f>
        <v xml:space="preserve">ATM Club Naco </v>
      </c>
      <c r="H71" s="142" t="str">
        <f>VLOOKUP(E71,VIP!$A$2:$O19251,7,FALSE)</f>
        <v>Si</v>
      </c>
      <c r="I71" s="142" t="str">
        <f>VLOOKUP(E71,VIP!$A$2:$O11216,8,FALSE)</f>
        <v>Si</v>
      </c>
      <c r="J71" s="142" t="str">
        <f>VLOOKUP(E71,VIP!$A$2:$O11166,8,FALSE)</f>
        <v>Si</v>
      </c>
      <c r="K71" s="142" t="str">
        <f>VLOOKUP(E71,VIP!$A$2:$O14740,6,0)</f>
        <v>NO</v>
      </c>
      <c r="L71" s="143" t="s">
        <v>2465</v>
      </c>
      <c r="M71" s="157" t="s">
        <v>2545</v>
      </c>
      <c r="N71" s="157" t="s">
        <v>2676</v>
      </c>
      <c r="O71" s="142" t="s">
        <v>2454</v>
      </c>
      <c r="P71" s="142" t="s">
        <v>2609</v>
      </c>
      <c r="Q71" s="156">
        <v>44390.53696759259</v>
      </c>
    </row>
    <row r="72" spans="1:17" s="115" customFormat="1" ht="18" x14ac:dyDescent="0.25">
      <c r="A72" s="142" t="str">
        <f>VLOOKUP(E72,'LISTADO ATM'!$A$2:$C$898,3,0)</f>
        <v>DISTRITO NACIONAL</v>
      </c>
      <c r="B72" s="139" t="s">
        <v>2675</v>
      </c>
      <c r="C72" s="100">
        <v>44390.375983796293</v>
      </c>
      <c r="D72" s="100" t="s">
        <v>2469</v>
      </c>
      <c r="E72" s="134">
        <v>642</v>
      </c>
      <c r="F72" s="142" t="str">
        <f>VLOOKUP(E72,VIP!$A$2:$O14289,2,0)</f>
        <v>DRBR24O</v>
      </c>
      <c r="G72" s="142" t="str">
        <f>VLOOKUP(E72,'LISTADO ATM'!$A$2:$B$897,2,0)</f>
        <v xml:space="preserve">ATM OMSA Sto. Dgo. </v>
      </c>
      <c r="H72" s="142" t="str">
        <f>VLOOKUP(E72,VIP!$A$2:$O19250,7,FALSE)</f>
        <v>Si</v>
      </c>
      <c r="I72" s="142" t="str">
        <f>VLOOKUP(E72,VIP!$A$2:$O11215,8,FALSE)</f>
        <v>Si</v>
      </c>
      <c r="J72" s="142" t="str">
        <f>VLOOKUP(E72,VIP!$A$2:$O11165,8,FALSE)</f>
        <v>Si</v>
      </c>
      <c r="K72" s="142" t="str">
        <f>VLOOKUP(E72,VIP!$A$2:$O14739,6,0)</f>
        <v>NO</v>
      </c>
      <c r="L72" s="143" t="s">
        <v>2678</v>
      </c>
      <c r="M72" s="157" t="s">
        <v>2545</v>
      </c>
      <c r="N72" s="157" t="s">
        <v>2676</v>
      </c>
      <c r="O72" s="142" t="s">
        <v>2683</v>
      </c>
      <c r="P72" s="142" t="s">
        <v>2684</v>
      </c>
      <c r="Q72" s="156" t="s">
        <v>2678</v>
      </c>
    </row>
    <row r="73" spans="1:17" s="115" customFormat="1" ht="18" x14ac:dyDescent="0.25">
      <c r="A73" s="142" t="str">
        <f>VLOOKUP(E73,'LISTADO ATM'!$A$2:$C$898,3,0)</f>
        <v>DISTRITO NACIONAL</v>
      </c>
      <c r="B73" s="139" t="s">
        <v>2669</v>
      </c>
      <c r="C73" s="100">
        <v>44390.380150462966</v>
      </c>
      <c r="D73" s="100" t="s">
        <v>2448</v>
      </c>
      <c r="E73" s="134">
        <v>32</v>
      </c>
      <c r="F73" s="142" t="str">
        <f>VLOOKUP(E73,VIP!$A$2:$O14289,2,0)</f>
        <v>DRBR032</v>
      </c>
      <c r="G73" s="142" t="str">
        <f>VLOOKUP(E73,'LISTADO ATM'!$A$2:$B$897,2,0)</f>
        <v xml:space="preserve">ATM Oficina San Martín II </v>
      </c>
      <c r="H73" s="142" t="str">
        <f>VLOOKUP(E73,VIP!$A$2:$O19250,7,FALSE)</f>
        <v>Si</v>
      </c>
      <c r="I73" s="142" t="str">
        <f>VLOOKUP(E73,VIP!$A$2:$O11215,8,FALSE)</f>
        <v>Si</v>
      </c>
      <c r="J73" s="142" t="str">
        <f>VLOOKUP(E73,VIP!$A$2:$O11165,8,FALSE)</f>
        <v>Si</v>
      </c>
      <c r="K73" s="142" t="str">
        <f>VLOOKUP(E73,VIP!$A$2:$O14739,6,0)</f>
        <v>NO</v>
      </c>
      <c r="L73" s="143" t="s">
        <v>2417</v>
      </c>
      <c r="M73" s="157" t="s">
        <v>2545</v>
      </c>
      <c r="N73" s="99" t="s">
        <v>2452</v>
      </c>
      <c r="O73" s="142" t="s">
        <v>2453</v>
      </c>
      <c r="P73" s="142"/>
      <c r="Q73" s="156">
        <v>44390.53696759259</v>
      </c>
    </row>
    <row r="74" spans="1:17" s="115" customFormat="1" ht="18" x14ac:dyDescent="0.25">
      <c r="A74" s="142" t="str">
        <f>VLOOKUP(E74,'LISTADO ATM'!$A$2:$C$898,3,0)</f>
        <v>SUR</v>
      </c>
      <c r="B74" s="139" t="s">
        <v>2668</v>
      </c>
      <c r="C74" s="100">
        <v>44390.384166666663</v>
      </c>
      <c r="D74" s="100" t="s">
        <v>2448</v>
      </c>
      <c r="E74" s="134">
        <v>677</v>
      </c>
      <c r="F74" s="142" t="str">
        <f>VLOOKUP(E74,VIP!$A$2:$O14288,2,0)</f>
        <v>DRBR677</v>
      </c>
      <c r="G74" s="142" t="str">
        <f>VLOOKUP(E74,'LISTADO ATM'!$A$2:$B$897,2,0)</f>
        <v>ATM PBG Villa Jaragua</v>
      </c>
      <c r="H74" s="142" t="str">
        <f>VLOOKUP(E74,VIP!$A$2:$O19249,7,FALSE)</f>
        <v>Si</v>
      </c>
      <c r="I74" s="142" t="str">
        <f>VLOOKUP(E74,VIP!$A$2:$O11214,8,FALSE)</f>
        <v>Si</v>
      </c>
      <c r="J74" s="142" t="str">
        <f>VLOOKUP(E74,VIP!$A$2:$O11164,8,FALSE)</f>
        <v>Si</v>
      </c>
      <c r="K74" s="142" t="str">
        <f>VLOOKUP(E74,VIP!$A$2:$O14738,6,0)</f>
        <v>SI</v>
      </c>
      <c r="L74" s="143" t="s">
        <v>2417</v>
      </c>
      <c r="M74" s="157" t="s">
        <v>2545</v>
      </c>
      <c r="N74" s="99" t="s">
        <v>2452</v>
      </c>
      <c r="O74" s="142" t="s">
        <v>2453</v>
      </c>
      <c r="P74" s="142"/>
      <c r="Q74" s="156">
        <v>44390.53696759259</v>
      </c>
    </row>
    <row r="75" spans="1:17" s="115" customFormat="1" ht="18" x14ac:dyDescent="0.25">
      <c r="A75" s="142" t="str">
        <f>VLOOKUP(E75,'LISTADO ATM'!$A$2:$C$898,3,0)</f>
        <v>NORTE</v>
      </c>
      <c r="B75" s="139" t="s">
        <v>2667</v>
      </c>
      <c r="C75" s="100">
        <v>44390.413645833331</v>
      </c>
      <c r="D75" s="100" t="s">
        <v>2181</v>
      </c>
      <c r="E75" s="134">
        <v>937</v>
      </c>
      <c r="F75" s="142" t="str">
        <f>VLOOKUP(E75,VIP!$A$2:$O14287,2,0)</f>
        <v>DRBR937</v>
      </c>
      <c r="G75" s="142" t="str">
        <f>VLOOKUP(E75,'LISTADO ATM'!$A$2:$B$897,2,0)</f>
        <v xml:space="preserve">ATM Autobanco Oficina La Vega II </v>
      </c>
      <c r="H75" s="142" t="str">
        <f>VLOOKUP(E75,VIP!$A$2:$O19248,7,FALSE)</f>
        <v>Si</v>
      </c>
      <c r="I75" s="142" t="str">
        <f>VLOOKUP(E75,VIP!$A$2:$O11213,8,FALSE)</f>
        <v>Si</v>
      </c>
      <c r="J75" s="142" t="str">
        <f>VLOOKUP(E75,VIP!$A$2:$O11163,8,FALSE)</f>
        <v>Si</v>
      </c>
      <c r="K75" s="142" t="str">
        <f>VLOOKUP(E75,VIP!$A$2:$O14737,6,0)</f>
        <v>NO</v>
      </c>
      <c r="L75" s="143" t="s">
        <v>2219</v>
      </c>
      <c r="M75" s="157" t="s">
        <v>2545</v>
      </c>
      <c r="N75" s="157" t="s">
        <v>2676</v>
      </c>
      <c r="O75" s="142" t="s">
        <v>2588</v>
      </c>
      <c r="P75" s="142"/>
      <c r="Q75" s="156">
        <v>44390.53696759259</v>
      </c>
    </row>
    <row r="76" spans="1:17" s="115" customFormat="1" ht="18" x14ac:dyDescent="0.25">
      <c r="A76" s="142" t="str">
        <f>VLOOKUP(E76,'LISTADO ATM'!$A$2:$C$898,3,0)</f>
        <v>SUR</v>
      </c>
      <c r="B76" s="139" t="s">
        <v>2674</v>
      </c>
      <c r="C76" s="100">
        <v>44390.416041666664</v>
      </c>
      <c r="D76" s="100" t="s">
        <v>2677</v>
      </c>
      <c r="E76" s="134">
        <v>733</v>
      </c>
      <c r="F76" s="142" t="str">
        <f>VLOOKUP(E76,VIP!$A$2:$O14288,2,0)</f>
        <v>DRBR484</v>
      </c>
      <c r="G76" s="142" t="str">
        <f>VLOOKUP(E76,'LISTADO ATM'!$A$2:$B$897,2,0)</f>
        <v xml:space="preserve">ATM Zona Franca Perdenales </v>
      </c>
      <c r="H76" s="142" t="str">
        <f>VLOOKUP(E76,VIP!$A$2:$O19249,7,FALSE)</f>
        <v>Si</v>
      </c>
      <c r="I76" s="142" t="str">
        <f>VLOOKUP(E76,VIP!$A$2:$O11214,8,FALSE)</f>
        <v>Si</v>
      </c>
      <c r="J76" s="142" t="str">
        <f>VLOOKUP(E76,VIP!$A$2:$O11164,8,FALSE)</f>
        <v>Si</v>
      </c>
      <c r="K76" s="142" t="str">
        <f>VLOOKUP(E76,VIP!$A$2:$O14738,6,0)</f>
        <v>NO</v>
      </c>
      <c r="L76" s="143" t="s">
        <v>2681</v>
      </c>
      <c r="M76" s="157" t="s">
        <v>2545</v>
      </c>
      <c r="N76" s="157" t="s">
        <v>2676</v>
      </c>
      <c r="O76" s="142" t="s">
        <v>2682</v>
      </c>
      <c r="P76" s="142"/>
      <c r="Q76" s="156" t="s">
        <v>2681</v>
      </c>
    </row>
    <row r="77" spans="1:17" s="115" customFormat="1" ht="18" x14ac:dyDescent="0.25">
      <c r="A77" s="142" t="str">
        <f>VLOOKUP(E77,'LISTADO ATM'!$A$2:$C$898,3,0)</f>
        <v>ESTE</v>
      </c>
      <c r="B77" s="139" t="s">
        <v>2673</v>
      </c>
      <c r="C77" s="100">
        <v>44390.416747685187</v>
      </c>
      <c r="D77" s="100" t="s">
        <v>2180</v>
      </c>
      <c r="E77" s="134">
        <v>159</v>
      </c>
      <c r="F77" s="142" t="str">
        <f>VLOOKUP(E77,VIP!$A$2:$O14287,2,0)</f>
        <v>DRBR159</v>
      </c>
      <c r="G77" s="142" t="str">
        <f>VLOOKUP(E77,'LISTADO ATM'!$A$2:$B$897,2,0)</f>
        <v xml:space="preserve">ATM Hotel Dreams Bayahibe I </v>
      </c>
      <c r="H77" s="142" t="str">
        <f>VLOOKUP(E77,VIP!$A$2:$O19248,7,FALSE)</f>
        <v>Si</v>
      </c>
      <c r="I77" s="142" t="str">
        <f>VLOOKUP(E77,VIP!$A$2:$O11213,8,FALSE)</f>
        <v>Si</v>
      </c>
      <c r="J77" s="142" t="str">
        <f>VLOOKUP(E77,VIP!$A$2:$O11163,8,FALSE)</f>
        <v>Si</v>
      </c>
      <c r="K77" s="142" t="str">
        <f>VLOOKUP(E77,VIP!$A$2:$O14737,6,0)</f>
        <v>NO</v>
      </c>
      <c r="L77" s="143" t="s">
        <v>2680</v>
      </c>
      <c r="M77" s="157" t="s">
        <v>2545</v>
      </c>
      <c r="N77" s="157" t="s">
        <v>2676</v>
      </c>
      <c r="O77" s="142" t="s">
        <v>2454</v>
      </c>
      <c r="P77" s="142" t="s">
        <v>2609</v>
      </c>
      <c r="Q77" s="156" t="s">
        <v>2680</v>
      </c>
    </row>
    <row r="78" spans="1:17" s="115" customFormat="1" ht="18" x14ac:dyDescent="0.25">
      <c r="A78" s="142" t="str">
        <f>VLOOKUP(E78,'LISTADO ATM'!$A$2:$C$898,3,0)</f>
        <v>NORTE</v>
      </c>
      <c r="B78" s="139" t="s">
        <v>2666</v>
      </c>
      <c r="C78" s="100">
        <v>44390.424710648149</v>
      </c>
      <c r="D78" s="100" t="s">
        <v>2181</v>
      </c>
      <c r="E78" s="134">
        <v>606</v>
      </c>
      <c r="F78" s="142" t="str">
        <f>VLOOKUP(E78,VIP!$A$2:$O14286,2,0)</f>
        <v>DRBR704</v>
      </c>
      <c r="G78" s="142" t="str">
        <f>VLOOKUP(E78,'LISTADO ATM'!$A$2:$B$897,2,0)</f>
        <v xml:space="preserve">ATM UNP Manolo Tavarez Justo </v>
      </c>
      <c r="H78" s="142" t="str">
        <f>VLOOKUP(E78,VIP!$A$2:$O19247,7,FALSE)</f>
        <v>Si</v>
      </c>
      <c r="I78" s="142" t="str">
        <f>VLOOKUP(E78,VIP!$A$2:$O11212,8,FALSE)</f>
        <v>Si</v>
      </c>
      <c r="J78" s="142" t="str">
        <f>VLOOKUP(E78,VIP!$A$2:$O11162,8,FALSE)</f>
        <v>Si</v>
      </c>
      <c r="K78" s="142" t="str">
        <f>VLOOKUP(E78,VIP!$A$2:$O14736,6,0)</f>
        <v>NO</v>
      </c>
      <c r="L78" s="143" t="s">
        <v>2219</v>
      </c>
      <c r="M78" s="99" t="s">
        <v>2445</v>
      </c>
      <c r="N78" s="157" t="s">
        <v>2676</v>
      </c>
      <c r="O78" s="142" t="s">
        <v>2588</v>
      </c>
      <c r="P78" s="142"/>
      <c r="Q78" s="99" t="s">
        <v>2219</v>
      </c>
    </row>
    <row r="79" spans="1:17" s="115" customFormat="1" ht="18" x14ac:dyDescent="0.25">
      <c r="A79" s="142" t="str">
        <f>VLOOKUP(E79,'LISTADO ATM'!$A$2:$C$898,3,0)</f>
        <v>DISTRITO NACIONAL</v>
      </c>
      <c r="B79" s="139" t="s">
        <v>2665</v>
      </c>
      <c r="C79" s="100">
        <v>44390.435057870367</v>
      </c>
      <c r="D79" s="100" t="s">
        <v>2448</v>
      </c>
      <c r="E79" s="134">
        <v>486</v>
      </c>
      <c r="F79" s="142" t="str">
        <f>VLOOKUP(E79,VIP!$A$2:$O14285,2,0)</f>
        <v>DRBR486</v>
      </c>
      <c r="G79" s="142" t="str">
        <f>VLOOKUP(E79,'LISTADO ATM'!$A$2:$B$897,2,0)</f>
        <v xml:space="preserve">ATM Olé La Caleta </v>
      </c>
      <c r="H79" s="142" t="str">
        <f>VLOOKUP(E79,VIP!$A$2:$O19246,7,FALSE)</f>
        <v>Si</v>
      </c>
      <c r="I79" s="142" t="str">
        <f>VLOOKUP(E79,VIP!$A$2:$O11211,8,FALSE)</f>
        <v>Si</v>
      </c>
      <c r="J79" s="142" t="str">
        <f>VLOOKUP(E79,VIP!$A$2:$O11161,8,FALSE)</f>
        <v>Si</v>
      </c>
      <c r="K79" s="142" t="str">
        <f>VLOOKUP(E79,VIP!$A$2:$O14735,6,0)</f>
        <v>NO</v>
      </c>
      <c r="L79" s="143" t="s">
        <v>2417</v>
      </c>
      <c r="M79" s="157" t="s">
        <v>2545</v>
      </c>
      <c r="N79" s="99" t="s">
        <v>2452</v>
      </c>
      <c r="O79" s="142" t="s">
        <v>2453</v>
      </c>
      <c r="P79" s="142"/>
      <c r="Q79" s="156">
        <v>44390.53696759259</v>
      </c>
    </row>
    <row r="80" spans="1:17" s="115" customFormat="1" ht="18" x14ac:dyDescent="0.25">
      <c r="A80" s="142" t="str">
        <f>VLOOKUP(E80,'LISTADO ATM'!$A$2:$C$898,3,0)</f>
        <v>ESTE</v>
      </c>
      <c r="B80" s="139" t="s">
        <v>2664</v>
      </c>
      <c r="C80" s="100">
        <v>44390.435150462959</v>
      </c>
      <c r="D80" s="100" t="s">
        <v>2448</v>
      </c>
      <c r="E80" s="134">
        <v>673</v>
      </c>
      <c r="F80" s="142" t="str">
        <f>VLOOKUP(E80,VIP!$A$2:$O14284,2,0)</f>
        <v>DRBR673</v>
      </c>
      <c r="G80" s="142" t="str">
        <f>VLOOKUP(E80,'LISTADO ATM'!$A$2:$B$897,2,0)</f>
        <v>ATM Clínica Dr. Cruz Jiminián</v>
      </c>
      <c r="H80" s="142" t="str">
        <f>VLOOKUP(E80,VIP!$A$2:$O19245,7,FALSE)</f>
        <v>Si</v>
      </c>
      <c r="I80" s="142" t="str">
        <f>VLOOKUP(E80,VIP!$A$2:$O11210,8,FALSE)</f>
        <v>Si</v>
      </c>
      <c r="J80" s="142" t="str">
        <f>VLOOKUP(E80,VIP!$A$2:$O11160,8,FALSE)</f>
        <v>Si</v>
      </c>
      <c r="K80" s="142" t="str">
        <f>VLOOKUP(E80,VIP!$A$2:$O14734,6,0)</f>
        <v>NO</v>
      </c>
      <c r="L80" s="143" t="s">
        <v>2560</v>
      </c>
      <c r="M80" s="99" t="s">
        <v>2445</v>
      </c>
      <c r="N80" s="99" t="s">
        <v>2452</v>
      </c>
      <c r="O80" s="142" t="s">
        <v>2453</v>
      </c>
      <c r="P80" s="142"/>
      <c r="Q80" s="99" t="s">
        <v>2560</v>
      </c>
    </row>
    <row r="81" spans="1:17" s="115" customFormat="1" ht="18" x14ac:dyDescent="0.25">
      <c r="A81" s="142" t="str">
        <f>VLOOKUP(E81,'LISTADO ATM'!$A$2:$C$898,3,0)</f>
        <v>NORTE</v>
      </c>
      <c r="B81" s="139" t="s">
        <v>2672</v>
      </c>
      <c r="C81" s="100">
        <v>44390.437511574077</v>
      </c>
      <c r="D81" s="100" t="s">
        <v>2469</v>
      </c>
      <c r="E81" s="134">
        <v>511</v>
      </c>
      <c r="F81" s="142" t="str">
        <f>VLOOKUP(E81,VIP!$A$2:$O14286,2,0)</f>
        <v>DRBR511</v>
      </c>
      <c r="G81" s="142" t="str">
        <f>VLOOKUP(E81,'LISTADO ATM'!$A$2:$B$897,2,0)</f>
        <v xml:space="preserve">ATM UNP Río San Juan (Nagua) </v>
      </c>
      <c r="H81" s="142" t="str">
        <f>VLOOKUP(E81,VIP!$A$2:$O19247,7,FALSE)</f>
        <v>Si</v>
      </c>
      <c r="I81" s="142" t="str">
        <f>VLOOKUP(E81,VIP!$A$2:$O11212,8,FALSE)</f>
        <v>Si</v>
      </c>
      <c r="J81" s="142" t="str">
        <f>VLOOKUP(E81,VIP!$A$2:$O11162,8,FALSE)</f>
        <v>Si</v>
      </c>
      <c r="K81" s="142" t="str">
        <f>VLOOKUP(E81,VIP!$A$2:$O14736,6,0)</f>
        <v>NO</v>
      </c>
      <c r="L81" s="143" t="s">
        <v>2678</v>
      </c>
      <c r="M81" s="157" t="s">
        <v>2545</v>
      </c>
      <c r="N81" s="157" t="s">
        <v>2676</v>
      </c>
      <c r="O81" s="142" t="s">
        <v>2679</v>
      </c>
      <c r="P81" s="142" t="s">
        <v>2684</v>
      </c>
      <c r="Q81" s="156" t="s">
        <v>2678</v>
      </c>
    </row>
    <row r="82" spans="1:17" s="115" customFormat="1" ht="18" x14ac:dyDescent="0.25">
      <c r="A82" s="142" t="str">
        <f>VLOOKUP(E82,'LISTADO ATM'!$A$2:$C$898,3,0)</f>
        <v>DISTRITO NACIONAL</v>
      </c>
      <c r="B82" s="139" t="s">
        <v>2671</v>
      </c>
      <c r="C82" s="100">
        <v>44390.439189814817</v>
      </c>
      <c r="D82" s="100" t="s">
        <v>2469</v>
      </c>
      <c r="E82" s="134">
        <v>709</v>
      </c>
      <c r="F82" s="142" t="str">
        <f>VLOOKUP(E82,VIP!$A$2:$O14285,2,0)</f>
        <v>DRBR01N</v>
      </c>
      <c r="G82" s="142" t="str">
        <f>VLOOKUP(E82,'LISTADO ATM'!$A$2:$B$897,2,0)</f>
        <v xml:space="preserve">ATM Seguros Maestro SEMMA  </v>
      </c>
      <c r="H82" s="142" t="str">
        <f>VLOOKUP(E82,VIP!$A$2:$O19246,7,FALSE)</f>
        <v>Si</v>
      </c>
      <c r="I82" s="142" t="str">
        <f>VLOOKUP(E82,VIP!$A$2:$O11211,8,FALSE)</f>
        <v>Si</v>
      </c>
      <c r="J82" s="142" t="str">
        <f>VLOOKUP(E82,VIP!$A$2:$O11161,8,FALSE)</f>
        <v>Si</v>
      </c>
      <c r="K82" s="142" t="str">
        <f>VLOOKUP(E82,VIP!$A$2:$O14735,6,0)</f>
        <v>NO</v>
      </c>
      <c r="L82" s="143" t="s">
        <v>2678</v>
      </c>
      <c r="M82" s="157" t="s">
        <v>2545</v>
      </c>
      <c r="N82" s="157" t="s">
        <v>2676</v>
      </c>
      <c r="O82" s="142" t="s">
        <v>2679</v>
      </c>
      <c r="P82" s="142" t="s">
        <v>2684</v>
      </c>
      <c r="Q82" s="156" t="s">
        <v>2678</v>
      </c>
    </row>
    <row r="83" spans="1:17" s="115" customFormat="1" ht="18" x14ac:dyDescent="0.25">
      <c r="A83" s="142" t="str">
        <f>VLOOKUP(E83,'LISTADO ATM'!$A$2:$C$898,3,0)</f>
        <v>ESTE</v>
      </c>
      <c r="B83" s="139" t="s">
        <v>2712</v>
      </c>
      <c r="C83" s="100">
        <v>44390.476597222223</v>
      </c>
      <c r="D83" s="100" t="s">
        <v>2469</v>
      </c>
      <c r="E83" s="134">
        <v>159</v>
      </c>
      <c r="F83" s="142" t="str">
        <f>VLOOKUP(E83,VIP!$A$2:$O14311,2,0)</f>
        <v>DRBR159</v>
      </c>
      <c r="G83" s="142" t="str">
        <f>VLOOKUP(E83,'LISTADO ATM'!$A$2:$B$897,2,0)</f>
        <v xml:space="preserve">ATM Hotel Dreams Bayahibe I </v>
      </c>
      <c r="H83" s="142" t="str">
        <f>VLOOKUP(E83,VIP!$A$2:$O19272,7,FALSE)</f>
        <v>Si</v>
      </c>
      <c r="I83" s="142" t="str">
        <f>VLOOKUP(E83,VIP!$A$2:$O11237,8,FALSE)</f>
        <v>Si</v>
      </c>
      <c r="J83" s="142" t="str">
        <f>VLOOKUP(E83,VIP!$A$2:$O11187,8,FALSE)</f>
        <v>Si</v>
      </c>
      <c r="K83" s="142" t="str">
        <f>VLOOKUP(E83,VIP!$A$2:$O14761,6,0)</f>
        <v>NO</v>
      </c>
      <c r="L83" s="143" t="s">
        <v>2678</v>
      </c>
      <c r="M83" s="157" t="s">
        <v>2545</v>
      </c>
      <c r="N83" s="157" t="s">
        <v>2676</v>
      </c>
      <c r="O83" s="142" t="s">
        <v>2660</v>
      </c>
      <c r="P83" s="142" t="s">
        <v>2684</v>
      </c>
      <c r="Q83" s="156" t="s">
        <v>2678</v>
      </c>
    </row>
    <row r="84" spans="1:17" s="115" customFormat="1" ht="18" x14ac:dyDescent="0.25">
      <c r="A84" s="142" t="str">
        <f>VLOOKUP(E84,'LISTADO ATM'!$A$2:$C$898,3,0)</f>
        <v>NORTE</v>
      </c>
      <c r="B84" s="139" t="s">
        <v>2711</v>
      </c>
      <c r="C84" s="100">
        <v>44390.479270833333</v>
      </c>
      <c r="D84" s="100" t="s">
        <v>2469</v>
      </c>
      <c r="E84" s="134">
        <v>262</v>
      </c>
      <c r="F84" s="142" t="str">
        <f>VLOOKUP(E84,VIP!$A$2:$O14310,2,0)</f>
        <v>DRBR262</v>
      </c>
      <c r="G84" s="142" t="str">
        <f>VLOOKUP(E84,'LISTADO ATM'!$A$2:$B$897,2,0)</f>
        <v xml:space="preserve">ATM Oficina Obras Públicas (Santiago) </v>
      </c>
      <c r="H84" s="142" t="str">
        <f>VLOOKUP(E84,VIP!$A$2:$O19271,7,FALSE)</f>
        <v>Si</v>
      </c>
      <c r="I84" s="142" t="str">
        <f>VLOOKUP(E84,VIP!$A$2:$O11236,8,FALSE)</f>
        <v>Si</v>
      </c>
      <c r="J84" s="142" t="str">
        <f>VLOOKUP(E84,VIP!$A$2:$O11186,8,FALSE)</f>
        <v>Si</v>
      </c>
      <c r="K84" s="142" t="str">
        <f>VLOOKUP(E84,VIP!$A$2:$O14760,6,0)</f>
        <v>SI</v>
      </c>
      <c r="L84" s="143" t="s">
        <v>2714</v>
      </c>
      <c r="M84" s="157" t="s">
        <v>2545</v>
      </c>
      <c r="N84" s="157" t="s">
        <v>2676</v>
      </c>
      <c r="O84" s="142" t="s">
        <v>2660</v>
      </c>
      <c r="P84" s="142" t="s">
        <v>2715</v>
      </c>
      <c r="Q84" s="156" t="s">
        <v>2714</v>
      </c>
    </row>
    <row r="85" spans="1:17" s="115" customFormat="1" ht="18" x14ac:dyDescent="0.25">
      <c r="A85" s="142" t="str">
        <f>VLOOKUP(E85,'LISTADO ATM'!$A$2:$C$898,3,0)</f>
        <v>DISTRITO NACIONAL</v>
      </c>
      <c r="B85" s="139" t="s">
        <v>2710</v>
      </c>
      <c r="C85" s="100">
        <v>44390.479953703703</v>
      </c>
      <c r="D85" s="100" t="s">
        <v>2180</v>
      </c>
      <c r="E85" s="134">
        <v>900</v>
      </c>
      <c r="F85" s="142" t="str">
        <f>VLOOKUP(E85,VIP!$A$2:$O14309,2,0)</f>
        <v>DRBR900</v>
      </c>
      <c r="G85" s="142" t="str">
        <f>VLOOKUP(E85,'LISTADO ATM'!$A$2:$B$897,2,0)</f>
        <v xml:space="preserve">ATM UNP Merca Santo Domingo </v>
      </c>
      <c r="H85" s="142" t="str">
        <f>VLOOKUP(E85,VIP!$A$2:$O19270,7,FALSE)</f>
        <v>Si</v>
      </c>
      <c r="I85" s="142" t="str">
        <f>VLOOKUP(E85,VIP!$A$2:$O11235,8,FALSE)</f>
        <v>Si</v>
      </c>
      <c r="J85" s="142" t="str">
        <f>VLOOKUP(E85,VIP!$A$2:$O11185,8,FALSE)</f>
        <v>Si</v>
      </c>
      <c r="K85" s="142" t="str">
        <f>VLOOKUP(E85,VIP!$A$2:$O14759,6,0)</f>
        <v>NO</v>
      </c>
      <c r="L85" s="143" t="s">
        <v>2713</v>
      </c>
      <c r="M85" s="157" t="s">
        <v>2545</v>
      </c>
      <c r="N85" s="157" t="s">
        <v>2676</v>
      </c>
      <c r="O85" s="142" t="s">
        <v>2454</v>
      </c>
      <c r="P85" s="142"/>
      <c r="Q85" s="156" t="s">
        <v>2713</v>
      </c>
    </row>
    <row r="86" spans="1:17" s="115" customFormat="1" ht="18" x14ac:dyDescent="0.25">
      <c r="A86" s="142" t="str">
        <f>VLOOKUP(E86,'LISTADO ATM'!$A$2:$C$898,3,0)</f>
        <v>NORTE</v>
      </c>
      <c r="B86" s="139" t="s">
        <v>2706</v>
      </c>
      <c r="C86" s="100">
        <v>44390.482222222221</v>
      </c>
      <c r="D86" s="100" t="s">
        <v>2181</v>
      </c>
      <c r="E86" s="134">
        <v>862</v>
      </c>
      <c r="F86" s="142" t="str">
        <f>VLOOKUP(E86,VIP!$A$2:$O14307,2,0)</f>
        <v>DRBR862</v>
      </c>
      <c r="G86" s="142" t="str">
        <f>VLOOKUP(E86,'LISTADO ATM'!$A$2:$B$897,2,0)</f>
        <v xml:space="preserve">ATM S/M Doble A (Sabaneta) </v>
      </c>
      <c r="H86" s="142" t="str">
        <f>VLOOKUP(E86,VIP!$A$2:$O19268,7,FALSE)</f>
        <v>Si</v>
      </c>
      <c r="I86" s="142" t="str">
        <f>VLOOKUP(E86,VIP!$A$2:$O11233,8,FALSE)</f>
        <v>Si</v>
      </c>
      <c r="J86" s="142" t="str">
        <f>VLOOKUP(E86,VIP!$A$2:$O11183,8,FALSE)</f>
        <v>Si</v>
      </c>
      <c r="K86" s="142" t="str">
        <f>VLOOKUP(E86,VIP!$A$2:$O14757,6,0)</f>
        <v>NO</v>
      </c>
      <c r="L86" s="143" t="s">
        <v>2219</v>
      </c>
      <c r="M86" s="99" t="s">
        <v>2445</v>
      </c>
      <c r="N86" s="99" t="s">
        <v>2452</v>
      </c>
      <c r="O86" s="142" t="s">
        <v>2588</v>
      </c>
      <c r="P86" s="142"/>
      <c r="Q86" s="99" t="s">
        <v>2219</v>
      </c>
    </row>
    <row r="87" spans="1:17" s="115" customFormat="1" ht="18" x14ac:dyDescent="0.25">
      <c r="A87" s="142" t="str">
        <f>VLOOKUP(E87,'LISTADO ATM'!$A$2:$C$898,3,0)</f>
        <v>DISTRITO NACIONAL</v>
      </c>
      <c r="B87" s="139" t="s">
        <v>2705</v>
      </c>
      <c r="C87" s="100">
        <v>44390.484803240739</v>
      </c>
      <c r="D87" s="100" t="s">
        <v>2180</v>
      </c>
      <c r="E87" s="134">
        <v>815</v>
      </c>
      <c r="F87" s="142" t="str">
        <f>VLOOKUP(E87,VIP!$A$2:$O14306,2,0)</f>
        <v>DRBR24A</v>
      </c>
      <c r="G87" s="142" t="str">
        <f>VLOOKUP(E87,'LISTADO ATM'!$A$2:$B$897,2,0)</f>
        <v xml:space="preserve">ATM Oficina Atalaya del Mar </v>
      </c>
      <c r="H87" s="142" t="str">
        <f>VLOOKUP(E87,VIP!$A$2:$O19267,7,FALSE)</f>
        <v>Si</v>
      </c>
      <c r="I87" s="142" t="str">
        <f>VLOOKUP(E87,VIP!$A$2:$O11232,8,FALSE)</f>
        <v>Si</v>
      </c>
      <c r="J87" s="142" t="str">
        <f>VLOOKUP(E87,VIP!$A$2:$O11182,8,FALSE)</f>
        <v>Si</v>
      </c>
      <c r="K87" s="142" t="str">
        <f>VLOOKUP(E87,VIP!$A$2:$O14756,6,0)</f>
        <v>SI</v>
      </c>
      <c r="L87" s="143" t="s">
        <v>2219</v>
      </c>
      <c r="M87" s="99" t="s">
        <v>2445</v>
      </c>
      <c r="N87" s="99" t="s">
        <v>2599</v>
      </c>
      <c r="O87" s="142" t="s">
        <v>2454</v>
      </c>
      <c r="P87" s="142"/>
      <c r="Q87" s="99" t="s">
        <v>2219</v>
      </c>
    </row>
    <row r="88" spans="1:17" s="115" customFormat="1" ht="18" x14ac:dyDescent="0.25">
      <c r="A88" s="142" t="str">
        <f>VLOOKUP(E88,'LISTADO ATM'!$A$2:$C$898,3,0)</f>
        <v>DISTRITO NACIONAL</v>
      </c>
      <c r="B88" s="139" t="s">
        <v>2704</v>
      </c>
      <c r="C88" s="100">
        <v>44390.487407407411</v>
      </c>
      <c r="D88" s="100" t="s">
        <v>2180</v>
      </c>
      <c r="E88" s="134">
        <v>515</v>
      </c>
      <c r="F88" s="142" t="str">
        <f>VLOOKUP(E88,VIP!$A$2:$O14305,2,0)</f>
        <v>DRBR515</v>
      </c>
      <c r="G88" s="142" t="str">
        <f>VLOOKUP(E88,'LISTADO ATM'!$A$2:$B$897,2,0)</f>
        <v xml:space="preserve">ATM Oficina Agora Mall I </v>
      </c>
      <c r="H88" s="142" t="str">
        <f>VLOOKUP(E88,VIP!$A$2:$O19266,7,FALSE)</f>
        <v>Si</v>
      </c>
      <c r="I88" s="142" t="str">
        <f>VLOOKUP(E88,VIP!$A$2:$O11231,8,FALSE)</f>
        <v>Si</v>
      </c>
      <c r="J88" s="142" t="str">
        <f>VLOOKUP(E88,VIP!$A$2:$O11181,8,FALSE)</f>
        <v>Si</v>
      </c>
      <c r="K88" s="142" t="str">
        <f>VLOOKUP(E88,VIP!$A$2:$O14755,6,0)</f>
        <v>SI</v>
      </c>
      <c r="L88" s="143" t="s">
        <v>2465</v>
      </c>
      <c r="M88" s="99" t="s">
        <v>2445</v>
      </c>
      <c r="N88" s="99" t="s">
        <v>2599</v>
      </c>
      <c r="O88" s="142" t="s">
        <v>2454</v>
      </c>
      <c r="P88" s="142"/>
      <c r="Q88" s="99" t="s">
        <v>2465</v>
      </c>
    </row>
    <row r="89" spans="1:17" s="115" customFormat="1" ht="18" x14ac:dyDescent="0.25">
      <c r="A89" s="142" t="str">
        <f>VLOOKUP(E89,'LISTADO ATM'!$A$2:$C$898,3,0)</f>
        <v>NORTE</v>
      </c>
      <c r="B89" s="139" t="s">
        <v>2709</v>
      </c>
      <c r="C89" s="100">
        <v>44390.492511574077</v>
      </c>
      <c r="D89" s="100" t="s">
        <v>2469</v>
      </c>
      <c r="E89" s="134">
        <v>291</v>
      </c>
      <c r="F89" s="142" t="str">
        <f>VLOOKUP(E89,VIP!$A$2:$O14308,2,0)</f>
        <v>DRBR291</v>
      </c>
      <c r="G89" s="142" t="str">
        <f>VLOOKUP(E89,'LISTADO ATM'!$A$2:$B$897,2,0)</f>
        <v xml:space="preserve">ATM S/M Jumbo Las Colinas </v>
      </c>
      <c r="H89" s="142" t="str">
        <f>VLOOKUP(E89,VIP!$A$2:$O19269,7,FALSE)</f>
        <v>Si</v>
      </c>
      <c r="I89" s="142" t="str">
        <f>VLOOKUP(E89,VIP!$A$2:$O11234,8,FALSE)</f>
        <v>Si</v>
      </c>
      <c r="J89" s="142" t="str">
        <f>VLOOKUP(E89,VIP!$A$2:$O11184,8,FALSE)</f>
        <v>Si</v>
      </c>
      <c r="K89" s="142" t="str">
        <f>VLOOKUP(E89,VIP!$A$2:$O14758,6,0)</f>
        <v>NO</v>
      </c>
      <c r="L89" s="143" t="s">
        <v>2678</v>
      </c>
      <c r="M89" s="157" t="s">
        <v>2545</v>
      </c>
      <c r="N89" s="157" t="s">
        <v>2676</v>
      </c>
      <c r="O89" s="142" t="s">
        <v>2683</v>
      </c>
      <c r="P89" s="142" t="s">
        <v>2684</v>
      </c>
      <c r="Q89" s="156" t="s">
        <v>2678</v>
      </c>
    </row>
    <row r="90" spans="1:17" s="115" customFormat="1" ht="18" x14ac:dyDescent="0.25">
      <c r="A90" s="142" t="str">
        <f>VLOOKUP(E90,'LISTADO ATM'!$A$2:$C$898,3,0)</f>
        <v>DISTRITO NACIONAL</v>
      </c>
      <c r="B90" s="139" t="s">
        <v>2703</v>
      </c>
      <c r="C90" s="100">
        <v>44390.511874999997</v>
      </c>
      <c r="D90" s="100" t="s">
        <v>2448</v>
      </c>
      <c r="E90" s="134">
        <v>87</v>
      </c>
      <c r="F90" s="142" t="str">
        <f>VLOOKUP(E90,VIP!$A$2:$O14304,2,0)</f>
        <v>DRBR087</v>
      </c>
      <c r="G90" s="142" t="str">
        <f>VLOOKUP(E90,'LISTADO ATM'!$A$2:$B$897,2,0)</f>
        <v xml:space="preserve">ATM Autoservicio Sarasota </v>
      </c>
      <c r="H90" s="142" t="str">
        <f>VLOOKUP(E90,VIP!$A$2:$O19265,7,FALSE)</f>
        <v>Si</v>
      </c>
      <c r="I90" s="142" t="str">
        <f>VLOOKUP(E90,VIP!$A$2:$O11230,8,FALSE)</f>
        <v>Si</v>
      </c>
      <c r="J90" s="142" t="str">
        <f>VLOOKUP(E90,VIP!$A$2:$O11180,8,FALSE)</f>
        <v>Si</v>
      </c>
      <c r="K90" s="142" t="str">
        <f>VLOOKUP(E90,VIP!$A$2:$O14754,6,0)</f>
        <v>NO</v>
      </c>
      <c r="L90" s="143" t="s">
        <v>2561</v>
      </c>
      <c r="M90" s="99" t="s">
        <v>2445</v>
      </c>
      <c r="N90" s="99" t="s">
        <v>2452</v>
      </c>
      <c r="O90" s="142" t="s">
        <v>2453</v>
      </c>
      <c r="P90" s="142"/>
      <c r="Q90" s="99" t="s">
        <v>2561</v>
      </c>
    </row>
    <row r="91" spans="1:17" s="115" customFormat="1" ht="18" x14ac:dyDescent="0.25">
      <c r="A91" s="142" t="str">
        <f>VLOOKUP(E91,'LISTADO ATM'!$A$2:$C$898,3,0)</f>
        <v>NORTE</v>
      </c>
      <c r="B91" s="139" t="s">
        <v>2702</v>
      </c>
      <c r="C91" s="100">
        <v>44390.52002314815</v>
      </c>
      <c r="D91" s="100" t="s">
        <v>2469</v>
      </c>
      <c r="E91" s="134">
        <v>171</v>
      </c>
      <c r="F91" s="142" t="str">
        <f>VLOOKUP(E91,VIP!$A$2:$O14303,2,0)</f>
        <v>DRBR171</v>
      </c>
      <c r="G91" s="142" t="str">
        <f>VLOOKUP(E91,'LISTADO ATM'!$A$2:$B$897,2,0)</f>
        <v xml:space="preserve">ATM Oficina Moca </v>
      </c>
      <c r="H91" s="142" t="str">
        <f>VLOOKUP(E91,VIP!$A$2:$O19264,7,FALSE)</f>
        <v>Si</v>
      </c>
      <c r="I91" s="142" t="str">
        <f>VLOOKUP(E91,VIP!$A$2:$O11229,8,FALSE)</f>
        <v>Si</v>
      </c>
      <c r="J91" s="142" t="str">
        <f>VLOOKUP(E91,VIP!$A$2:$O11179,8,FALSE)</f>
        <v>Si</v>
      </c>
      <c r="K91" s="142" t="str">
        <f>VLOOKUP(E91,VIP!$A$2:$O14753,6,0)</f>
        <v>NO</v>
      </c>
      <c r="L91" s="143" t="s">
        <v>2561</v>
      </c>
      <c r="M91" s="157" t="s">
        <v>2545</v>
      </c>
      <c r="N91" s="99" t="s">
        <v>2452</v>
      </c>
      <c r="O91" s="142" t="s">
        <v>2470</v>
      </c>
      <c r="P91" s="142"/>
      <c r="Q91" s="156">
        <v>44390.772222222222</v>
      </c>
    </row>
    <row r="92" spans="1:17" s="115" customFormat="1" ht="18" x14ac:dyDescent="0.25">
      <c r="A92" s="142" t="str">
        <f>VLOOKUP(E92,'LISTADO ATM'!$A$2:$C$898,3,0)</f>
        <v>DISTRITO NACIONAL</v>
      </c>
      <c r="B92" s="139" t="s">
        <v>2701</v>
      </c>
      <c r="C92" s="100">
        <v>44390.520833333336</v>
      </c>
      <c r="D92" s="100" t="s">
        <v>2448</v>
      </c>
      <c r="E92" s="134">
        <v>970</v>
      </c>
      <c r="F92" s="142" t="str">
        <f>VLOOKUP(E92,VIP!$A$2:$O14302,2,0)</f>
        <v>DRBR970</v>
      </c>
      <c r="G92" s="142" t="str">
        <f>VLOOKUP(E92,'LISTADO ATM'!$A$2:$B$897,2,0)</f>
        <v xml:space="preserve">ATM S/M Olé Haina </v>
      </c>
      <c r="H92" s="142" t="str">
        <f>VLOOKUP(E92,VIP!$A$2:$O19263,7,FALSE)</f>
        <v>Si</v>
      </c>
      <c r="I92" s="142" t="str">
        <f>VLOOKUP(E92,VIP!$A$2:$O11228,8,FALSE)</f>
        <v>Si</v>
      </c>
      <c r="J92" s="142" t="str">
        <f>VLOOKUP(E92,VIP!$A$2:$O11178,8,FALSE)</f>
        <v>Si</v>
      </c>
      <c r="K92" s="142" t="str">
        <f>VLOOKUP(E92,VIP!$A$2:$O14752,6,0)</f>
        <v>NO</v>
      </c>
      <c r="L92" s="143" t="s">
        <v>2441</v>
      </c>
      <c r="M92" s="99" t="s">
        <v>2445</v>
      </c>
      <c r="N92" s="99" t="s">
        <v>2452</v>
      </c>
      <c r="O92" s="142" t="s">
        <v>2453</v>
      </c>
      <c r="P92" s="142"/>
      <c r="Q92" s="99" t="s">
        <v>2441</v>
      </c>
    </row>
    <row r="93" spans="1:17" s="115" customFormat="1" ht="18" x14ac:dyDescent="0.25">
      <c r="A93" s="142" t="str">
        <f>VLOOKUP(E93,'LISTADO ATM'!$A$2:$C$898,3,0)</f>
        <v>SUR</v>
      </c>
      <c r="B93" s="139" t="s">
        <v>2700</v>
      </c>
      <c r="C93" s="100">
        <v>44390.52412037037</v>
      </c>
      <c r="D93" s="100" t="s">
        <v>2448</v>
      </c>
      <c r="E93" s="134">
        <v>984</v>
      </c>
      <c r="F93" s="142" t="str">
        <f>VLOOKUP(E93,VIP!$A$2:$O14301,2,0)</f>
        <v>DRBR984</v>
      </c>
      <c r="G93" s="142" t="str">
        <f>VLOOKUP(E93,'LISTADO ATM'!$A$2:$B$897,2,0)</f>
        <v xml:space="preserve">ATM Oficina Neiba II </v>
      </c>
      <c r="H93" s="142" t="str">
        <f>VLOOKUP(E93,VIP!$A$2:$O19262,7,FALSE)</f>
        <v>Si</v>
      </c>
      <c r="I93" s="142" t="str">
        <f>VLOOKUP(E93,VIP!$A$2:$O11227,8,FALSE)</f>
        <v>Si</v>
      </c>
      <c r="J93" s="142" t="str">
        <f>VLOOKUP(E93,VIP!$A$2:$O11177,8,FALSE)</f>
        <v>Si</v>
      </c>
      <c r="K93" s="142" t="str">
        <f>VLOOKUP(E93,VIP!$A$2:$O14751,6,0)</f>
        <v>NO</v>
      </c>
      <c r="L93" s="143" t="s">
        <v>2417</v>
      </c>
      <c r="M93" s="157" t="s">
        <v>2545</v>
      </c>
      <c r="N93" s="99" t="s">
        <v>2452</v>
      </c>
      <c r="O93" s="142" t="s">
        <v>2453</v>
      </c>
      <c r="P93" s="142"/>
      <c r="Q93" s="156">
        <v>44390.767361111109</v>
      </c>
    </row>
    <row r="94" spans="1:17" s="115" customFormat="1" ht="18" x14ac:dyDescent="0.25">
      <c r="A94" s="142" t="str">
        <f>VLOOKUP(E94,'LISTADO ATM'!$A$2:$C$898,3,0)</f>
        <v>ESTE</v>
      </c>
      <c r="B94" s="139" t="s">
        <v>2699</v>
      </c>
      <c r="C94" s="100">
        <v>44390.526041666664</v>
      </c>
      <c r="D94" s="100" t="s">
        <v>2448</v>
      </c>
      <c r="E94" s="134">
        <v>912</v>
      </c>
      <c r="F94" s="142" t="str">
        <f>VLOOKUP(E94,VIP!$A$2:$O14300,2,0)</f>
        <v>DRBR973</v>
      </c>
      <c r="G94" s="142" t="str">
        <f>VLOOKUP(E94,'LISTADO ATM'!$A$2:$B$897,2,0)</f>
        <v xml:space="preserve">ATM Oficina San Pedro II </v>
      </c>
      <c r="H94" s="142" t="str">
        <f>VLOOKUP(E94,VIP!$A$2:$O19261,7,FALSE)</f>
        <v>Si</v>
      </c>
      <c r="I94" s="142" t="str">
        <f>VLOOKUP(E94,VIP!$A$2:$O11226,8,FALSE)</f>
        <v>Si</v>
      </c>
      <c r="J94" s="142" t="str">
        <f>VLOOKUP(E94,VIP!$A$2:$O11176,8,FALSE)</f>
        <v>Si</v>
      </c>
      <c r="K94" s="142" t="str">
        <f>VLOOKUP(E94,VIP!$A$2:$O14750,6,0)</f>
        <v>SI</v>
      </c>
      <c r="L94" s="143" t="s">
        <v>2417</v>
      </c>
      <c r="M94" s="157" t="s">
        <v>2545</v>
      </c>
      <c r="N94" s="99" t="s">
        <v>2452</v>
      </c>
      <c r="O94" s="142" t="s">
        <v>2453</v>
      </c>
      <c r="P94" s="142"/>
      <c r="Q94" s="156">
        <v>44390.777083333334</v>
      </c>
    </row>
    <row r="95" spans="1:17" s="115" customFormat="1" ht="18" x14ac:dyDescent="0.25">
      <c r="A95" s="142" t="str">
        <f>VLOOKUP(E95,'LISTADO ATM'!$A$2:$C$898,3,0)</f>
        <v>ESTE</v>
      </c>
      <c r="B95" s="139" t="s">
        <v>2698</v>
      </c>
      <c r="C95" s="100">
        <v>44390.527499999997</v>
      </c>
      <c r="D95" s="100" t="s">
        <v>2448</v>
      </c>
      <c r="E95" s="134">
        <v>608</v>
      </c>
      <c r="F95" s="142" t="str">
        <f>VLOOKUP(E95,VIP!$A$2:$O14299,2,0)</f>
        <v>DRBR305</v>
      </c>
      <c r="G95" s="142" t="str">
        <f>VLOOKUP(E95,'LISTADO ATM'!$A$2:$B$897,2,0)</f>
        <v xml:space="preserve">ATM Oficina Jumbo (San Pedro) </v>
      </c>
      <c r="H95" s="142" t="str">
        <f>VLOOKUP(E95,VIP!$A$2:$O19260,7,FALSE)</f>
        <v>Si</v>
      </c>
      <c r="I95" s="142" t="str">
        <f>VLOOKUP(E95,VIP!$A$2:$O11225,8,FALSE)</f>
        <v>Si</v>
      </c>
      <c r="J95" s="142" t="str">
        <f>VLOOKUP(E95,VIP!$A$2:$O11175,8,FALSE)</f>
        <v>Si</v>
      </c>
      <c r="K95" s="142" t="str">
        <f>VLOOKUP(E95,VIP!$A$2:$O14749,6,0)</f>
        <v>SI</v>
      </c>
      <c r="L95" s="143" t="s">
        <v>2561</v>
      </c>
      <c r="M95" s="99" t="s">
        <v>2445</v>
      </c>
      <c r="N95" s="99" t="s">
        <v>2452</v>
      </c>
      <c r="O95" s="142" t="s">
        <v>2453</v>
      </c>
      <c r="P95" s="142"/>
      <c r="Q95" s="99" t="s">
        <v>2561</v>
      </c>
    </row>
    <row r="96" spans="1:17" s="115" customFormat="1" ht="18" x14ac:dyDescent="0.25">
      <c r="A96" s="142" t="str">
        <f>VLOOKUP(E96,'LISTADO ATM'!$A$2:$C$898,3,0)</f>
        <v>DISTRITO NACIONAL</v>
      </c>
      <c r="B96" s="139" t="s">
        <v>2697</v>
      </c>
      <c r="C96" s="100">
        <v>44390.531041666669</v>
      </c>
      <c r="D96" s="100" t="s">
        <v>2469</v>
      </c>
      <c r="E96" s="134">
        <v>686</v>
      </c>
      <c r="F96" s="142" t="str">
        <f>VLOOKUP(E96,VIP!$A$2:$O14298,2,0)</f>
        <v>DRBR686</v>
      </c>
      <c r="G96" s="142" t="str">
        <f>VLOOKUP(E96,'LISTADO ATM'!$A$2:$B$897,2,0)</f>
        <v>ATM Autoservicio Oficina Máximo Gómez</v>
      </c>
      <c r="H96" s="142" t="str">
        <f>VLOOKUP(E96,VIP!$A$2:$O19259,7,FALSE)</f>
        <v>Si</v>
      </c>
      <c r="I96" s="142" t="str">
        <f>VLOOKUP(E96,VIP!$A$2:$O11224,8,FALSE)</f>
        <v>Si</v>
      </c>
      <c r="J96" s="142" t="str">
        <f>VLOOKUP(E96,VIP!$A$2:$O11174,8,FALSE)</f>
        <v>Si</v>
      </c>
      <c r="K96" s="142" t="str">
        <f>VLOOKUP(E96,VIP!$A$2:$O14748,6,0)</f>
        <v>NO</v>
      </c>
      <c r="L96" s="143" t="s">
        <v>2561</v>
      </c>
      <c r="M96" s="99" t="s">
        <v>2445</v>
      </c>
      <c r="N96" s="99" t="s">
        <v>2452</v>
      </c>
      <c r="O96" s="142" t="s">
        <v>2470</v>
      </c>
      <c r="P96" s="142"/>
      <c r="Q96" s="99" t="s">
        <v>2561</v>
      </c>
    </row>
    <row r="97" spans="1:17" s="115" customFormat="1" ht="18" x14ac:dyDescent="0.25">
      <c r="A97" s="142" t="str">
        <f>VLOOKUP(E97,'LISTADO ATM'!$A$2:$C$898,3,0)</f>
        <v>ESTE</v>
      </c>
      <c r="B97" s="139" t="s">
        <v>2696</v>
      </c>
      <c r="C97" s="100">
        <v>44390.531319444446</v>
      </c>
      <c r="D97" s="100" t="s">
        <v>2180</v>
      </c>
      <c r="E97" s="134">
        <v>519</v>
      </c>
      <c r="F97" s="142" t="str">
        <f>VLOOKUP(E97,VIP!$A$2:$O14297,2,0)</f>
        <v>DRBR519</v>
      </c>
      <c r="G97" s="142" t="str">
        <f>VLOOKUP(E97,'LISTADO ATM'!$A$2:$B$897,2,0)</f>
        <v xml:space="preserve">ATM Plaza Estrella (Bávaro) </v>
      </c>
      <c r="H97" s="142" t="str">
        <f>VLOOKUP(E97,VIP!$A$2:$O19258,7,FALSE)</f>
        <v>Si</v>
      </c>
      <c r="I97" s="142" t="str">
        <f>VLOOKUP(E97,VIP!$A$2:$O11223,8,FALSE)</f>
        <v>Si</v>
      </c>
      <c r="J97" s="142" t="str">
        <f>VLOOKUP(E97,VIP!$A$2:$O11173,8,FALSE)</f>
        <v>Si</v>
      </c>
      <c r="K97" s="142" t="str">
        <f>VLOOKUP(E97,VIP!$A$2:$O14747,6,0)</f>
        <v>NO</v>
      </c>
      <c r="L97" s="143" t="s">
        <v>2680</v>
      </c>
      <c r="M97" s="99" t="s">
        <v>2445</v>
      </c>
      <c r="N97" s="99" t="s">
        <v>2599</v>
      </c>
      <c r="O97" s="142" t="s">
        <v>2454</v>
      </c>
      <c r="P97" s="142" t="s">
        <v>2716</v>
      </c>
      <c r="Q97" s="99" t="s">
        <v>2680</v>
      </c>
    </row>
    <row r="98" spans="1:17" s="115" customFormat="1" ht="18" x14ac:dyDescent="0.25">
      <c r="A98" s="142" t="str">
        <f>VLOOKUP(E98,'LISTADO ATM'!$A$2:$C$898,3,0)</f>
        <v>NORTE</v>
      </c>
      <c r="B98" s="139" t="s">
        <v>2695</v>
      </c>
      <c r="C98" s="100">
        <v>44390.547766203701</v>
      </c>
      <c r="D98" s="100" t="s">
        <v>2469</v>
      </c>
      <c r="E98" s="134">
        <v>888</v>
      </c>
      <c r="F98" s="142" t="str">
        <f>VLOOKUP(E98,VIP!$A$2:$O14296,2,0)</f>
        <v>DRBR888</v>
      </c>
      <c r="G98" s="142" t="str">
        <f>VLOOKUP(E98,'LISTADO ATM'!$A$2:$B$897,2,0)</f>
        <v>ATM Oficina galeria 56 II (SFM)</v>
      </c>
      <c r="H98" s="142" t="str">
        <f>VLOOKUP(E98,VIP!$A$2:$O19257,7,FALSE)</f>
        <v>Si</v>
      </c>
      <c r="I98" s="142" t="str">
        <f>VLOOKUP(E98,VIP!$A$2:$O11222,8,FALSE)</f>
        <v>Si</v>
      </c>
      <c r="J98" s="142" t="str">
        <f>VLOOKUP(E98,VIP!$A$2:$O11172,8,FALSE)</f>
        <v>Si</v>
      </c>
      <c r="K98" s="142" t="str">
        <f>VLOOKUP(E98,VIP!$A$2:$O14746,6,0)</f>
        <v>SI</v>
      </c>
      <c r="L98" s="143" t="s">
        <v>2441</v>
      </c>
      <c r="M98" s="99" t="s">
        <v>2445</v>
      </c>
      <c r="N98" s="99" t="s">
        <v>2452</v>
      </c>
      <c r="O98" s="142" t="s">
        <v>2660</v>
      </c>
      <c r="P98" s="142"/>
      <c r="Q98" s="99" t="s">
        <v>2441</v>
      </c>
    </row>
    <row r="99" spans="1:17" s="115" customFormat="1" ht="18" x14ac:dyDescent="0.25">
      <c r="A99" s="142" t="str">
        <f>VLOOKUP(E99,'LISTADO ATM'!$A$2:$C$898,3,0)</f>
        <v>NORTE</v>
      </c>
      <c r="B99" s="139" t="s">
        <v>2694</v>
      </c>
      <c r="C99" s="100">
        <v>44390.560474537036</v>
      </c>
      <c r="D99" s="100" t="s">
        <v>2181</v>
      </c>
      <c r="E99" s="134">
        <v>372</v>
      </c>
      <c r="F99" s="142" t="str">
        <f>VLOOKUP(E99,VIP!$A$2:$O14295,2,0)</f>
        <v>DRBR372</v>
      </c>
      <c r="G99" s="142" t="str">
        <f>VLOOKUP(E99,'LISTADO ATM'!$A$2:$B$897,2,0)</f>
        <v>ATM Oficina Sánchez II</v>
      </c>
      <c r="H99" s="142" t="str">
        <f>VLOOKUP(E99,VIP!$A$2:$O19256,7,FALSE)</f>
        <v>N/A</v>
      </c>
      <c r="I99" s="142" t="str">
        <f>VLOOKUP(E99,VIP!$A$2:$O11221,8,FALSE)</f>
        <v>N/A</v>
      </c>
      <c r="J99" s="142" t="str">
        <f>VLOOKUP(E99,VIP!$A$2:$O11171,8,FALSE)</f>
        <v>N/A</v>
      </c>
      <c r="K99" s="142" t="str">
        <f>VLOOKUP(E99,VIP!$A$2:$O14745,6,0)</f>
        <v>N/A</v>
      </c>
      <c r="L99" s="143" t="s">
        <v>2465</v>
      </c>
      <c r="M99" s="99" t="s">
        <v>2445</v>
      </c>
      <c r="N99" s="99" t="s">
        <v>2452</v>
      </c>
      <c r="O99" s="142" t="s">
        <v>2588</v>
      </c>
      <c r="P99" s="142"/>
      <c r="Q99" s="99" t="s">
        <v>2465</v>
      </c>
    </row>
    <row r="100" spans="1:17" s="115" customFormat="1" ht="18" x14ac:dyDescent="0.25">
      <c r="A100" s="142" t="str">
        <f>VLOOKUP(E100,'LISTADO ATM'!$A$2:$C$898,3,0)</f>
        <v>NORTE</v>
      </c>
      <c r="B100" s="139" t="s">
        <v>2693</v>
      </c>
      <c r="C100" s="100">
        <v>44390.565405092595</v>
      </c>
      <c r="D100" s="100" t="s">
        <v>2181</v>
      </c>
      <c r="E100" s="134">
        <v>649</v>
      </c>
      <c r="F100" s="142" t="str">
        <f>VLOOKUP(E100,VIP!$A$2:$O14294,2,0)</f>
        <v>DRBR649</v>
      </c>
      <c r="G100" s="142" t="str">
        <f>VLOOKUP(E100,'LISTADO ATM'!$A$2:$B$897,2,0)</f>
        <v xml:space="preserve">ATM Oficina Galería 56 (San Francisco de Macorís) </v>
      </c>
      <c r="H100" s="142" t="str">
        <f>VLOOKUP(E100,VIP!$A$2:$O19255,7,FALSE)</f>
        <v>Si</v>
      </c>
      <c r="I100" s="142" t="str">
        <f>VLOOKUP(E100,VIP!$A$2:$O11220,8,FALSE)</f>
        <v>Si</v>
      </c>
      <c r="J100" s="142" t="str">
        <f>VLOOKUP(E100,VIP!$A$2:$O11170,8,FALSE)</f>
        <v>Si</v>
      </c>
      <c r="K100" s="142" t="str">
        <f>VLOOKUP(E100,VIP!$A$2:$O14744,6,0)</f>
        <v>SI</v>
      </c>
      <c r="L100" s="143" t="s">
        <v>2465</v>
      </c>
      <c r="M100" s="99" t="s">
        <v>2445</v>
      </c>
      <c r="N100" s="99" t="s">
        <v>2452</v>
      </c>
      <c r="O100" s="142" t="s">
        <v>2588</v>
      </c>
      <c r="P100" s="142"/>
      <c r="Q100" s="99" t="s">
        <v>2465</v>
      </c>
    </row>
    <row r="101" spans="1:17" s="115" customFormat="1" ht="18" x14ac:dyDescent="0.25">
      <c r="A101" s="142" t="str">
        <f>VLOOKUP(E101,'LISTADO ATM'!$A$2:$C$898,3,0)</f>
        <v>NORTE</v>
      </c>
      <c r="B101" s="139" t="s">
        <v>2692</v>
      </c>
      <c r="C101" s="100">
        <v>44390.567986111113</v>
      </c>
      <c r="D101" s="100" t="s">
        <v>2181</v>
      </c>
      <c r="E101" s="134">
        <v>142</v>
      </c>
      <c r="F101" s="142" t="str">
        <f>VLOOKUP(E101,VIP!$A$2:$O14293,2,0)</f>
        <v>DRBR142</v>
      </c>
      <c r="G101" s="142" t="str">
        <f>VLOOKUP(E101,'LISTADO ATM'!$A$2:$B$897,2,0)</f>
        <v xml:space="preserve">ATM Centro de Caja Galerías Bonao </v>
      </c>
      <c r="H101" s="142" t="str">
        <f>VLOOKUP(E101,VIP!$A$2:$O19254,7,FALSE)</f>
        <v>Si</v>
      </c>
      <c r="I101" s="142" t="str">
        <f>VLOOKUP(E101,VIP!$A$2:$O11219,8,FALSE)</f>
        <v>Si</v>
      </c>
      <c r="J101" s="142" t="str">
        <f>VLOOKUP(E101,VIP!$A$2:$O11169,8,FALSE)</f>
        <v>Si</v>
      </c>
      <c r="K101" s="142" t="str">
        <f>VLOOKUP(E101,VIP!$A$2:$O14743,6,0)</f>
        <v>SI</v>
      </c>
      <c r="L101" s="143" t="s">
        <v>2465</v>
      </c>
      <c r="M101" s="157" t="s">
        <v>2545</v>
      </c>
      <c r="N101" s="99" t="s">
        <v>2452</v>
      </c>
      <c r="O101" s="142" t="s">
        <v>2708</v>
      </c>
      <c r="P101" s="142"/>
      <c r="Q101" s="156">
        <v>44390.782638888886</v>
      </c>
    </row>
    <row r="102" spans="1:17" s="115" customFormat="1" ht="18" x14ac:dyDescent="0.25">
      <c r="A102" s="142" t="str">
        <f>VLOOKUP(E102,'LISTADO ATM'!$A$2:$C$898,3,0)</f>
        <v>NORTE</v>
      </c>
      <c r="B102" s="139" t="s">
        <v>2691</v>
      </c>
      <c r="C102" s="100">
        <v>44390.57199074074</v>
      </c>
      <c r="D102" s="100" t="s">
        <v>2181</v>
      </c>
      <c r="E102" s="134">
        <v>965</v>
      </c>
      <c r="F102" s="142" t="str">
        <f>VLOOKUP(E102,VIP!$A$2:$O14292,2,0)</f>
        <v>DRBR965</v>
      </c>
      <c r="G102" s="142" t="str">
        <f>VLOOKUP(E102,'LISTADO ATM'!$A$2:$B$897,2,0)</f>
        <v xml:space="preserve">ATM S/M La Fuente FUN (Santiago) </v>
      </c>
      <c r="H102" s="142" t="str">
        <f>VLOOKUP(E102,VIP!$A$2:$O19253,7,FALSE)</f>
        <v>Si</v>
      </c>
      <c r="I102" s="142" t="str">
        <f>VLOOKUP(E102,VIP!$A$2:$O11218,8,FALSE)</f>
        <v>Si</v>
      </c>
      <c r="J102" s="142" t="str">
        <f>VLOOKUP(E102,VIP!$A$2:$O11168,8,FALSE)</f>
        <v>Si</v>
      </c>
      <c r="K102" s="142" t="str">
        <f>VLOOKUP(E102,VIP!$A$2:$O14742,6,0)</f>
        <v>NO</v>
      </c>
      <c r="L102" s="143" t="s">
        <v>2465</v>
      </c>
      <c r="M102" s="157" t="s">
        <v>2545</v>
      </c>
      <c r="N102" s="99" t="s">
        <v>2452</v>
      </c>
      <c r="O102" s="142" t="s">
        <v>2588</v>
      </c>
      <c r="P102" s="142"/>
      <c r="Q102" s="156">
        <v>44390.78125</v>
      </c>
    </row>
    <row r="103" spans="1:17" s="115" customFormat="1" ht="18" x14ac:dyDescent="0.25">
      <c r="A103" s="142" t="str">
        <f>VLOOKUP(E103,'LISTADO ATM'!$A$2:$C$898,3,0)</f>
        <v>DISTRITO NACIONAL</v>
      </c>
      <c r="B103" s="139" t="s">
        <v>2690</v>
      </c>
      <c r="C103" s="100">
        <v>44390.573148148149</v>
      </c>
      <c r="D103" s="100" t="s">
        <v>2180</v>
      </c>
      <c r="E103" s="134">
        <v>938</v>
      </c>
      <c r="F103" s="142" t="str">
        <f>VLOOKUP(E103,VIP!$A$2:$O14291,2,0)</f>
        <v>DRBR938</v>
      </c>
      <c r="G103" s="142" t="str">
        <f>VLOOKUP(E103,'LISTADO ATM'!$A$2:$B$897,2,0)</f>
        <v xml:space="preserve">ATM Autobanco Oficina Filadelfia Plaza </v>
      </c>
      <c r="H103" s="142" t="str">
        <f>VLOOKUP(E103,VIP!$A$2:$O19252,7,FALSE)</f>
        <v>Si</v>
      </c>
      <c r="I103" s="142" t="str">
        <f>VLOOKUP(E103,VIP!$A$2:$O11217,8,FALSE)</f>
        <v>Si</v>
      </c>
      <c r="J103" s="142" t="str">
        <f>VLOOKUP(E103,VIP!$A$2:$O11167,8,FALSE)</f>
        <v>Si</v>
      </c>
      <c r="K103" s="142" t="str">
        <f>VLOOKUP(E103,VIP!$A$2:$O14741,6,0)</f>
        <v>NO</v>
      </c>
      <c r="L103" s="143" t="s">
        <v>2465</v>
      </c>
      <c r="M103" s="157" t="s">
        <v>2545</v>
      </c>
      <c r="N103" s="99" t="s">
        <v>2452</v>
      </c>
      <c r="O103" s="142" t="s">
        <v>2454</v>
      </c>
      <c r="P103" s="142"/>
      <c r="Q103" s="156">
        <v>44390.775694444441</v>
      </c>
    </row>
    <row r="104" spans="1:17" s="115" customFormat="1" ht="18" x14ac:dyDescent="0.25">
      <c r="A104" s="142" t="str">
        <f>VLOOKUP(E104,'LISTADO ATM'!$A$2:$C$898,3,0)</f>
        <v>NORTE</v>
      </c>
      <c r="B104" s="139" t="s">
        <v>2689</v>
      </c>
      <c r="C104" s="100">
        <v>44390.574675925927</v>
      </c>
      <c r="D104" s="100" t="s">
        <v>2181</v>
      </c>
      <c r="E104" s="134">
        <v>373</v>
      </c>
      <c r="F104" s="142" t="str">
        <f>VLOOKUP(E104,VIP!$A$2:$O14290,2,0)</f>
        <v>DRBR373</v>
      </c>
      <c r="G104" s="142" t="str">
        <f>VLOOKUP(E104,'LISTADO ATM'!$A$2:$B$897,2,0)</f>
        <v>S/M Tangui Nagua</v>
      </c>
      <c r="H104" s="142" t="str">
        <f>VLOOKUP(E104,VIP!$A$2:$O19251,7,FALSE)</f>
        <v>N/A</v>
      </c>
      <c r="I104" s="142" t="str">
        <f>VLOOKUP(E104,VIP!$A$2:$O11216,8,FALSE)</f>
        <v>N/A</v>
      </c>
      <c r="J104" s="142" t="str">
        <f>VLOOKUP(E104,VIP!$A$2:$O11166,8,FALSE)</f>
        <v>N/A</v>
      </c>
      <c r="K104" s="142" t="str">
        <f>VLOOKUP(E104,VIP!$A$2:$O14740,6,0)</f>
        <v>N/A</v>
      </c>
      <c r="L104" s="143" t="s">
        <v>2465</v>
      </c>
      <c r="M104" s="99" t="s">
        <v>2445</v>
      </c>
      <c r="N104" s="99" t="s">
        <v>2452</v>
      </c>
      <c r="O104" s="142" t="s">
        <v>2588</v>
      </c>
      <c r="P104" s="142"/>
      <c r="Q104" s="99" t="s">
        <v>2465</v>
      </c>
    </row>
    <row r="105" spans="1:17" s="115" customFormat="1" ht="18" x14ac:dyDescent="0.25">
      <c r="A105" s="142" t="str">
        <f>VLOOKUP(E105,'LISTADO ATM'!$A$2:$C$898,3,0)</f>
        <v>DISTRITO NACIONAL</v>
      </c>
      <c r="B105" s="139" t="s">
        <v>2688</v>
      </c>
      <c r="C105" s="100">
        <v>44390.577511574076</v>
      </c>
      <c r="D105" s="100" t="s">
        <v>2180</v>
      </c>
      <c r="E105" s="134">
        <v>980</v>
      </c>
      <c r="F105" s="142" t="str">
        <f>VLOOKUP(E105,VIP!$A$2:$O14289,2,0)</f>
        <v>DRBR980</v>
      </c>
      <c r="G105" s="142" t="str">
        <f>VLOOKUP(E105,'LISTADO ATM'!$A$2:$B$897,2,0)</f>
        <v xml:space="preserve">ATM Oficina Bella Vista Mall II </v>
      </c>
      <c r="H105" s="142" t="str">
        <f>VLOOKUP(E105,VIP!$A$2:$O19250,7,FALSE)</f>
        <v>Si</v>
      </c>
      <c r="I105" s="142" t="str">
        <f>VLOOKUP(E105,VIP!$A$2:$O11215,8,FALSE)</f>
        <v>Si</v>
      </c>
      <c r="J105" s="142" t="str">
        <f>VLOOKUP(E105,VIP!$A$2:$O11165,8,FALSE)</f>
        <v>Si</v>
      </c>
      <c r="K105" s="142" t="str">
        <f>VLOOKUP(E105,VIP!$A$2:$O14739,6,0)</f>
        <v>NO</v>
      </c>
      <c r="L105" s="143" t="s">
        <v>2465</v>
      </c>
      <c r="M105" s="157" t="s">
        <v>2545</v>
      </c>
      <c r="N105" s="99" t="s">
        <v>2452</v>
      </c>
      <c r="O105" s="142" t="s">
        <v>2454</v>
      </c>
      <c r="P105" s="142"/>
      <c r="Q105" s="156">
        <v>44390.779861111114</v>
      </c>
    </row>
    <row r="106" spans="1:17" s="115" customFormat="1" ht="18" x14ac:dyDescent="0.25">
      <c r="A106" s="142" t="str">
        <f>VLOOKUP(E106,'LISTADO ATM'!$A$2:$C$898,3,0)</f>
        <v>DISTRITO NACIONAL</v>
      </c>
      <c r="B106" s="139" t="s">
        <v>2687</v>
      </c>
      <c r="C106" s="100">
        <v>44390.579953703702</v>
      </c>
      <c r="D106" s="100" t="s">
        <v>2180</v>
      </c>
      <c r="E106" s="134">
        <v>149</v>
      </c>
      <c r="F106" s="142" t="str">
        <f>VLOOKUP(E106,VIP!$A$2:$O14288,2,0)</f>
        <v>DRBR149</v>
      </c>
      <c r="G106" s="142" t="str">
        <f>VLOOKUP(E106,'LISTADO ATM'!$A$2:$B$897,2,0)</f>
        <v>ATM Estación Metro Concepción</v>
      </c>
      <c r="H106" s="142" t="str">
        <f>VLOOKUP(E106,VIP!$A$2:$O19249,7,FALSE)</f>
        <v>N/A</v>
      </c>
      <c r="I106" s="142" t="str">
        <f>VLOOKUP(E106,VIP!$A$2:$O11214,8,FALSE)</f>
        <v>N/A</v>
      </c>
      <c r="J106" s="142" t="str">
        <f>VLOOKUP(E106,VIP!$A$2:$O11164,8,FALSE)</f>
        <v>N/A</v>
      </c>
      <c r="K106" s="142" t="str">
        <f>VLOOKUP(E106,VIP!$A$2:$O14738,6,0)</f>
        <v>N/A</v>
      </c>
      <c r="L106" s="143" t="s">
        <v>2465</v>
      </c>
      <c r="M106" s="157" t="s">
        <v>2545</v>
      </c>
      <c r="N106" s="99" t="s">
        <v>2452</v>
      </c>
      <c r="O106" s="142" t="s">
        <v>2454</v>
      </c>
      <c r="P106" s="142"/>
      <c r="Q106" s="156">
        <v>44390.782638888886</v>
      </c>
    </row>
    <row r="107" spans="1:17" s="115" customFormat="1" ht="18" x14ac:dyDescent="0.25">
      <c r="A107" s="142" t="str">
        <f>VLOOKUP(E107,'LISTADO ATM'!$A$2:$C$898,3,0)</f>
        <v>DISTRITO NACIONAL</v>
      </c>
      <c r="B107" s="139" t="s">
        <v>2686</v>
      </c>
      <c r="C107" s="100">
        <v>44390.602141203701</v>
      </c>
      <c r="D107" s="100" t="s">
        <v>2180</v>
      </c>
      <c r="E107" s="134">
        <v>865</v>
      </c>
      <c r="F107" s="142" t="str">
        <f>VLOOKUP(E107,VIP!$A$2:$O14287,2,0)</f>
        <v>DRBR865</v>
      </c>
      <c r="G107" s="142" t="str">
        <f>VLOOKUP(E107,'LISTADO ATM'!$A$2:$B$897,2,0)</f>
        <v xml:space="preserve">ATM Club Naco </v>
      </c>
      <c r="H107" s="142" t="str">
        <f>VLOOKUP(E107,VIP!$A$2:$O19248,7,FALSE)</f>
        <v>Si</v>
      </c>
      <c r="I107" s="142" t="str">
        <f>VLOOKUP(E107,VIP!$A$2:$O11213,8,FALSE)</f>
        <v>Si</v>
      </c>
      <c r="J107" s="142" t="str">
        <f>VLOOKUP(E107,VIP!$A$2:$O11163,8,FALSE)</f>
        <v>Si</v>
      </c>
      <c r="K107" s="142" t="str">
        <f>VLOOKUP(E107,VIP!$A$2:$O14737,6,0)</f>
        <v>NO</v>
      </c>
      <c r="L107" s="143" t="s">
        <v>2680</v>
      </c>
      <c r="M107" s="157" t="s">
        <v>2545</v>
      </c>
      <c r="N107" s="99" t="s">
        <v>2452</v>
      </c>
      <c r="O107" s="142" t="s">
        <v>2707</v>
      </c>
      <c r="P107" s="142"/>
      <c r="Q107" s="156">
        <v>44390.772916666669</v>
      </c>
    </row>
    <row r="108" spans="1:17" s="115" customFormat="1" ht="18" x14ac:dyDescent="0.25">
      <c r="A108" s="142" t="str">
        <f>VLOOKUP(E108,'LISTADO ATM'!$A$2:$C$898,3,0)</f>
        <v>NORTE</v>
      </c>
      <c r="B108" s="139" t="s">
        <v>2685</v>
      </c>
      <c r="C108" s="100">
        <v>44390.61142361111</v>
      </c>
      <c r="D108" s="100" t="s">
        <v>2469</v>
      </c>
      <c r="E108" s="134">
        <v>151</v>
      </c>
      <c r="F108" s="142" t="str">
        <f>VLOOKUP(E108,VIP!$A$2:$O14286,2,0)</f>
        <v>DRBR151</v>
      </c>
      <c r="G108" s="142" t="str">
        <f>VLOOKUP(E108,'LISTADO ATM'!$A$2:$B$897,2,0)</f>
        <v xml:space="preserve">ATM Oficina Nagua </v>
      </c>
      <c r="H108" s="142" t="str">
        <f>VLOOKUP(E108,VIP!$A$2:$O19247,7,FALSE)</f>
        <v>Si</v>
      </c>
      <c r="I108" s="142" t="str">
        <f>VLOOKUP(E108,VIP!$A$2:$O11212,8,FALSE)</f>
        <v>Si</v>
      </c>
      <c r="J108" s="142" t="str">
        <f>VLOOKUP(E108,VIP!$A$2:$O11162,8,FALSE)</f>
        <v>Si</v>
      </c>
      <c r="K108" s="142" t="str">
        <f>VLOOKUP(E108,VIP!$A$2:$O14736,6,0)</f>
        <v>SI</v>
      </c>
      <c r="L108" s="143" t="s">
        <v>2417</v>
      </c>
      <c r="M108" s="157" t="s">
        <v>2545</v>
      </c>
      <c r="N108" s="99" t="s">
        <v>2452</v>
      </c>
      <c r="O108" s="142" t="s">
        <v>2660</v>
      </c>
      <c r="P108" s="142"/>
      <c r="Q108" s="156">
        <v>44390.777777777781</v>
      </c>
    </row>
    <row r="109" spans="1:17" s="115" customFormat="1" ht="18" x14ac:dyDescent="0.25">
      <c r="A109" s="142" t="str">
        <f>VLOOKUP(E109,'LISTADO ATM'!$A$2:$C$898,3,0)</f>
        <v>DISTRITO NACIONAL</v>
      </c>
      <c r="B109" s="139" t="s">
        <v>2723</v>
      </c>
      <c r="C109" s="100">
        <v>44390.649537037039</v>
      </c>
      <c r="D109" s="100" t="s">
        <v>2180</v>
      </c>
      <c r="E109" s="134">
        <v>473</v>
      </c>
      <c r="F109" s="142" t="str">
        <f>VLOOKUP(E109,VIP!$A$2:$O14293,2,0)</f>
        <v>DRBR473</v>
      </c>
      <c r="G109" s="142" t="str">
        <f>VLOOKUP(E109,'LISTADO ATM'!$A$2:$B$897,2,0)</f>
        <v xml:space="preserve">ATM Oficina Carrefour II </v>
      </c>
      <c r="H109" s="142" t="str">
        <f>VLOOKUP(E109,VIP!$A$2:$O19254,7,FALSE)</f>
        <v>Si</v>
      </c>
      <c r="I109" s="142" t="str">
        <f>VLOOKUP(E109,VIP!$A$2:$O11219,8,FALSE)</f>
        <v>Si</v>
      </c>
      <c r="J109" s="142" t="str">
        <f>VLOOKUP(E109,VIP!$A$2:$O11169,8,FALSE)</f>
        <v>Si</v>
      </c>
      <c r="K109" s="142" t="str">
        <f>VLOOKUP(E109,VIP!$A$2:$O14743,6,0)</f>
        <v>NO</v>
      </c>
      <c r="L109" s="143" t="s">
        <v>2219</v>
      </c>
      <c r="M109" s="99" t="s">
        <v>2445</v>
      </c>
      <c r="N109" s="99" t="s">
        <v>2452</v>
      </c>
      <c r="O109" s="142" t="s">
        <v>2454</v>
      </c>
      <c r="P109" s="142"/>
      <c r="Q109" s="99" t="s">
        <v>2219</v>
      </c>
    </row>
    <row r="110" spans="1:17" s="115" customFormat="1" ht="18" x14ac:dyDescent="0.25">
      <c r="A110" s="142" t="str">
        <f>VLOOKUP(E110,'LISTADO ATM'!$A$2:$C$898,3,0)</f>
        <v>DISTRITO NACIONAL</v>
      </c>
      <c r="B110" s="139" t="s">
        <v>2722</v>
      </c>
      <c r="C110" s="100">
        <v>44390.650266203702</v>
      </c>
      <c r="D110" s="100" t="s">
        <v>2180</v>
      </c>
      <c r="E110" s="134">
        <v>237</v>
      </c>
      <c r="F110" s="142" t="str">
        <f>VLOOKUP(E110,VIP!$A$2:$O14292,2,0)</f>
        <v>DRBR237</v>
      </c>
      <c r="G110" s="142" t="str">
        <f>VLOOKUP(E110,'LISTADO ATM'!$A$2:$B$897,2,0)</f>
        <v xml:space="preserve">ATM UNP Plaza Vásquez </v>
      </c>
      <c r="H110" s="142" t="str">
        <f>VLOOKUP(E110,VIP!$A$2:$O19253,7,FALSE)</f>
        <v>Si</v>
      </c>
      <c r="I110" s="142" t="str">
        <f>VLOOKUP(E110,VIP!$A$2:$O11218,8,FALSE)</f>
        <v>Si</v>
      </c>
      <c r="J110" s="142" t="str">
        <f>VLOOKUP(E110,VIP!$A$2:$O11168,8,FALSE)</f>
        <v>Si</v>
      </c>
      <c r="K110" s="142" t="str">
        <f>VLOOKUP(E110,VIP!$A$2:$O14742,6,0)</f>
        <v>SI</v>
      </c>
      <c r="L110" s="143" t="s">
        <v>2219</v>
      </c>
      <c r="M110" s="99" t="s">
        <v>2445</v>
      </c>
      <c r="N110" s="99" t="s">
        <v>2452</v>
      </c>
      <c r="O110" s="142" t="s">
        <v>2454</v>
      </c>
      <c r="P110" s="142"/>
      <c r="Q110" s="99" t="s">
        <v>2219</v>
      </c>
    </row>
    <row r="111" spans="1:17" s="115" customFormat="1" ht="18" x14ac:dyDescent="0.25">
      <c r="A111" s="142" t="str">
        <f>VLOOKUP(E111,'LISTADO ATM'!$A$2:$C$898,3,0)</f>
        <v>DISTRITO NACIONAL</v>
      </c>
      <c r="B111" s="139" t="s">
        <v>2721</v>
      </c>
      <c r="C111" s="100">
        <v>44390.651053240741</v>
      </c>
      <c r="D111" s="100" t="s">
        <v>2180</v>
      </c>
      <c r="E111" s="134">
        <v>522</v>
      </c>
      <c r="F111" s="142" t="str">
        <f>VLOOKUP(E111,VIP!$A$2:$O14291,2,0)</f>
        <v>DRBR522</v>
      </c>
      <c r="G111" s="142" t="str">
        <f>VLOOKUP(E111,'LISTADO ATM'!$A$2:$B$897,2,0)</f>
        <v xml:space="preserve">ATM Oficina Galería 360 </v>
      </c>
      <c r="H111" s="142" t="str">
        <f>VLOOKUP(E111,VIP!$A$2:$O19252,7,FALSE)</f>
        <v>Si</v>
      </c>
      <c r="I111" s="142" t="str">
        <f>VLOOKUP(E111,VIP!$A$2:$O11217,8,FALSE)</f>
        <v>Si</v>
      </c>
      <c r="J111" s="142" t="str">
        <f>VLOOKUP(E111,VIP!$A$2:$O11167,8,FALSE)</f>
        <v>Si</v>
      </c>
      <c r="K111" s="142" t="str">
        <f>VLOOKUP(E111,VIP!$A$2:$O14741,6,0)</f>
        <v>SI</v>
      </c>
      <c r="L111" s="143" t="s">
        <v>2219</v>
      </c>
      <c r="M111" s="99" t="s">
        <v>2445</v>
      </c>
      <c r="N111" s="99" t="s">
        <v>2599</v>
      </c>
      <c r="O111" s="142" t="s">
        <v>2454</v>
      </c>
      <c r="P111" s="142"/>
      <c r="Q111" s="99" t="s">
        <v>2219</v>
      </c>
    </row>
    <row r="112" spans="1:17" s="115" customFormat="1" ht="18" x14ac:dyDescent="0.25">
      <c r="A112" s="142" t="str">
        <f>VLOOKUP(E112,'LISTADO ATM'!$A$2:$C$898,3,0)</f>
        <v>DISTRITO NACIONAL</v>
      </c>
      <c r="B112" s="139" t="s">
        <v>2720</v>
      </c>
      <c r="C112" s="100">
        <v>44390.651643518519</v>
      </c>
      <c r="D112" s="100" t="s">
        <v>2180</v>
      </c>
      <c r="E112" s="134">
        <v>34</v>
      </c>
      <c r="F112" s="142" t="str">
        <f>VLOOKUP(E112,VIP!$A$2:$O14290,2,0)</f>
        <v>DRBR034</v>
      </c>
      <c r="G112" s="142" t="str">
        <f>VLOOKUP(E112,'LISTADO ATM'!$A$2:$B$897,2,0)</f>
        <v xml:space="preserve">ATM Plaza de la Salud </v>
      </c>
      <c r="H112" s="142" t="str">
        <f>VLOOKUP(E112,VIP!$A$2:$O19251,7,FALSE)</f>
        <v>Si</v>
      </c>
      <c r="I112" s="142" t="str">
        <f>VLOOKUP(E112,VIP!$A$2:$O11216,8,FALSE)</f>
        <v>Si</v>
      </c>
      <c r="J112" s="142" t="str">
        <f>VLOOKUP(E112,VIP!$A$2:$O11166,8,FALSE)</f>
        <v>Si</v>
      </c>
      <c r="K112" s="142" t="str">
        <f>VLOOKUP(E112,VIP!$A$2:$O14740,6,0)</f>
        <v>NO</v>
      </c>
      <c r="L112" s="143" t="s">
        <v>2245</v>
      </c>
      <c r="M112" s="99" t="s">
        <v>2445</v>
      </c>
      <c r="N112" s="99" t="s">
        <v>2599</v>
      </c>
      <c r="O112" s="142" t="s">
        <v>2454</v>
      </c>
      <c r="P112" s="142"/>
      <c r="Q112" s="99" t="s">
        <v>2245</v>
      </c>
    </row>
    <row r="113" spans="1:17" s="115" customFormat="1" ht="18" x14ac:dyDescent="0.25">
      <c r="A113" s="142" t="str">
        <f>VLOOKUP(E113,'LISTADO ATM'!$A$2:$C$898,3,0)</f>
        <v>DISTRITO NACIONAL</v>
      </c>
      <c r="B113" s="139" t="s">
        <v>2719</v>
      </c>
      <c r="C113" s="100">
        <v>44390.652928240743</v>
      </c>
      <c r="D113" s="100" t="s">
        <v>2180</v>
      </c>
      <c r="E113" s="134">
        <v>224</v>
      </c>
      <c r="F113" s="142" t="str">
        <f>VLOOKUP(E113,VIP!$A$2:$O14289,2,0)</f>
        <v>DRBR224</v>
      </c>
      <c r="G113" s="142" t="str">
        <f>VLOOKUP(E113,'LISTADO ATM'!$A$2:$B$897,2,0)</f>
        <v xml:space="preserve">ATM S/M Nacional El Millón (Núñez de Cáceres) </v>
      </c>
      <c r="H113" s="142" t="str">
        <f>VLOOKUP(E113,VIP!$A$2:$O19250,7,FALSE)</f>
        <v>Si</v>
      </c>
      <c r="I113" s="142" t="str">
        <f>VLOOKUP(E113,VIP!$A$2:$O11215,8,FALSE)</f>
        <v>Si</v>
      </c>
      <c r="J113" s="142" t="str">
        <f>VLOOKUP(E113,VIP!$A$2:$O11165,8,FALSE)</f>
        <v>Si</v>
      </c>
      <c r="K113" s="142" t="str">
        <f>VLOOKUP(E113,VIP!$A$2:$O14739,6,0)</f>
        <v>SI</v>
      </c>
      <c r="L113" s="143" t="s">
        <v>2219</v>
      </c>
      <c r="M113" s="99" t="s">
        <v>2445</v>
      </c>
      <c r="N113" s="99" t="s">
        <v>2599</v>
      </c>
      <c r="O113" s="142" t="s">
        <v>2454</v>
      </c>
      <c r="P113" s="142"/>
      <c r="Q113" s="99" t="s">
        <v>2219</v>
      </c>
    </row>
    <row r="114" spans="1:17" s="115" customFormat="1" ht="18" x14ac:dyDescent="0.25">
      <c r="A114" s="142" t="str">
        <f>VLOOKUP(E114,'LISTADO ATM'!$A$2:$C$898,3,0)</f>
        <v>DISTRITO NACIONAL</v>
      </c>
      <c r="B114" s="139" t="s">
        <v>2718</v>
      </c>
      <c r="C114" s="100">
        <v>44390.654374999998</v>
      </c>
      <c r="D114" s="100" t="s">
        <v>2448</v>
      </c>
      <c r="E114" s="134">
        <v>336</v>
      </c>
      <c r="F114" s="142" t="str">
        <f>VLOOKUP(E114,VIP!$A$2:$O14288,2,0)</f>
        <v>DRBR336</v>
      </c>
      <c r="G114" s="142" t="str">
        <f>VLOOKUP(E114,'LISTADO ATM'!$A$2:$B$897,2,0)</f>
        <v>ATM Instituto Nacional de Cancer (incart)</v>
      </c>
      <c r="H114" s="142" t="str">
        <f>VLOOKUP(E114,VIP!$A$2:$O19249,7,FALSE)</f>
        <v>Si</v>
      </c>
      <c r="I114" s="142" t="str">
        <f>VLOOKUP(E114,VIP!$A$2:$O11214,8,FALSE)</f>
        <v>Si</v>
      </c>
      <c r="J114" s="142" t="str">
        <f>VLOOKUP(E114,VIP!$A$2:$O11164,8,FALSE)</f>
        <v>Si</v>
      </c>
      <c r="K114" s="142" t="str">
        <f>VLOOKUP(E114,VIP!$A$2:$O14738,6,0)</f>
        <v>NO</v>
      </c>
      <c r="L114" s="143" t="s">
        <v>2724</v>
      </c>
      <c r="M114" s="99" t="s">
        <v>2445</v>
      </c>
      <c r="N114" s="99" t="s">
        <v>2452</v>
      </c>
      <c r="O114" s="142" t="s">
        <v>2453</v>
      </c>
      <c r="P114" s="142"/>
      <c r="Q114" s="99" t="s">
        <v>2724</v>
      </c>
    </row>
    <row r="115" spans="1:17" s="115" customFormat="1" ht="18" x14ac:dyDescent="0.25">
      <c r="A115" s="142" t="str">
        <f>VLOOKUP(E115,'LISTADO ATM'!$A$2:$C$898,3,0)</f>
        <v>ESTE</v>
      </c>
      <c r="B115" s="139" t="s">
        <v>2717</v>
      </c>
      <c r="C115" s="100">
        <v>44390.657546296294</v>
      </c>
      <c r="D115" s="100" t="s">
        <v>2180</v>
      </c>
      <c r="E115" s="134">
        <v>830</v>
      </c>
      <c r="F115" s="142" t="str">
        <f>VLOOKUP(E115,VIP!$A$2:$O14287,2,0)</f>
        <v>DRBR830</v>
      </c>
      <c r="G115" s="142" t="str">
        <f>VLOOKUP(E115,'LISTADO ATM'!$A$2:$B$897,2,0)</f>
        <v xml:space="preserve">ATM UNP Sabana Grande de Boyá </v>
      </c>
      <c r="H115" s="142" t="str">
        <f>VLOOKUP(E115,VIP!$A$2:$O19248,7,FALSE)</f>
        <v>Si</v>
      </c>
      <c r="I115" s="142" t="str">
        <f>VLOOKUP(E115,VIP!$A$2:$O11213,8,FALSE)</f>
        <v>Si</v>
      </c>
      <c r="J115" s="142" t="str">
        <f>VLOOKUP(E115,VIP!$A$2:$O11163,8,FALSE)</f>
        <v>Si</v>
      </c>
      <c r="K115" s="142" t="str">
        <f>VLOOKUP(E115,VIP!$A$2:$O14737,6,0)</f>
        <v>NO</v>
      </c>
      <c r="L115" s="143" t="s">
        <v>2219</v>
      </c>
      <c r="M115" s="157" t="s">
        <v>2545</v>
      </c>
      <c r="N115" s="99" t="s">
        <v>2599</v>
      </c>
      <c r="O115" s="142" t="s">
        <v>2454</v>
      </c>
      <c r="P115" s="142"/>
      <c r="Q115" s="156">
        <v>44390.759027777778</v>
      </c>
    </row>
    <row r="116" spans="1:17" ht="18" x14ac:dyDescent="0.25">
      <c r="A116" s="142" t="str">
        <f>VLOOKUP(E116,'LISTADO ATM'!$A$2:$C$898,3,0)</f>
        <v>DISTRITO NACIONAL</v>
      </c>
      <c r="B116" s="139" t="s">
        <v>2745</v>
      </c>
      <c r="C116" s="100">
        <v>44390.677986111114</v>
      </c>
      <c r="D116" s="100" t="s">
        <v>2448</v>
      </c>
      <c r="E116" s="134">
        <v>551</v>
      </c>
      <c r="F116" s="142" t="str">
        <f>VLOOKUP(E116,VIP!$A$2:$O14308,2,0)</f>
        <v>DRBR01C</v>
      </c>
      <c r="G116" s="142" t="str">
        <f>VLOOKUP(E116,'LISTADO ATM'!$A$2:$B$897,2,0)</f>
        <v xml:space="preserve">ATM Oficina Padre Castellanos </v>
      </c>
      <c r="H116" s="142" t="str">
        <f>VLOOKUP(E116,VIP!$A$2:$O19269,7,FALSE)</f>
        <v>Si</v>
      </c>
      <c r="I116" s="142" t="str">
        <f>VLOOKUP(E116,VIP!$A$2:$O11234,8,FALSE)</f>
        <v>Si</v>
      </c>
      <c r="J116" s="142" t="str">
        <f>VLOOKUP(E116,VIP!$A$2:$O11184,8,FALSE)</f>
        <v>Si</v>
      </c>
      <c r="K116" s="142" t="str">
        <f>VLOOKUP(E116,VIP!$A$2:$O14758,6,0)</f>
        <v>NO</v>
      </c>
      <c r="L116" s="143" t="s">
        <v>2417</v>
      </c>
      <c r="M116" s="99" t="s">
        <v>2445</v>
      </c>
      <c r="N116" s="99" t="s">
        <v>2452</v>
      </c>
      <c r="O116" s="142" t="s">
        <v>2453</v>
      </c>
      <c r="P116" s="142"/>
      <c r="Q116" s="99" t="s">
        <v>2417</v>
      </c>
    </row>
    <row r="117" spans="1:17" ht="18" x14ac:dyDescent="0.25">
      <c r="A117" s="142" t="str">
        <f>VLOOKUP(E117,'LISTADO ATM'!$A$2:$C$898,3,0)</f>
        <v>ESTE</v>
      </c>
      <c r="B117" s="139" t="s">
        <v>2744</v>
      </c>
      <c r="C117" s="100">
        <v>44390.67895833333</v>
      </c>
      <c r="D117" s="100" t="s">
        <v>2448</v>
      </c>
      <c r="E117" s="134">
        <v>27</v>
      </c>
      <c r="F117" s="142" t="str">
        <f>VLOOKUP(E117,VIP!$A$2:$O14307,2,0)</f>
        <v>DRBR240</v>
      </c>
      <c r="G117" s="142" t="str">
        <f>VLOOKUP(E117,'LISTADO ATM'!$A$2:$B$897,2,0)</f>
        <v>ATM Oficina El Seibo II</v>
      </c>
      <c r="H117" s="142" t="str">
        <f>VLOOKUP(E117,VIP!$A$2:$O19268,7,FALSE)</f>
        <v>Si</v>
      </c>
      <c r="I117" s="142" t="str">
        <f>VLOOKUP(E117,VIP!$A$2:$O11233,8,FALSE)</f>
        <v>Si</v>
      </c>
      <c r="J117" s="142" t="str">
        <f>VLOOKUP(E117,VIP!$A$2:$O11183,8,FALSE)</f>
        <v>Si</v>
      </c>
      <c r="K117" s="142" t="str">
        <f>VLOOKUP(E117,VIP!$A$2:$O14757,6,0)</f>
        <v>NO</v>
      </c>
      <c r="L117" s="143" t="s">
        <v>2417</v>
      </c>
      <c r="M117" s="99" t="s">
        <v>2445</v>
      </c>
      <c r="N117" s="99" t="s">
        <v>2452</v>
      </c>
      <c r="O117" s="142" t="s">
        <v>2453</v>
      </c>
      <c r="P117" s="142"/>
      <c r="Q117" s="99" t="s">
        <v>2417</v>
      </c>
    </row>
    <row r="118" spans="1:17" ht="18" x14ac:dyDescent="0.25">
      <c r="A118" s="142" t="str">
        <f>VLOOKUP(E118,'LISTADO ATM'!$A$2:$C$898,3,0)</f>
        <v>DISTRITO NACIONAL</v>
      </c>
      <c r="B118" s="139" t="s">
        <v>2743</v>
      </c>
      <c r="C118" s="100">
        <v>44390.693368055552</v>
      </c>
      <c r="D118" s="100" t="s">
        <v>2180</v>
      </c>
      <c r="E118" s="134">
        <v>527</v>
      </c>
      <c r="F118" s="142" t="str">
        <f>VLOOKUP(E118,VIP!$A$2:$O14306,2,0)</f>
        <v>DRBR527</v>
      </c>
      <c r="G118" s="142" t="str">
        <f>VLOOKUP(E118,'LISTADO ATM'!$A$2:$B$897,2,0)</f>
        <v>ATM Oficina Zona Oriental II</v>
      </c>
      <c r="H118" s="142" t="str">
        <f>VLOOKUP(E118,VIP!$A$2:$O19267,7,FALSE)</f>
        <v>Si</v>
      </c>
      <c r="I118" s="142" t="str">
        <f>VLOOKUP(E118,VIP!$A$2:$O11232,8,FALSE)</f>
        <v>Si</v>
      </c>
      <c r="J118" s="142" t="str">
        <f>VLOOKUP(E118,VIP!$A$2:$O11182,8,FALSE)</f>
        <v>Si</v>
      </c>
      <c r="K118" s="142" t="str">
        <f>VLOOKUP(E118,VIP!$A$2:$O14756,6,0)</f>
        <v>SI</v>
      </c>
      <c r="L118" s="143" t="s">
        <v>2219</v>
      </c>
      <c r="M118" s="99" t="s">
        <v>2445</v>
      </c>
      <c r="N118" s="99" t="s">
        <v>2452</v>
      </c>
      <c r="O118" s="142" t="s">
        <v>2454</v>
      </c>
      <c r="P118" s="142"/>
      <c r="Q118" s="99" t="s">
        <v>2219</v>
      </c>
    </row>
    <row r="119" spans="1:17" ht="18" x14ac:dyDescent="0.25">
      <c r="A119" s="142" t="str">
        <f>VLOOKUP(E119,'LISTADO ATM'!$A$2:$C$898,3,0)</f>
        <v>NORTE</v>
      </c>
      <c r="B119" s="139" t="s">
        <v>2742</v>
      </c>
      <c r="C119" s="100">
        <v>44390.711597222224</v>
      </c>
      <c r="D119" s="100" t="s">
        <v>2181</v>
      </c>
      <c r="E119" s="134">
        <v>9</v>
      </c>
      <c r="F119" s="142" t="str">
        <f>VLOOKUP(E119,VIP!$A$2:$O14305,2,0)</f>
        <v>DRBR009</v>
      </c>
      <c r="G119" s="142" t="str">
        <f>VLOOKUP(E119,'LISTADO ATM'!$A$2:$B$897,2,0)</f>
        <v>ATM Hispañiola Fresh Fruit</v>
      </c>
      <c r="H119" s="142" t="str">
        <f>VLOOKUP(E119,VIP!$A$2:$O19266,7,FALSE)</f>
        <v>Si</v>
      </c>
      <c r="I119" s="142" t="str">
        <f>VLOOKUP(E119,VIP!$A$2:$O11231,8,FALSE)</f>
        <v>Si</v>
      </c>
      <c r="J119" s="142" t="str">
        <f>VLOOKUP(E119,VIP!$A$2:$O11181,8,FALSE)</f>
        <v>Si</v>
      </c>
      <c r="K119" s="142" t="str">
        <f>VLOOKUP(E119,VIP!$A$2:$O14755,6,0)</f>
        <v>NO</v>
      </c>
      <c r="L119" s="143" t="s">
        <v>2245</v>
      </c>
      <c r="M119" s="99" t="s">
        <v>2445</v>
      </c>
      <c r="N119" s="99" t="s">
        <v>2452</v>
      </c>
      <c r="O119" s="142" t="s">
        <v>2588</v>
      </c>
      <c r="P119" s="142"/>
      <c r="Q119" s="99" t="s">
        <v>2245</v>
      </c>
    </row>
    <row r="120" spans="1:17" ht="18" x14ac:dyDescent="0.25">
      <c r="A120" s="142" t="str">
        <f>VLOOKUP(E120,'LISTADO ATM'!$A$2:$C$898,3,0)</f>
        <v>NORTE</v>
      </c>
      <c r="B120" s="139" t="s">
        <v>2741</v>
      </c>
      <c r="C120" s="100">
        <v>44390.713090277779</v>
      </c>
      <c r="D120" s="100" t="s">
        <v>2181</v>
      </c>
      <c r="E120" s="134">
        <v>894</v>
      </c>
      <c r="F120" s="142" t="str">
        <f>VLOOKUP(E120,VIP!$A$2:$O14304,2,0)</f>
        <v>DRBR894</v>
      </c>
      <c r="G120" s="142" t="str">
        <f>VLOOKUP(E120,'LISTADO ATM'!$A$2:$B$897,2,0)</f>
        <v>ATM Eco Petroleo Estero Hondo</v>
      </c>
      <c r="H120" s="142" t="str">
        <f>VLOOKUP(E120,VIP!$A$2:$O19265,7,FALSE)</f>
        <v>NO</v>
      </c>
      <c r="I120" s="142" t="str">
        <f>VLOOKUP(E120,VIP!$A$2:$O11230,8,FALSE)</f>
        <v>NO</v>
      </c>
      <c r="J120" s="142" t="str">
        <f>VLOOKUP(E120,VIP!$A$2:$O11180,8,FALSE)</f>
        <v>NO</v>
      </c>
      <c r="K120" s="142" t="str">
        <f>VLOOKUP(E120,VIP!$A$2:$O14754,6,0)</f>
        <v>NO</v>
      </c>
      <c r="L120" s="143" t="s">
        <v>2245</v>
      </c>
      <c r="M120" s="99" t="s">
        <v>2445</v>
      </c>
      <c r="N120" s="99" t="s">
        <v>2452</v>
      </c>
      <c r="O120" s="142" t="s">
        <v>2588</v>
      </c>
      <c r="P120" s="142"/>
      <c r="Q120" s="99" t="s">
        <v>2245</v>
      </c>
    </row>
    <row r="121" spans="1:17" ht="18" x14ac:dyDescent="0.25">
      <c r="A121" s="142" t="str">
        <f>VLOOKUP(E121,'LISTADO ATM'!$A$2:$C$898,3,0)</f>
        <v>ESTE</v>
      </c>
      <c r="B121" s="139" t="s">
        <v>2740</v>
      </c>
      <c r="C121" s="100">
        <v>44390.736886574072</v>
      </c>
      <c r="D121" s="100" t="s">
        <v>2180</v>
      </c>
      <c r="E121" s="134">
        <v>795</v>
      </c>
      <c r="F121" s="142" t="str">
        <f>VLOOKUP(E121,VIP!$A$2:$O14303,2,0)</f>
        <v>DRBR795</v>
      </c>
      <c r="G121" s="142" t="str">
        <f>VLOOKUP(E121,'LISTADO ATM'!$A$2:$B$897,2,0)</f>
        <v xml:space="preserve">ATM UNP Guaymate (La Romana) </v>
      </c>
      <c r="H121" s="142" t="str">
        <f>VLOOKUP(E121,VIP!$A$2:$O19264,7,FALSE)</f>
        <v>Si</v>
      </c>
      <c r="I121" s="142" t="str">
        <f>VLOOKUP(E121,VIP!$A$2:$O11229,8,FALSE)</f>
        <v>Si</v>
      </c>
      <c r="J121" s="142" t="str">
        <f>VLOOKUP(E121,VIP!$A$2:$O11179,8,FALSE)</f>
        <v>Si</v>
      </c>
      <c r="K121" s="142" t="str">
        <f>VLOOKUP(E121,VIP!$A$2:$O14753,6,0)</f>
        <v>NO</v>
      </c>
      <c r="L121" s="143" t="s">
        <v>2245</v>
      </c>
      <c r="M121" s="99" t="s">
        <v>2445</v>
      </c>
      <c r="N121" s="99" t="s">
        <v>2452</v>
      </c>
      <c r="O121" s="142" t="s">
        <v>2454</v>
      </c>
      <c r="P121" s="142"/>
      <c r="Q121" s="99" t="s">
        <v>2245</v>
      </c>
    </row>
    <row r="122" spans="1:17" ht="18" x14ac:dyDescent="0.25">
      <c r="A122" s="142" t="str">
        <f>VLOOKUP(E122,'LISTADO ATM'!$A$2:$C$898,3,0)</f>
        <v>DISTRITO NACIONAL</v>
      </c>
      <c r="B122" s="139" t="s">
        <v>2739</v>
      </c>
      <c r="C122" s="100">
        <v>44390.73778935185</v>
      </c>
      <c r="D122" s="100" t="s">
        <v>2180</v>
      </c>
      <c r="E122" s="134">
        <v>113</v>
      </c>
      <c r="F122" s="142" t="str">
        <f>VLOOKUP(E122,VIP!$A$2:$O14302,2,0)</f>
        <v>DRBR113</v>
      </c>
      <c r="G122" s="142" t="str">
        <f>VLOOKUP(E122,'LISTADO ATM'!$A$2:$B$897,2,0)</f>
        <v xml:space="preserve">ATM Autoservicio Atalaya del Mar </v>
      </c>
      <c r="H122" s="142" t="str">
        <f>VLOOKUP(E122,VIP!$A$2:$O19263,7,FALSE)</f>
        <v>Si</v>
      </c>
      <c r="I122" s="142" t="str">
        <f>VLOOKUP(E122,VIP!$A$2:$O11228,8,FALSE)</f>
        <v>No</v>
      </c>
      <c r="J122" s="142" t="str">
        <f>VLOOKUP(E122,VIP!$A$2:$O11178,8,FALSE)</f>
        <v>No</v>
      </c>
      <c r="K122" s="142" t="str">
        <f>VLOOKUP(E122,VIP!$A$2:$O14752,6,0)</f>
        <v>NO</v>
      </c>
      <c r="L122" s="143" t="s">
        <v>2219</v>
      </c>
      <c r="M122" s="99" t="s">
        <v>2445</v>
      </c>
      <c r="N122" s="99" t="s">
        <v>2452</v>
      </c>
      <c r="O122" s="142" t="s">
        <v>2454</v>
      </c>
      <c r="P122" s="142"/>
      <c r="Q122" s="99" t="s">
        <v>2219</v>
      </c>
    </row>
    <row r="123" spans="1:17" ht="18" x14ac:dyDescent="0.25">
      <c r="A123" s="142" t="str">
        <f>VLOOKUP(E123,'LISTADO ATM'!$A$2:$C$898,3,0)</f>
        <v>NORTE</v>
      </c>
      <c r="B123" s="139" t="s">
        <v>2738</v>
      </c>
      <c r="C123" s="100">
        <v>44390.7421875</v>
      </c>
      <c r="D123" s="100" t="s">
        <v>2180</v>
      </c>
      <c r="E123" s="134">
        <v>497</v>
      </c>
      <c r="F123" s="142" t="str">
        <f>VLOOKUP(E123,VIP!$A$2:$O14301,2,0)</f>
        <v>DRBR497</v>
      </c>
      <c r="G123" s="142" t="str">
        <f>VLOOKUP(E123,'LISTADO ATM'!$A$2:$B$897,2,0)</f>
        <v xml:space="preserve">ATM Oficina El Portal II (Santiago) </v>
      </c>
      <c r="H123" s="142" t="str">
        <f>VLOOKUP(E123,VIP!$A$2:$O19262,7,FALSE)</f>
        <v>Si</v>
      </c>
      <c r="I123" s="142" t="str">
        <f>VLOOKUP(E123,VIP!$A$2:$O11227,8,FALSE)</f>
        <v>Si</v>
      </c>
      <c r="J123" s="142" t="str">
        <f>VLOOKUP(E123,VIP!$A$2:$O11177,8,FALSE)</f>
        <v>Si</v>
      </c>
      <c r="K123" s="142" t="str">
        <f>VLOOKUP(E123,VIP!$A$2:$O14751,6,0)</f>
        <v>SI</v>
      </c>
      <c r="L123" s="143" t="s">
        <v>2219</v>
      </c>
      <c r="M123" s="99" t="s">
        <v>2445</v>
      </c>
      <c r="N123" s="99" t="s">
        <v>2452</v>
      </c>
      <c r="O123" s="142" t="s">
        <v>2454</v>
      </c>
      <c r="P123" s="142"/>
      <c r="Q123" s="99" t="s">
        <v>2219</v>
      </c>
    </row>
    <row r="124" spans="1:17" ht="18" x14ac:dyDescent="0.25">
      <c r="A124" s="142" t="str">
        <f>VLOOKUP(E124,'LISTADO ATM'!$A$2:$C$898,3,0)</f>
        <v>NORTE</v>
      </c>
      <c r="B124" s="139" t="s">
        <v>2737</v>
      </c>
      <c r="C124" s="100">
        <v>44390.744571759256</v>
      </c>
      <c r="D124" s="100" t="s">
        <v>2469</v>
      </c>
      <c r="E124" s="134">
        <v>171</v>
      </c>
      <c r="F124" s="142" t="str">
        <f>VLOOKUP(E124,VIP!$A$2:$O14300,2,0)</f>
        <v>DRBR171</v>
      </c>
      <c r="G124" s="142" t="str">
        <f>VLOOKUP(E124,'LISTADO ATM'!$A$2:$B$897,2,0)</f>
        <v xml:space="preserve">ATM Oficina Moca </v>
      </c>
      <c r="H124" s="142" t="str">
        <f>VLOOKUP(E124,VIP!$A$2:$O19261,7,FALSE)</f>
        <v>Si</v>
      </c>
      <c r="I124" s="142" t="str">
        <f>VLOOKUP(E124,VIP!$A$2:$O11226,8,FALSE)</f>
        <v>Si</v>
      </c>
      <c r="J124" s="142" t="str">
        <f>VLOOKUP(E124,VIP!$A$2:$O11176,8,FALSE)</f>
        <v>Si</v>
      </c>
      <c r="K124" s="142" t="str">
        <f>VLOOKUP(E124,VIP!$A$2:$O14750,6,0)</f>
        <v>NO</v>
      </c>
      <c r="L124" s="143" t="s">
        <v>2561</v>
      </c>
      <c r="M124" s="99" t="s">
        <v>2445</v>
      </c>
      <c r="N124" s="99" t="s">
        <v>2452</v>
      </c>
      <c r="O124" s="142" t="s">
        <v>2470</v>
      </c>
      <c r="P124" s="142"/>
      <c r="Q124" s="99" t="s">
        <v>2561</v>
      </c>
    </row>
    <row r="125" spans="1:17" ht="18" x14ac:dyDescent="0.25">
      <c r="A125" s="142" t="str">
        <f>VLOOKUP(E125,'LISTADO ATM'!$A$2:$C$898,3,0)</f>
        <v>DISTRITO NACIONAL</v>
      </c>
      <c r="B125" s="139" t="s">
        <v>2736</v>
      </c>
      <c r="C125" s="100">
        <v>44390.744814814818</v>
      </c>
      <c r="D125" s="100" t="s">
        <v>2180</v>
      </c>
      <c r="E125" s="134">
        <v>476</v>
      </c>
      <c r="F125" s="142" t="str">
        <f>VLOOKUP(E125,VIP!$A$2:$O14299,2,0)</f>
        <v>DRBR476</v>
      </c>
      <c r="G125" s="142" t="str">
        <f>VLOOKUP(E125,'LISTADO ATM'!$A$2:$B$897,2,0)</f>
        <v xml:space="preserve">ATM Multicentro La Sirena Las Caobas </v>
      </c>
      <c r="H125" s="142" t="str">
        <f>VLOOKUP(E125,VIP!$A$2:$O19260,7,FALSE)</f>
        <v>Si</v>
      </c>
      <c r="I125" s="142" t="str">
        <f>VLOOKUP(E125,VIP!$A$2:$O11225,8,FALSE)</f>
        <v>Si</v>
      </c>
      <c r="J125" s="142" t="str">
        <f>VLOOKUP(E125,VIP!$A$2:$O11175,8,FALSE)</f>
        <v>Si</v>
      </c>
      <c r="K125" s="142" t="str">
        <f>VLOOKUP(E125,VIP!$A$2:$O14749,6,0)</f>
        <v>SI</v>
      </c>
      <c r="L125" s="143" t="s">
        <v>2219</v>
      </c>
      <c r="M125" s="99" t="s">
        <v>2445</v>
      </c>
      <c r="N125" s="99" t="s">
        <v>2452</v>
      </c>
      <c r="O125" s="142" t="s">
        <v>2454</v>
      </c>
      <c r="P125" s="142"/>
      <c r="Q125" s="99" t="s">
        <v>2219</v>
      </c>
    </row>
    <row r="126" spans="1:17" ht="18" x14ac:dyDescent="0.25">
      <c r="A126" s="142" t="str">
        <f>VLOOKUP(E126,'LISTADO ATM'!$A$2:$C$898,3,0)</f>
        <v>DISTRITO NACIONAL</v>
      </c>
      <c r="B126" s="139" t="s">
        <v>2735</v>
      </c>
      <c r="C126" s="100">
        <v>44390.745868055557</v>
      </c>
      <c r="D126" s="100" t="s">
        <v>2180</v>
      </c>
      <c r="E126" s="134">
        <v>542</v>
      </c>
      <c r="F126" s="142" t="str">
        <f>VLOOKUP(E126,VIP!$A$2:$O14298,2,0)</f>
        <v>DRBR542</v>
      </c>
      <c r="G126" s="142" t="str">
        <f>VLOOKUP(E126,'LISTADO ATM'!$A$2:$B$897,2,0)</f>
        <v>ATM S/M la Cadena Carretera Mella</v>
      </c>
      <c r="H126" s="142" t="str">
        <f>VLOOKUP(E126,VIP!$A$2:$O19259,7,FALSE)</f>
        <v>NO</v>
      </c>
      <c r="I126" s="142" t="str">
        <f>VLOOKUP(E126,VIP!$A$2:$O11224,8,FALSE)</f>
        <v>SI</v>
      </c>
      <c r="J126" s="142" t="str">
        <f>VLOOKUP(E126,VIP!$A$2:$O11174,8,FALSE)</f>
        <v>SI</v>
      </c>
      <c r="K126" s="142" t="str">
        <f>VLOOKUP(E126,VIP!$A$2:$O14748,6,0)</f>
        <v>NO</v>
      </c>
      <c r="L126" s="143" t="s">
        <v>2219</v>
      </c>
      <c r="M126" s="99" t="s">
        <v>2445</v>
      </c>
      <c r="N126" s="99" t="s">
        <v>2452</v>
      </c>
      <c r="O126" s="142" t="s">
        <v>2454</v>
      </c>
      <c r="P126" s="142"/>
      <c r="Q126" s="99" t="s">
        <v>2219</v>
      </c>
    </row>
    <row r="127" spans="1:17" ht="18" x14ac:dyDescent="0.25">
      <c r="A127" s="142" t="str">
        <f>VLOOKUP(E127,'LISTADO ATM'!$A$2:$C$898,3,0)</f>
        <v>DISTRITO NACIONAL</v>
      </c>
      <c r="B127" s="139" t="s">
        <v>2734</v>
      </c>
      <c r="C127" s="100">
        <v>44390.748865740738</v>
      </c>
      <c r="D127" s="100" t="s">
        <v>2180</v>
      </c>
      <c r="E127" s="134">
        <v>902</v>
      </c>
      <c r="F127" s="142" t="str">
        <f>VLOOKUP(E127,VIP!$A$2:$O14297,2,0)</f>
        <v>DRBR16A</v>
      </c>
      <c r="G127" s="142" t="str">
        <f>VLOOKUP(E127,'LISTADO ATM'!$A$2:$B$897,2,0)</f>
        <v xml:space="preserve">ATM Oficina Plaza Florida </v>
      </c>
      <c r="H127" s="142" t="str">
        <f>VLOOKUP(E127,VIP!$A$2:$O19258,7,FALSE)</f>
        <v>Si</v>
      </c>
      <c r="I127" s="142" t="str">
        <f>VLOOKUP(E127,VIP!$A$2:$O11223,8,FALSE)</f>
        <v>Si</v>
      </c>
      <c r="J127" s="142" t="str">
        <f>VLOOKUP(E127,VIP!$A$2:$O11173,8,FALSE)</f>
        <v>Si</v>
      </c>
      <c r="K127" s="142" t="str">
        <f>VLOOKUP(E127,VIP!$A$2:$O14747,6,0)</f>
        <v>NO</v>
      </c>
      <c r="L127" s="143" t="s">
        <v>2219</v>
      </c>
      <c r="M127" s="99" t="s">
        <v>2445</v>
      </c>
      <c r="N127" s="99" t="s">
        <v>2452</v>
      </c>
      <c r="O127" s="142" t="s">
        <v>2454</v>
      </c>
      <c r="P127" s="142"/>
      <c r="Q127" s="99" t="s">
        <v>2219</v>
      </c>
    </row>
    <row r="128" spans="1:17" ht="18" x14ac:dyDescent="0.25">
      <c r="A128" s="142" t="str">
        <f>VLOOKUP(E128,'LISTADO ATM'!$A$2:$C$898,3,0)</f>
        <v>NORTE</v>
      </c>
      <c r="B128" s="139" t="s">
        <v>2733</v>
      </c>
      <c r="C128" s="100">
        <v>44390.751388888886</v>
      </c>
      <c r="D128" s="100" t="s">
        <v>2181</v>
      </c>
      <c r="E128" s="134">
        <v>411</v>
      </c>
      <c r="F128" s="142" t="str">
        <f>VLOOKUP(E128,VIP!$A$2:$O14296,2,0)</f>
        <v>DRBR411</v>
      </c>
      <c r="G128" s="142" t="str">
        <f>VLOOKUP(E128,'LISTADO ATM'!$A$2:$B$897,2,0)</f>
        <v xml:space="preserve">ATM UNP Piedra Blanca </v>
      </c>
      <c r="H128" s="142" t="str">
        <f>VLOOKUP(E128,VIP!$A$2:$O19257,7,FALSE)</f>
        <v>Si</v>
      </c>
      <c r="I128" s="142" t="str">
        <f>VLOOKUP(E128,VIP!$A$2:$O11222,8,FALSE)</f>
        <v>Si</v>
      </c>
      <c r="J128" s="142" t="str">
        <f>VLOOKUP(E128,VIP!$A$2:$O11172,8,FALSE)</f>
        <v>Si</v>
      </c>
      <c r="K128" s="142" t="str">
        <f>VLOOKUP(E128,VIP!$A$2:$O14746,6,0)</f>
        <v>NO</v>
      </c>
      <c r="L128" s="143" t="s">
        <v>2219</v>
      </c>
      <c r="M128" s="99" t="s">
        <v>2445</v>
      </c>
      <c r="N128" s="99" t="s">
        <v>2452</v>
      </c>
      <c r="O128" s="142" t="s">
        <v>2588</v>
      </c>
      <c r="P128" s="142"/>
      <c r="Q128" s="99" t="s">
        <v>2219</v>
      </c>
    </row>
    <row r="129" spans="1:17" ht="18" x14ac:dyDescent="0.25">
      <c r="A129" s="142" t="str">
        <f>VLOOKUP(E129,'LISTADO ATM'!$A$2:$C$898,3,0)</f>
        <v>DISTRITO NACIONAL</v>
      </c>
      <c r="B129" s="139" t="s">
        <v>2732</v>
      </c>
      <c r="C129" s="100">
        <v>44390.752939814818</v>
      </c>
      <c r="D129" s="100" t="s">
        <v>2180</v>
      </c>
      <c r="E129" s="134">
        <v>487</v>
      </c>
      <c r="F129" s="142" t="str">
        <f>VLOOKUP(E129,VIP!$A$2:$O14295,2,0)</f>
        <v>DRBR487</v>
      </c>
      <c r="G129" s="142" t="str">
        <f>VLOOKUP(E129,'LISTADO ATM'!$A$2:$B$897,2,0)</f>
        <v xml:space="preserve">ATM Olé Hainamosa </v>
      </c>
      <c r="H129" s="142" t="str">
        <f>VLOOKUP(E129,VIP!$A$2:$O19256,7,FALSE)</f>
        <v>Si</v>
      </c>
      <c r="I129" s="142" t="str">
        <f>VLOOKUP(E129,VIP!$A$2:$O11221,8,FALSE)</f>
        <v>Si</v>
      </c>
      <c r="J129" s="142" t="str">
        <f>VLOOKUP(E129,VIP!$A$2:$O11171,8,FALSE)</f>
        <v>Si</v>
      </c>
      <c r="K129" s="142" t="str">
        <f>VLOOKUP(E129,VIP!$A$2:$O14745,6,0)</f>
        <v>SI</v>
      </c>
      <c r="L129" s="143" t="s">
        <v>2219</v>
      </c>
      <c r="M129" s="99" t="s">
        <v>2445</v>
      </c>
      <c r="N129" s="99" t="s">
        <v>2452</v>
      </c>
      <c r="O129" s="142" t="s">
        <v>2454</v>
      </c>
      <c r="P129" s="142"/>
      <c r="Q129" s="99" t="s">
        <v>2219</v>
      </c>
    </row>
    <row r="130" spans="1:17" ht="18" x14ac:dyDescent="0.25">
      <c r="A130" s="142" t="str">
        <f>VLOOKUP(E130,'LISTADO ATM'!$A$2:$C$898,3,0)</f>
        <v>DISTRITO NACIONAL</v>
      </c>
      <c r="B130" s="139" t="s">
        <v>2731</v>
      </c>
      <c r="C130" s="100">
        <v>44390.75304398148</v>
      </c>
      <c r="D130" s="100" t="s">
        <v>2448</v>
      </c>
      <c r="E130" s="134">
        <v>542</v>
      </c>
      <c r="F130" s="142" t="str">
        <f>VLOOKUP(E130,VIP!$A$2:$O14294,2,0)</f>
        <v>DRBR542</v>
      </c>
      <c r="G130" s="142" t="str">
        <f>VLOOKUP(E130,'LISTADO ATM'!$A$2:$B$897,2,0)</f>
        <v>ATM S/M la Cadena Carretera Mella</v>
      </c>
      <c r="H130" s="142" t="str">
        <f>VLOOKUP(E130,VIP!$A$2:$O19255,7,FALSE)</f>
        <v>NO</v>
      </c>
      <c r="I130" s="142" t="str">
        <f>VLOOKUP(E130,VIP!$A$2:$O11220,8,FALSE)</f>
        <v>SI</v>
      </c>
      <c r="J130" s="142" t="str">
        <f>VLOOKUP(E130,VIP!$A$2:$O11170,8,FALSE)</f>
        <v>SI</v>
      </c>
      <c r="K130" s="142" t="str">
        <f>VLOOKUP(E130,VIP!$A$2:$O14744,6,0)</f>
        <v>NO</v>
      </c>
      <c r="L130" s="143" t="s">
        <v>2441</v>
      </c>
      <c r="M130" s="99" t="s">
        <v>2445</v>
      </c>
      <c r="N130" s="99" t="s">
        <v>2452</v>
      </c>
      <c r="O130" s="142" t="s">
        <v>2453</v>
      </c>
      <c r="P130" s="142"/>
      <c r="Q130" s="99" t="s">
        <v>2441</v>
      </c>
    </row>
    <row r="131" spans="1:17" ht="18" x14ac:dyDescent="0.25">
      <c r="A131" s="142" t="str">
        <f>VLOOKUP(E131,'LISTADO ATM'!$A$2:$C$898,3,0)</f>
        <v>DISTRITO NACIONAL</v>
      </c>
      <c r="B131" s="139" t="s">
        <v>2730</v>
      </c>
      <c r="C131" s="100">
        <v>44390.755254629628</v>
      </c>
      <c r="D131" s="100" t="s">
        <v>2448</v>
      </c>
      <c r="E131" s="134">
        <v>149</v>
      </c>
      <c r="F131" s="142" t="str">
        <f>VLOOKUP(E131,VIP!$A$2:$O14293,2,0)</f>
        <v>DRBR149</v>
      </c>
      <c r="G131" s="142" t="str">
        <f>VLOOKUP(E131,'LISTADO ATM'!$A$2:$B$897,2,0)</f>
        <v>ATM Estación Metro Concepción</v>
      </c>
      <c r="H131" s="142" t="str">
        <f>VLOOKUP(E131,VIP!$A$2:$O19254,7,FALSE)</f>
        <v>N/A</v>
      </c>
      <c r="I131" s="142" t="str">
        <f>VLOOKUP(E131,VIP!$A$2:$O11219,8,FALSE)</f>
        <v>N/A</v>
      </c>
      <c r="J131" s="142" t="str">
        <f>VLOOKUP(E131,VIP!$A$2:$O11169,8,FALSE)</f>
        <v>N/A</v>
      </c>
      <c r="K131" s="142" t="str">
        <f>VLOOKUP(E131,VIP!$A$2:$O14743,6,0)</f>
        <v>N/A</v>
      </c>
      <c r="L131" s="143" t="s">
        <v>2441</v>
      </c>
      <c r="M131" s="99" t="s">
        <v>2445</v>
      </c>
      <c r="N131" s="99" t="s">
        <v>2452</v>
      </c>
      <c r="O131" s="142" t="s">
        <v>2453</v>
      </c>
      <c r="P131" s="142"/>
      <c r="Q131" s="99" t="s">
        <v>2441</v>
      </c>
    </row>
    <row r="132" spans="1:17" ht="18" x14ac:dyDescent="0.25">
      <c r="A132" s="142" t="str">
        <f>VLOOKUP(E132,'LISTADO ATM'!$A$2:$C$898,3,0)</f>
        <v>DISTRITO NACIONAL</v>
      </c>
      <c r="B132" s="139" t="s">
        <v>2729</v>
      </c>
      <c r="C132" s="100">
        <v>44390.757152777776</v>
      </c>
      <c r="D132" s="100" t="s">
        <v>2180</v>
      </c>
      <c r="E132" s="134">
        <v>961</v>
      </c>
      <c r="F132" s="142" t="str">
        <f>VLOOKUP(E132,VIP!$A$2:$O14292,2,0)</f>
        <v>DRBR03H</v>
      </c>
      <c r="G132" s="142" t="str">
        <f>VLOOKUP(E132,'LISTADO ATM'!$A$2:$B$897,2,0)</f>
        <v xml:space="preserve">ATM Listín Diario </v>
      </c>
      <c r="H132" s="142" t="str">
        <f>VLOOKUP(E132,VIP!$A$2:$O19253,7,FALSE)</f>
        <v>Si</v>
      </c>
      <c r="I132" s="142" t="str">
        <f>VLOOKUP(E132,VIP!$A$2:$O11218,8,FALSE)</f>
        <v>Si</v>
      </c>
      <c r="J132" s="142" t="str">
        <f>VLOOKUP(E132,VIP!$A$2:$O11168,8,FALSE)</f>
        <v>Si</v>
      </c>
      <c r="K132" s="142" t="str">
        <f>VLOOKUP(E132,VIP!$A$2:$O14742,6,0)</f>
        <v>NO</v>
      </c>
      <c r="L132" s="143" t="s">
        <v>2219</v>
      </c>
      <c r="M132" s="99" t="s">
        <v>2445</v>
      </c>
      <c r="N132" s="99" t="s">
        <v>2452</v>
      </c>
      <c r="O132" s="142" t="s">
        <v>2454</v>
      </c>
      <c r="P132" s="142"/>
      <c r="Q132" s="99" t="s">
        <v>2219</v>
      </c>
    </row>
    <row r="133" spans="1:17" ht="18" x14ac:dyDescent="0.25">
      <c r="A133" s="142" t="str">
        <f>VLOOKUP(E133,'LISTADO ATM'!$A$2:$C$898,3,0)</f>
        <v>DISTRITO NACIONAL</v>
      </c>
      <c r="B133" s="139" t="s">
        <v>2728</v>
      </c>
      <c r="C133" s="100">
        <v>44390.758831018517</v>
      </c>
      <c r="D133" s="100" t="s">
        <v>2180</v>
      </c>
      <c r="E133" s="134">
        <v>719</v>
      </c>
      <c r="F133" s="142" t="str">
        <f>VLOOKUP(E133,VIP!$A$2:$O14291,2,0)</f>
        <v>DRBR419</v>
      </c>
      <c r="G133" s="142" t="str">
        <f>VLOOKUP(E133,'LISTADO ATM'!$A$2:$B$897,2,0)</f>
        <v xml:space="preserve">ATM Ayuntamiento Municipal San Luís </v>
      </c>
      <c r="H133" s="142" t="str">
        <f>VLOOKUP(E133,VIP!$A$2:$O19252,7,FALSE)</f>
        <v>Si</v>
      </c>
      <c r="I133" s="142" t="str">
        <f>VLOOKUP(E133,VIP!$A$2:$O11217,8,FALSE)</f>
        <v>Si</v>
      </c>
      <c r="J133" s="142" t="str">
        <f>VLOOKUP(E133,VIP!$A$2:$O11167,8,FALSE)</f>
        <v>Si</v>
      </c>
      <c r="K133" s="142" t="str">
        <f>VLOOKUP(E133,VIP!$A$2:$O14741,6,0)</f>
        <v>NO</v>
      </c>
      <c r="L133" s="143" t="s">
        <v>2219</v>
      </c>
      <c r="M133" s="99" t="s">
        <v>2445</v>
      </c>
      <c r="N133" s="99" t="s">
        <v>2452</v>
      </c>
      <c r="O133" s="142" t="s">
        <v>2454</v>
      </c>
      <c r="P133" s="142"/>
      <c r="Q133" s="99" t="s">
        <v>2219</v>
      </c>
    </row>
    <row r="134" spans="1:17" ht="18" x14ac:dyDescent="0.25">
      <c r="A134" s="142" t="str">
        <f>VLOOKUP(E134,'LISTADO ATM'!$A$2:$C$898,3,0)</f>
        <v>DISTRITO NACIONAL</v>
      </c>
      <c r="B134" s="139" t="s">
        <v>2727</v>
      </c>
      <c r="C134" s="100">
        <v>44390.759398148148</v>
      </c>
      <c r="D134" s="100" t="s">
        <v>2180</v>
      </c>
      <c r="E134" s="134">
        <v>815</v>
      </c>
      <c r="F134" s="142" t="str">
        <f>VLOOKUP(E134,VIP!$A$2:$O14290,2,0)</f>
        <v>DRBR24A</v>
      </c>
      <c r="G134" s="142" t="str">
        <f>VLOOKUP(E134,'LISTADO ATM'!$A$2:$B$897,2,0)</f>
        <v xml:space="preserve">ATM Oficina Atalaya del Mar </v>
      </c>
      <c r="H134" s="142" t="str">
        <f>VLOOKUP(E134,VIP!$A$2:$O19251,7,FALSE)</f>
        <v>Si</v>
      </c>
      <c r="I134" s="142" t="str">
        <f>VLOOKUP(E134,VIP!$A$2:$O11216,8,FALSE)</f>
        <v>Si</v>
      </c>
      <c r="J134" s="142" t="str">
        <f>VLOOKUP(E134,VIP!$A$2:$O11166,8,FALSE)</f>
        <v>Si</v>
      </c>
      <c r="K134" s="142" t="str">
        <f>VLOOKUP(E134,VIP!$A$2:$O14740,6,0)</f>
        <v>SI</v>
      </c>
      <c r="L134" s="143" t="s">
        <v>2219</v>
      </c>
      <c r="M134" s="99" t="s">
        <v>2445</v>
      </c>
      <c r="N134" s="99" t="s">
        <v>2452</v>
      </c>
      <c r="O134" s="142" t="s">
        <v>2454</v>
      </c>
      <c r="P134" s="142"/>
      <c r="Q134" s="99" t="s">
        <v>2219</v>
      </c>
    </row>
    <row r="135" spans="1:17" ht="18" x14ac:dyDescent="0.25">
      <c r="A135" s="142" t="str">
        <f>VLOOKUP(E135,'LISTADO ATM'!$A$2:$C$898,3,0)</f>
        <v>SUR</v>
      </c>
      <c r="B135" s="139" t="s">
        <v>2726</v>
      </c>
      <c r="C135" s="100">
        <v>44390.764444444445</v>
      </c>
      <c r="D135" s="100" t="s">
        <v>2448</v>
      </c>
      <c r="E135" s="134">
        <v>45</v>
      </c>
      <c r="F135" s="142" t="str">
        <f>VLOOKUP(E135,VIP!$A$2:$O14289,2,0)</f>
        <v>DRBR045</v>
      </c>
      <c r="G135" s="142" t="str">
        <f>VLOOKUP(E135,'LISTADO ATM'!$A$2:$B$897,2,0)</f>
        <v xml:space="preserve">ATM Oficina Tamayo </v>
      </c>
      <c r="H135" s="142" t="str">
        <f>VLOOKUP(E135,VIP!$A$2:$O19250,7,FALSE)</f>
        <v>Si</v>
      </c>
      <c r="I135" s="142" t="str">
        <f>VLOOKUP(E135,VIP!$A$2:$O11215,8,FALSE)</f>
        <v>Si</v>
      </c>
      <c r="J135" s="142" t="str">
        <f>VLOOKUP(E135,VIP!$A$2:$O11165,8,FALSE)</f>
        <v>Si</v>
      </c>
      <c r="K135" s="142" t="str">
        <f>VLOOKUP(E135,VIP!$A$2:$O14739,6,0)</f>
        <v>SI</v>
      </c>
      <c r="L135" s="143" t="s">
        <v>2417</v>
      </c>
      <c r="M135" s="99" t="s">
        <v>2445</v>
      </c>
      <c r="N135" s="99" t="s">
        <v>2452</v>
      </c>
      <c r="O135" s="142" t="s">
        <v>2453</v>
      </c>
      <c r="P135" s="142"/>
      <c r="Q135" s="99" t="s">
        <v>2417</v>
      </c>
    </row>
    <row r="136" spans="1:17" ht="18" x14ac:dyDescent="0.25">
      <c r="A136" s="142" t="str">
        <f>VLOOKUP(E136,'LISTADO ATM'!$A$2:$C$898,3,0)</f>
        <v>SUR</v>
      </c>
      <c r="B136" s="139" t="s">
        <v>2725</v>
      </c>
      <c r="C136" s="100">
        <v>44390.76840277778</v>
      </c>
      <c r="D136" s="100" t="s">
        <v>2180</v>
      </c>
      <c r="E136" s="134">
        <v>249</v>
      </c>
      <c r="F136" s="142" t="str">
        <f>VLOOKUP(E136,VIP!$A$2:$O14288,2,0)</f>
        <v>DRBR249</v>
      </c>
      <c r="G136" s="142" t="str">
        <f>VLOOKUP(E136,'LISTADO ATM'!$A$2:$B$897,2,0)</f>
        <v xml:space="preserve">ATM Banco Agrícola Neiba </v>
      </c>
      <c r="H136" s="142" t="str">
        <f>VLOOKUP(E136,VIP!$A$2:$O19249,7,FALSE)</f>
        <v>Si</v>
      </c>
      <c r="I136" s="142" t="str">
        <f>VLOOKUP(E136,VIP!$A$2:$O11214,8,FALSE)</f>
        <v>Si</v>
      </c>
      <c r="J136" s="142" t="str">
        <f>VLOOKUP(E136,VIP!$A$2:$O11164,8,FALSE)</f>
        <v>Si</v>
      </c>
      <c r="K136" s="142" t="str">
        <f>VLOOKUP(E136,VIP!$A$2:$O14738,6,0)</f>
        <v>NO</v>
      </c>
      <c r="L136" s="143" t="s">
        <v>2465</v>
      </c>
      <c r="M136" s="99" t="s">
        <v>2445</v>
      </c>
      <c r="N136" s="99" t="s">
        <v>2452</v>
      </c>
      <c r="O136" s="142" t="s">
        <v>2454</v>
      </c>
      <c r="P136" s="142"/>
      <c r="Q136" s="99" t="s">
        <v>2465</v>
      </c>
    </row>
    <row r="137" spans="1:17" x14ac:dyDescent="0.25">
      <c r="B137" s="115"/>
    </row>
  </sheetData>
  <autoFilter ref="A4:Q4">
    <sortState ref="A5:Q136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37:B1048576 B1:B77">
    <cfRule type="duplicateValues" dxfId="152" priority="24"/>
  </conditionalFormatting>
  <conditionalFormatting sqref="B78:B82">
    <cfRule type="duplicateValues" dxfId="151" priority="23"/>
  </conditionalFormatting>
  <conditionalFormatting sqref="E137:E1048576 E1:E4 E12:E82">
    <cfRule type="duplicateValues" dxfId="150" priority="22"/>
  </conditionalFormatting>
  <conditionalFormatting sqref="B83:B104">
    <cfRule type="duplicateValues" dxfId="149" priority="21"/>
  </conditionalFormatting>
  <conditionalFormatting sqref="E83:E104">
    <cfRule type="duplicateValues" dxfId="148" priority="20"/>
  </conditionalFormatting>
  <conditionalFormatting sqref="E137:E1048576 E1:E4 E12:E104">
    <cfRule type="duplicateValues" dxfId="147" priority="19"/>
  </conditionalFormatting>
  <conditionalFormatting sqref="B137:B1048576 B1:B104">
    <cfRule type="duplicateValues" dxfId="146" priority="18"/>
  </conditionalFormatting>
  <conditionalFormatting sqref="B105:B108">
    <cfRule type="duplicateValues" dxfId="145" priority="17"/>
  </conditionalFormatting>
  <conditionalFormatting sqref="E105:E108">
    <cfRule type="duplicateValues" dxfId="144" priority="16"/>
  </conditionalFormatting>
  <conditionalFormatting sqref="E105:E108">
    <cfRule type="duplicateValues" dxfId="143" priority="15"/>
  </conditionalFormatting>
  <conditionalFormatting sqref="B105:B108">
    <cfRule type="duplicateValues" dxfId="142" priority="14"/>
  </conditionalFormatting>
  <conditionalFormatting sqref="E137:E1048576 E1:E4 E12:E108">
    <cfRule type="duplicateValues" dxfId="141" priority="13"/>
  </conditionalFormatting>
  <conditionalFormatting sqref="B109:B115">
    <cfRule type="duplicateValues" dxfId="140" priority="12"/>
  </conditionalFormatting>
  <conditionalFormatting sqref="E109:E115">
    <cfRule type="duplicateValues" dxfId="139" priority="11"/>
  </conditionalFormatting>
  <conditionalFormatting sqref="E109:E115">
    <cfRule type="duplicateValues" dxfId="138" priority="10"/>
  </conditionalFormatting>
  <conditionalFormatting sqref="B109:B115">
    <cfRule type="duplicateValues" dxfId="137" priority="9"/>
  </conditionalFormatting>
  <conditionalFormatting sqref="E109:E115">
    <cfRule type="duplicateValues" dxfId="136" priority="8"/>
  </conditionalFormatting>
  <conditionalFormatting sqref="E1:E4 E12:E115 E137:E1048576">
    <cfRule type="duplicateValues" dxfId="135" priority="7"/>
  </conditionalFormatting>
  <conditionalFormatting sqref="B116:B136">
    <cfRule type="duplicateValues" dxfId="5" priority="6"/>
  </conditionalFormatting>
  <conditionalFormatting sqref="E116:E136">
    <cfRule type="duplicateValues" dxfId="4" priority="5"/>
  </conditionalFormatting>
  <conditionalFormatting sqref="E116:E136">
    <cfRule type="duplicateValues" dxfId="3" priority="4"/>
  </conditionalFormatting>
  <conditionalFormatting sqref="B116:B136">
    <cfRule type="duplicateValues" dxfId="2" priority="3"/>
  </conditionalFormatting>
  <conditionalFormatting sqref="E116:E136">
    <cfRule type="duplicateValues" dxfId="1" priority="2"/>
  </conditionalFormatting>
  <conditionalFormatting sqref="E116:E136">
    <cfRule type="duplicateValues" dxfId="0" priority="1"/>
  </conditionalFormatting>
  <hyperlinks>
    <hyperlink ref="B65" r:id="rId7" display="http://s460-helpdesk/CAisd/pdmweb.exe?OP=SEARCH+FACTORY=in+SKIPLIST=1+QBE.EQ.id=3660547"/>
    <hyperlink ref="B64" r:id="rId8" display="http://s460-helpdesk/CAisd/pdmweb.exe?OP=SEARCH+FACTORY=in+SKIPLIST=1+QBE.EQ.id=3660546"/>
    <hyperlink ref="B63" r:id="rId9" display="http://s460-helpdesk/CAisd/pdmweb.exe?OP=SEARCH+FACTORY=in+SKIPLIST=1+QBE.EQ.id=3660545"/>
    <hyperlink ref="B62" r:id="rId10" display="http://s460-helpdesk/CAisd/pdmweb.exe?OP=SEARCH+FACTORY=in+SKIPLIST=1+QBE.EQ.id=3660544"/>
    <hyperlink ref="B61" r:id="rId11" display="http://s460-helpdesk/CAisd/pdmweb.exe?OP=SEARCH+FACTORY=in+SKIPLIST=1+QBE.EQ.id=3660543"/>
    <hyperlink ref="B60" r:id="rId12" display="http://s460-helpdesk/CAisd/pdmweb.exe?OP=SEARCH+FACTORY=in+SKIPLIST=1+QBE.EQ.id=3660541"/>
    <hyperlink ref="B59" r:id="rId13" display="http://s460-helpdesk/CAisd/pdmweb.exe?OP=SEARCH+FACTORY=in+SKIPLIST=1+QBE.EQ.id=3660540"/>
    <hyperlink ref="B58" r:id="rId14" display="http://s460-helpdesk/CAisd/pdmweb.exe?OP=SEARCH+FACTORY=in+SKIPLIST=1+QBE.EQ.id=3660539"/>
    <hyperlink ref="B57" r:id="rId15" display="http://s460-helpdesk/CAisd/pdmweb.exe?OP=SEARCH+FACTORY=in+SKIPLIST=1+QBE.EQ.id=3660538"/>
    <hyperlink ref="B56" r:id="rId16" display="http://s460-helpdesk/CAisd/pdmweb.exe?OP=SEARCH+FACTORY=in+SKIPLIST=1+QBE.EQ.id=3660537"/>
    <hyperlink ref="B55" r:id="rId17" display="http://s460-helpdesk/CAisd/pdmweb.exe?OP=SEARCH+FACTORY=in+SKIPLIST=1+QBE.EQ.id=3660536"/>
  </hyperlinks>
  <pageMargins left="0.7" right="0.7" top="0.75" bottom="0.75" header="0.3" footer="0.3"/>
  <pageSetup scale="60" orientation="landscape" r:id="rId1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opLeftCell="A4" zoomScale="55" zoomScaleNormal="55" workbookViewId="0">
      <selection activeCell="B32" sqref="B32"/>
    </sheetView>
  </sheetViews>
  <sheetFormatPr baseColWidth="10" defaultColWidth="23.42578125" defaultRowHeight="15" x14ac:dyDescent="0.25"/>
  <cols>
    <col min="1" max="1" width="26.42578125" style="115" bestFit="1" customWidth="1"/>
    <col min="2" max="2" width="23" style="151" customWidth="1"/>
    <col min="3" max="3" width="63.28515625" style="115" customWidth="1"/>
    <col min="4" max="4" width="44.28515625" style="115" bestFit="1" customWidth="1"/>
    <col min="5" max="5" width="22" style="115" bestFit="1" customWidth="1"/>
    <col min="6" max="6" width="29.42578125" style="83" bestFit="1" customWidth="1"/>
    <col min="7" max="7" width="6.85546875" style="83" bestFit="1" customWidth="1"/>
    <col min="8" max="8" width="54.140625" style="83" bestFit="1" customWidth="1"/>
    <col min="9" max="9" width="5.28515625" style="83" customWidth="1"/>
    <col min="10" max="10" width="22.28515625" style="83" bestFit="1" customWidth="1"/>
    <col min="11" max="11" width="3.7109375" style="83" bestFit="1" customWidth="1"/>
    <col min="12" max="16384" width="23.42578125" style="83"/>
  </cols>
  <sheetData>
    <row r="1" spans="1:11" ht="22.5" customHeight="1" x14ac:dyDescent="0.25">
      <c r="A1" s="185" t="s">
        <v>2150</v>
      </c>
      <c r="B1" s="186"/>
      <c r="C1" s="186"/>
      <c r="D1" s="186"/>
      <c r="E1" s="187"/>
      <c r="F1" s="191" t="s">
        <v>2550</v>
      </c>
      <c r="G1" s="192"/>
      <c r="H1" s="105">
        <f>COUNTIF(A:E,"2 Gavetas Vacias y  Gaveta Fallando")</f>
        <v>0</v>
      </c>
      <c r="I1" s="105">
        <f>COUNTIF(A:E,("3 Gavetas Vacias"))</f>
        <v>10</v>
      </c>
      <c r="J1" s="83">
        <f>COUNTIF(A:E,"2 Gavetas Fallando y 1 Vacias")</f>
        <v>0</v>
      </c>
    </row>
    <row r="2" spans="1:11" ht="25.5" customHeight="1" x14ac:dyDescent="0.25">
      <c r="A2" s="188" t="s">
        <v>2450</v>
      </c>
      <c r="B2" s="189"/>
      <c r="C2" s="189"/>
      <c r="D2" s="189"/>
      <c r="E2" s="190"/>
      <c r="F2" s="104" t="s">
        <v>2549</v>
      </c>
      <c r="G2" s="103">
        <f>G3+G4</f>
        <v>132</v>
      </c>
      <c r="H2" s="104" t="s">
        <v>2559</v>
      </c>
      <c r="I2" s="103">
        <f>COUNTIF(A:E,"Abastecido")</f>
        <v>16</v>
      </c>
      <c r="J2" s="104" t="s">
        <v>2577</v>
      </c>
      <c r="K2" s="103">
        <f>COUNTIF(REPORTE!P4:P4,"REINICIO FALLIDO")</f>
        <v>0</v>
      </c>
    </row>
    <row r="3" spans="1:11" ht="18" x14ac:dyDescent="0.25">
      <c r="B3" s="145"/>
      <c r="C3" s="116"/>
      <c r="D3" s="116"/>
      <c r="E3" s="124"/>
      <c r="F3" s="104" t="s">
        <v>2548</v>
      </c>
      <c r="G3" s="103">
        <f>COUNTIF(REPORTE!A:Q,"fuera de Servicio")</f>
        <v>53</v>
      </c>
      <c r="H3" s="104" t="s">
        <v>2555</v>
      </c>
      <c r="I3" s="103">
        <f>COUNTIF(A:E,"Gavetas Vacías + Gavetas Fallando")</f>
        <v>2</v>
      </c>
      <c r="J3" s="104" t="s">
        <v>2578</v>
      </c>
      <c r="K3" s="103">
        <f>COUNTIF(REPORTE!E:U,"CARGA FALLIDA")</f>
        <v>1</v>
      </c>
    </row>
    <row r="4" spans="1:11" ht="18.75" thickBot="1" x14ac:dyDescent="0.3">
      <c r="A4" s="122" t="s">
        <v>2413</v>
      </c>
      <c r="B4" s="141">
        <v>44390.25</v>
      </c>
      <c r="C4" s="116"/>
      <c r="D4" s="116"/>
      <c r="E4" s="125"/>
      <c r="F4" s="104" t="s">
        <v>2545</v>
      </c>
      <c r="G4" s="103">
        <f>COUNTIF(REPORTE!A:Q,"En Servicio")</f>
        <v>79</v>
      </c>
      <c r="H4" s="104" t="s">
        <v>2558</v>
      </c>
      <c r="I4" s="103">
        <f>COUNTIF(A:E,"Solucionado")</f>
        <v>2</v>
      </c>
      <c r="J4" s="104" t="s">
        <v>2579</v>
      </c>
      <c r="K4" s="103">
        <f>COUNTIF(REPORTE!1:1048576,"PRINTER DEPOSITO")</f>
        <v>0</v>
      </c>
    </row>
    <row r="5" spans="1:11" ht="18.75" thickBot="1" x14ac:dyDescent="0.3">
      <c r="A5" s="122" t="s">
        <v>2414</v>
      </c>
      <c r="B5" s="141">
        <v>44390.708333333336</v>
      </c>
      <c r="C5" s="123"/>
      <c r="D5" s="116"/>
      <c r="E5" s="125"/>
      <c r="F5" s="104" t="s">
        <v>2546</v>
      </c>
      <c r="G5" s="103">
        <f>COUNTIF(REPORTE!A:Q,"reinicio exitoso")</f>
        <v>1</v>
      </c>
      <c r="H5" s="104" t="s">
        <v>2552</v>
      </c>
      <c r="I5" s="103">
        <f>I1+H1+J1</f>
        <v>10</v>
      </c>
    </row>
    <row r="6" spans="1:11" ht="18" x14ac:dyDescent="0.25">
      <c r="B6" s="145"/>
      <c r="C6" s="116"/>
      <c r="D6" s="116"/>
      <c r="E6" s="127"/>
      <c r="F6" s="104" t="s">
        <v>2547</v>
      </c>
      <c r="G6" s="103">
        <f>COUNTIF(REPORTE!A:Q,"carga exitosa")</f>
        <v>5</v>
      </c>
      <c r="H6" s="104" t="s">
        <v>2556</v>
      </c>
      <c r="I6" s="103">
        <f>COUNTIF(A:E,"GAVETA DE RECHAZO LLENA")</f>
        <v>2</v>
      </c>
    </row>
    <row r="7" spans="1:11" ht="18" customHeight="1" x14ac:dyDescent="0.25">
      <c r="A7" s="175" t="s">
        <v>2581</v>
      </c>
      <c r="B7" s="176"/>
      <c r="C7" s="176"/>
      <c r="D7" s="176"/>
      <c r="E7" s="177"/>
      <c r="F7" s="104" t="s">
        <v>2551</v>
      </c>
      <c r="G7" s="103">
        <f>COUNTIF(A:E,"Sin Efectivo")</f>
        <v>7</v>
      </c>
      <c r="H7" s="104" t="s">
        <v>2557</v>
      </c>
      <c r="I7" s="103">
        <f>COUNTIF(A:E,"GAVETA DE DEPOSITO LLENA")</f>
        <v>4</v>
      </c>
    </row>
    <row r="8" spans="1:11" ht="18" x14ac:dyDescent="0.25">
      <c r="A8" s="117" t="s">
        <v>15</v>
      </c>
      <c r="B8" s="146" t="s">
        <v>2415</v>
      </c>
      <c r="C8" s="117" t="s">
        <v>46</v>
      </c>
      <c r="D8" s="126" t="s">
        <v>2418</v>
      </c>
      <c r="E8" s="126" t="s">
        <v>2416</v>
      </c>
    </row>
    <row r="9" spans="1:11" ht="18" x14ac:dyDescent="0.25">
      <c r="A9" s="134" t="str">
        <f>VLOOKUP(B9,'[1]LISTADO ATM'!$A$2:$C$822,3,0)</f>
        <v>DISTRITO NACIONAL</v>
      </c>
      <c r="B9" s="142">
        <v>722</v>
      </c>
      <c r="C9" s="154" t="str">
        <f>VLOOKUP(B9,'[1]LISTADO ATM'!$A$2:$B$822,2,0)</f>
        <v xml:space="preserve">ATM Oficina Charles de Gaulle III </v>
      </c>
      <c r="D9" s="130" t="s">
        <v>2544</v>
      </c>
      <c r="E9" s="139">
        <v>3335952020</v>
      </c>
    </row>
    <row r="10" spans="1:11" ht="18" x14ac:dyDescent="0.25">
      <c r="A10" s="134" t="str">
        <f>VLOOKUP(B10,'[1]LISTADO ATM'!$A$2:$C$822,3,0)</f>
        <v>DISTRITO NACIONAL</v>
      </c>
      <c r="B10" s="142">
        <v>745</v>
      </c>
      <c r="C10" s="154" t="str">
        <f>VLOOKUP(B10,'[1]LISTADO ATM'!$A$2:$B$822,2,0)</f>
        <v xml:space="preserve">ATM Oficina Ave. Duarte </v>
      </c>
      <c r="D10" s="130" t="s">
        <v>2544</v>
      </c>
      <c r="E10" s="139">
        <v>3335951803</v>
      </c>
    </row>
    <row r="11" spans="1:11" s="110" customFormat="1" ht="18" x14ac:dyDescent="0.25">
      <c r="A11" s="134" t="str">
        <f>VLOOKUP(B11,'[1]LISTADO ATM'!$A$2:$C$822,3,0)</f>
        <v>DISTRITO NACIONAL</v>
      </c>
      <c r="B11" s="142">
        <v>542</v>
      </c>
      <c r="C11" s="154" t="str">
        <f>VLOOKUP(B11,'[1]LISTADO ATM'!$A$2:$B$822,2,0)</f>
        <v>ATM S/M la Cadena Carretera Mella</v>
      </c>
      <c r="D11" s="130" t="s">
        <v>2544</v>
      </c>
      <c r="E11" s="139">
        <v>3335951920</v>
      </c>
    </row>
    <row r="12" spans="1:11" s="110" customFormat="1" ht="18" customHeight="1" x14ac:dyDescent="0.25">
      <c r="A12" s="134" t="str">
        <f>VLOOKUP(B12,'[1]LISTADO ATM'!$A$2:$C$822,3,0)</f>
        <v>NORTE</v>
      </c>
      <c r="B12" s="142">
        <v>926</v>
      </c>
      <c r="C12" s="154" t="str">
        <f>VLOOKUP(B12,'[1]LISTADO ATM'!$A$2:$B$822,2,0)</f>
        <v>ATM S/M Juan Cepin</v>
      </c>
      <c r="D12" s="130" t="s">
        <v>2544</v>
      </c>
      <c r="E12" s="139" t="s">
        <v>2662</v>
      </c>
    </row>
    <row r="13" spans="1:11" s="110" customFormat="1" ht="18" x14ac:dyDescent="0.25">
      <c r="A13" s="134" t="str">
        <f>VLOOKUP(B13,'[1]LISTADO ATM'!$A$2:$C$822,3,0)</f>
        <v>DISTRITO NACIONAL</v>
      </c>
      <c r="B13" s="142">
        <v>240</v>
      </c>
      <c r="C13" s="154" t="str">
        <f>VLOOKUP(B13,'[1]LISTADO ATM'!$A$2:$B$822,2,0)</f>
        <v xml:space="preserve">ATM Oficina Carrefour I </v>
      </c>
      <c r="D13" s="130" t="s">
        <v>2544</v>
      </c>
      <c r="E13" s="139">
        <v>3335951790</v>
      </c>
    </row>
    <row r="14" spans="1:11" s="110" customFormat="1" ht="18" x14ac:dyDescent="0.25">
      <c r="A14" s="134" t="str">
        <f>VLOOKUP(B14,'[1]LISTADO ATM'!$A$2:$C$822,3,0)</f>
        <v>SUR</v>
      </c>
      <c r="B14" s="142">
        <v>249</v>
      </c>
      <c r="C14" s="154" t="str">
        <f>VLOOKUP(B14,'[1]LISTADO ATM'!$A$2:$B$822,2,0)</f>
        <v xml:space="preserve">ATM Banco Agrícola Neiba </v>
      </c>
      <c r="D14" s="130" t="s">
        <v>2544</v>
      </c>
      <c r="E14" s="139">
        <v>3335950108</v>
      </c>
    </row>
    <row r="15" spans="1:11" s="110" customFormat="1" ht="18" x14ac:dyDescent="0.25">
      <c r="A15" s="134" t="str">
        <f>VLOOKUP(B15,'[1]LISTADO ATM'!$A$2:$C$822,3,0)</f>
        <v>DISTRITO NACIONAL</v>
      </c>
      <c r="B15" s="142">
        <v>415</v>
      </c>
      <c r="C15" s="154" t="str">
        <f>VLOOKUP(B15,'[1]LISTADO ATM'!$A$2:$B$822,2,0)</f>
        <v xml:space="preserve">ATM Autobanco San Martín I </v>
      </c>
      <c r="D15" s="130" t="s">
        <v>2544</v>
      </c>
      <c r="E15" s="139">
        <v>3335951989</v>
      </c>
    </row>
    <row r="16" spans="1:11" s="110" customFormat="1" ht="18" customHeight="1" x14ac:dyDescent="0.25">
      <c r="A16" s="134" t="str">
        <f>VLOOKUP(B16,'[1]LISTADO ATM'!$A$2:$C$822,3,0)</f>
        <v>DISTRITO NACIONAL</v>
      </c>
      <c r="B16" s="142">
        <v>493</v>
      </c>
      <c r="C16" s="154" t="str">
        <f>VLOOKUP(B16,'[1]LISTADO ATM'!$A$2:$B$822,2,0)</f>
        <v xml:space="preserve">ATM Oficina Haina Occidental II </v>
      </c>
      <c r="D16" s="130" t="s">
        <v>2544</v>
      </c>
      <c r="E16" s="139">
        <v>3335951984</v>
      </c>
    </row>
    <row r="17" spans="1:6" s="110" customFormat="1" ht="18" customHeight="1" x14ac:dyDescent="0.25">
      <c r="A17" s="134" t="str">
        <f>VLOOKUP(B17,'[1]LISTADO ATM'!$A$2:$C$822,3,0)</f>
        <v>DISTRITO NACIONAL</v>
      </c>
      <c r="B17" s="142">
        <v>14</v>
      </c>
      <c r="C17" s="154" t="str">
        <f>VLOOKUP(B17,'[1]LISTADO ATM'!$A$2:$B$822,2,0)</f>
        <v xml:space="preserve">ATM Oficina Aeropuerto Las Américas I </v>
      </c>
      <c r="D17" s="130" t="s">
        <v>2544</v>
      </c>
      <c r="E17" s="139">
        <v>3335952019</v>
      </c>
    </row>
    <row r="18" spans="1:6" s="110" customFormat="1" ht="18" x14ac:dyDescent="0.25">
      <c r="A18" s="134" t="str">
        <f>VLOOKUP(B18,'[1]LISTADO ATM'!$A$2:$C$822,3,0)</f>
        <v>DISTRITO NACIONAL</v>
      </c>
      <c r="B18" s="142">
        <v>32</v>
      </c>
      <c r="C18" s="154" t="str">
        <f>VLOOKUP(B18,'[1]LISTADO ATM'!$A$2:$B$822,2,0)</f>
        <v xml:space="preserve">ATM Oficina San Martín II </v>
      </c>
      <c r="D18" s="130" t="s">
        <v>2544</v>
      </c>
      <c r="E18" s="139">
        <v>3335952318</v>
      </c>
    </row>
    <row r="19" spans="1:6" s="110" customFormat="1" ht="18" x14ac:dyDescent="0.25">
      <c r="A19" s="134" t="str">
        <f>VLOOKUP(B19,'[1]LISTADO ATM'!$A$2:$C$822,3,0)</f>
        <v>SUR</v>
      </c>
      <c r="B19" s="142">
        <v>677</v>
      </c>
      <c r="C19" s="154" t="str">
        <f>VLOOKUP(B19,'[1]LISTADO ATM'!$A$2:$B$822,2,0)</f>
        <v>ATM PBG Villa Jaragua</v>
      </c>
      <c r="D19" s="130" t="s">
        <v>2544</v>
      </c>
      <c r="E19" s="139">
        <v>3335952357</v>
      </c>
    </row>
    <row r="20" spans="1:6" s="110" customFormat="1" ht="18" customHeight="1" x14ac:dyDescent="0.25">
      <c r="A20" s="134" t="str">
        <f>VLOOKUP(B20,'[1]LISTADO ATM'!$A$2:$C$822,3,0)</f>
        <v>DISTRITO NACIONAL</v>
      </c>
      <c r="B20" s="142">
        <v>486</v>
      </c>
      <c r="C20" s="154" t="str">
        <f>VLOOKUP(B20,'[1]LISTADO ATM'!$A$2:$B$822,2,0)</f>
        <v xml:space="preserve">ATM Olé La Caleta </v>
      </c>
      <c r="D20" s="130" t="s">
        <v>2544</v>
      </c>
      <c r="E20" s="139">
        <v>3335952627</v>
      </c>
    </row>
    <row r="21" spans="1:6" s="110" customFormat="1" ht="18" x14ac:dyDescent="0.25">
      <c r="A21" s="134" t="str">
        <f>VLOOKUP(B21,'[1]LISTADO ATM'!$A$2:$C$822,3,0)</f>
        <v>NORTE</v>
      </c>
      <c r="B21" s="142">
        <v>151</v>
      </c>
      <c r="C21" s="154" t="str">
        <f>VLOOKUP(B21,'[1]LISTADO ATM'!$A$2:$B$822,2,0)</f>
        <v xml:space="preserve">ATM Oficina Nagua </v>
      </c>
      <c r="D21" s="130" t="s">
        <v>2544</v>
      </c>
      <c r="E21" s="139">
        <v>3335953252</v>
      </c>
    </row>
    <row r="22" spans="1:6" s="110" customFormat="1" ht="18" x14ac:dyDescent="0.25">
      <c r="A22" s="134" t="str">
        <f>VLOOKUP(B22,'[1]LISTADO ATM'!$A$2:$C$822,3,0)</f>
        <v>SUR</v>
      </c>
      <c r="B22" s="142">
        <v>84</v>
      </c>
      <c r="C22" s="154" t="str">
        <f>VLOOKUP(B22,'[1]LISTADO ATM'!$A$2:$B$822,2,0)</f>
        <v xml:space="preserve">ATM Oficina Multicentro Sirena San Cristóbal </v>
      </c>
      <c r="D22" s="130" t="s">
        <v>2544</v>
      </c>
      <c r="E22" s="139">
        <v>3335951981</v>
      </c>
    </row>
    <row r="23" spans="1:6" s="110" customFormat="1" ht="18" x14ac:dyDescent="0.25">
      <c r="A23" s="134" t="str">
        <f>VLOOKUP(B23,'[1]LISTADO ATM'!$A$2:$C$822,3,0)</f>
        <v>DISTRITO NACIONAL</v>
      </c>
      <c r="B23" s="142">
        <v>180</v>
      </c>
      <c r="C23" s="154" t="str">
        <f>VLOOKUP(B23,'[1]LISTADO ATM'!$A$2:$B$822,2,0)</f>
        <v xml:space="preserve">ATM Megacentro II </v>
      </c>
      <c r="D23" s="130" t="s">
        <v>2544</v>
      </c>
      <c r="E23" s="139" t="s">
        <v>2663</v>
      </c>
    </row>
    <row r="24" spans="1:6" s="110" customFormat="1" ht="18.75" customHeight="1" x14ac:dyDescent="0.25">
      <c r="A24" s="134" t="str">
        <f>VLOOKUP(B24,'[1]LISTADO ATM'!$A$2:$C$822,3,0)</f>
        <v>NORTE</v>
      </c>
      <c r="B24" s="142">
        <v>262</v>
      </c>
      <c r="C24" s="154" t="str">
        <f>VLOOKUP(B24,'[1]LISTADO ATM'!$A$2:$B$822,2,0)</f>
        <v xml:space="preserve">ATM Oficina Obras Públicas (Santiago) </v>
      </c>
      <c r="D24" s="130" t="s">
        <v>2544</v>
      </c>
      <c r="E24" s="139">
        <v>3335952168</v>
      </c>
    </row>
    <row r="25" spans="1:6" s="110" customFormat="1" ht="18.75" customHeight="1" x14ac:dyDescent="0.25">
      <c r="A25" s="134" t="e">
        <f>VLOOKUP(B25,'[1]LISTADO ATM'!$A$2:$C$822,3,0)</f>
        <v>#N/A</v>
      </c>
      <c r="B25" s="142"/>
      <c r="C25" s="154" t="e">
        <f>VLOOKUP(B25,'[1]LISTADO ATM'!$A$2:$B$822,2,0)</f>
        <v>#N/A</v>
      </c>
      <c r="D25" s="130"/>
      <c r="E25" s="139"/>
    </row>
    <row r="26" spans="1:6" s="110" customFormat="1" ht="18" x14ac:dyDescent="0.25">
      <c r="A26" s="134" t="e">
        <f>VLOOKUP(B26,'[1]LISTADO ATM'!$A$2:$C$822,3,0)</f>
        <v>#N/A</v>
      </c>
      <c r="B26" s="142"/>
      <c r="C26" s="154" t="e">
        <f>VLOOKUP(B26,'[1]LISTADO ATM'!$A$2:$B$822,2,0)</f>
        <v>#N/A</v>
      </c>
      <c r="D26" s="130"/>
      <c r="E26" s="139"/>
    </row>
    <row r="27" spans="1:6" s="110" customFormat="1" ht="18" x14ac:dyDescent="0.25">
      <c r="A27" s="134" t="e">
        <f>VLOOKUP(B27,'[1]LISTADO ATM'!$A$2:$C$822,3,0)</f>
        <v>#N/A</v>
      </c>
      <c r="B27" s="142"/>
      <c r="C27" s="154" t="e">
        <f>VLOOKUP(B27,'[1]LISTADO ATM'!$A$2:$B$822,2,0)</f>
        <v>#N/A</v>
      </c>
      <c r="D27" s="130"/>
      <c r="E27" s="139"/>
    </row>
    <row r="28" spans="1:6" s="110" customFormat="1" ht="18" x14ac:dyDescent="0.25">
      <c r="A28" s="134" t="e">
        <f>VLOOKUP(B28,'[1]LISTADO ATM'!$A$2:$C$822,3,0)</f>
        <v>#N/A</v>
      </c>
      <c r="B28" s="142"/>
      <c r="C28" s="154" t="e">
        <f>VLOOKUP(B28,'[1]LISTADO ATM'!$A$2:$B$822,2,0)</f>
        <v>#N/A</v>
      </c>
      <c r="D28" s="130"/>
      <c r="E28" s="137"/>
    </row>
    <row r="29" spans="1:6" s="110" customFormat="1" ht="18" x14ac:dyDescent="0.25">
      <c r="A29" s="134" t="e">
        <f>VLOOKUP(B29,'[1]LISTADO ATM'!$A$2:$C$822,3,0)</f>
        <v>#N/A</v>
      </c>
      <c r="B29" s="142"/>
      <c r="C29" s="154" t="e">
        <f>VLOOKUP(B29,'[1]LISTADO ATM'!$A$2:$B$822,2,0)</f>
        <v>#N/A</v>
      </c>
      <c r="D29" s="130"/>
      <c r="E29" s="137"/>
    </row>
    <row r="30" spans="1:6" s="110" customFormat="1" ht="18.75" customHeight="1" x14ac:dyDescent="0.25">
      <c r="A30" s="134" t="e">
        <f>VLOOKUP(B30,'[1]LISTADO ATM'!$A$2:$C$822,3,0)</f>
        <v>#N/A</v>
      </c>
      <c r="B30" s="142"/>
      <c r="C30" s="154" t="e">
        <f>VLOOKUP(B30,'[1]LISTADO ATM'!$A$2:$B$822,2,0)</f>
        <v>#N/A</v>
      </c>
      <c r="D30" s="130"/>
      <c r="E30" s="137"/>
    </row>
    <row r="31" spans="1:6" ht="18" customHeight="1" thickBot="1" x14ac:dyDescent="0.3">
      <c r="A31" s="118" t="s">
        <v>2472</v>
      </c>
      <c r="B31" s="147">
        <f>COUNT(B9:B24)</f>
        <v>16</v>
      </c>
      <c r="C31" s="172"/>
      <c r="D31" s="173"/>
      <c r="E31" s="174"/>
      <c r="F31" s="106"/>
    </row>
    <row r="32" spans="1:6" x14ac:dyDescent="0.25">
      <c r="B32" s="148"/>
      <c r="E32" s="120"/>
    </row>
    <row r="33" spans="1:8" ht="18" x14ac:dyDescent="0.25">
      <c r="A33" s="175" t="s">
        <v>2582</v>
      </c>
      <c r="B33" s="176"/>
      <c r="C33" s="176"/>
      <c r="D33" s="176"/>
      <c r="E33" s="177"/>
    </row>
    <row r="34" spans="1:8" s="106" customFormat="1" ht="18" x14ac:dyDescent="0.25">
      <c r="A34" s="117" t="s">
        <v>15</v>
      </c>
      <c r="B34" s="146" t="s">
        <v>2415</v>
      </c>
      <c r="C34" s="117" t="s">
        <v>46</v>
      </c>
      <c r="D34" s="117" t="s">
        <v>2418</v>
      </c>
      <c r="E34" s="117" t="s">
        <v>2416</v>
      </c>
    </row>
    <row r="35" spans="1:8" s="106" customFormat="1" ht="18" x14ac:dyDescent="0.25">
      <c r="A35" s="134" t="str">
        <f>VLOOKUP(B35,'[1]LISTADO ATM'!$A$2:$C$822,3,0)</f>
        <v>NORTE</v>
      </c>
      <c r="B35" s="134">
        <v>599</v>
      </c>
      <c r="C35" s="154" t="str">
        <f>VLOOKUP(B35,'[1]LISTADO ATM'!$A$2:$B$822,2,0)</f>
        <v xml:space="preserve">ATM Oficina Plaza Internacional (Santiago) </v>
      </c>
      <c r="D35" s="130" t="s">
        <v>2540</v>
      </c>
      <c r="E35" s="139">
        <v>3335951991</v>
      </c>
      <c r="G35" s="110"/>
      <c r="H35" s="110"/>
    </row>
    <row r="36" spans="1:8" s="110" customFormat="1" ht="18" x14ac:dyDescent="0.25">
      <c r="A36" s="134" t="str">
        <f>VLOOKUP(B36,'[1]LISTADO ATM'!$A$2:$C$822,3,0)</f>
        <v>NORTE</v>
      </c>
      <c r="B36" s="134">
        <v>171</v>
      </c>
      <c r="C36" s="154" t="str">
        <f>VLOOKUP(B36,'[1]LISTADO ATM'!$A$2:$B$822,2,0)</f>
        <v xml:space="preserve">ATM Oficina Moca </v>
      </c>
      <c r="D36" s="130" t="s">
        <v>2540</v>
      </c>
      <c r="E36" s="139">
        <v>3335952984</v>
      </c>
    </row>
    <row r="37" spans="1:8" s="110" customFormat="1" ht="18" x14ac:dyDescent="0.25">
      <c r="A37" s="134" t="e">
        <f>VLOOKUP(B37,'[1]LISTADO ATM'!$A$2:$C$822,3,0)</f>
        <v>#N/A</v>
      </c>
      <c r="B37" s="134"/>
      <c r="C37" s="154" t="e">
        <f>VLOOKUP(B37,'[1]LISTADO ATM'!$A$2:$B$822,2,0)</f>
        <v>#N/A</v>
      </c>
      <c r="D37" s="130"/>
      <c r="E37" s="137"/>
    </row>
    <row r="38" spans="1:8" ht="18" x14ac:dyDescent="0.25">
      <c r="A38" s="134" t="e">
        <f>VLOOKUP(B38,'[1]LISTADO ATM'!$A$2:$C$822,3,0)</f>
        <v>#N/A</v>
      </c>
      <c r="B38" s="134"/>
      <c r="C38" s="154" t="e">
        <f>VLOOKUP(B38,'[1]LISTADO ATM'!$A$2:$B$822,2,0)</f>
        <v>#N/A</v>
      </c>
      <c r="D38" s="130"/>
      <c r="E38" s="137"/>
      <c r="G38" s="110"/>
      <c r="H38" s="110"/>
    </row>
    <row r="39" spans="1:8" s="110" customFormat="1" ht="18" customHeight="1" x14ac:dyDescent="0.25">
      <c r="A39" s="134" t="e">
        <f>VLOOKUP(B39,'[1]LISTADO ATM'!$A$2:$C$822,3,0)</f>
        <v>#N/A</v>
      </c>
      <c r="B39" s="134"/>
      <c r="C39" s="154" t="e">
        <f>VLOOKUP(B39,'[1]LISTADO ATM'!$A$2:$B$822,2,0)</f>
        <v>#N/A</v>
      </c>
      <c r="D39" s="130"/>
      <c r="E39" s="137"/>
    </row>
    <row r="40" spans="1:8" s="110" customFormat="1" ht="18" customHeight="1" x14ac:dyDescent="0.25">
      <c r="A40" s="134" t="e">
        <f>VLOOKUP(B40,'[1]LISTADO ATM'!$A$2:$C$822,3,0)</f>
        <v>#N/A</v>
      </c>
      <c r="B40" s="134"/>
      <c r="C40" s="154" t="e">
        <f>VLOOKUP(B40,'[1]LISTADO ATM'!$A$2:$B$822,2,0)</f>
        <v>#N/A</v>
      </c>
      <c r="D40" s="130"/>
      <c r="E40" s="137"/>
    </row>
    <row r="41" spans="1:8" ht="18.75" thickBot="1" x14ac:dyDescent="0.3">
      <c r="A41" s="118" t="s">
        <v>2472</v>
      </c>
      <c r="B41" s="147">
        <f>COUNT(B35:B36)</f>
        <v>2</v>
      </c>
      <c r="C41" s="172"/>
      <c r="D41" s="173"/>
      <c r="E41" s="174"/>
      <c r="G41" s="110"/>
      <c r="H41" s="110"/>
    </row>
    <row r="42" spans="1:8" s="110" customFormat="1" ht="18.75" customHeight="1" thickBot="1" x14ac:dyDescent="0.3">
      <c r="A42" s="115"/>
      <c r="B42" s="148"/>
      <c r="C42" s="115"/>
      <c r="D42" s="115"/>
      <c r="E42" s="120"/>
    </row>
    <row r="43" spans="1:8" s="110" customFormat="1" ht="18.75" thickBot="1" x14ac:dyDescent="0.3">
      <c r="A43" s="169" t="s">
        <v>2473</v>
      </c>
      <c r="B43" s="170"/>
      <c r="C43" s="170"/>
      <c r="D43" s="170"/>
      <c r="E43" s="171"/>
    </row>
    <row r="44" spans="1:8" s="110" customFormat="1" ht="18" x14ac:dyDescent="0.25">
      <c r="A44" s="117" t="s">
        <v>15</v>
      </c>
      <c r="B44" s="146" t="s">
        <v>2415</v>
      </c>
      <c r="C44" s="117" t="s">
        <v>46</v>
      </c>
      <c r="D44" s="117" t="s">
        <v>2418</v>
      </c>
      <c r="E44" s="117" t="s">
        <v>2416</v>
      </c>
    </row>
    <row r="45" spans="1:8" s="110" customFormat="1" ht="18" x14ac:dyDescent="0.25">
      <c r="A45" s="134" t="str">
        <f>VLOOKUP(B45,'[1]LISTADO ATM'!$A$2:$C$822,3,0)</f>
        <v>ESTE</v>
      </c>
      <c r="B45" s="143">
        <v>651</v>
      </c>
      <c r="C45" s="137" t="str">
        <f>VLOOKUP(B45,'[1]LISTADO ATM'!$A$2:$B$822,2,0)</f>
        <v>ATM Eco Petroleo Romana</v>
      </c>
      <c r="D45" s="129" t="s">
        <v>2436</v>
      </c>
      <c r="E45" s="139">
        <v>3335951799</v>
      </c>
    </row>
    <row r="46" spans="1:8" s="110" customFormat="1" ht="18.75" customHeight="1" x14ac:dyDescent="0.25">
      <c r="A46" s="134" t="str">
        <f>VLOOKUP(B46,'[1]LISTADO ATM'!$A$2:$C$822,3,0)</f>
        <v>NORTE</v>
      </c>
      <c r="B46" s="143">
        <v>950</v>
      </c>
      <c r="C46" s="137" t="str">
        <f>VLOOKUP(B46,'[1]LISTADO ATM'!$A$2:$B$822,2,0)</f>
        <v xml:space="preserve">ATM Oficina Monterrico </v>
      </c>
      <c r="D46" s="129" t="s">
        <v>2436</v>
      </c>
      <c r="E46" s="139">
        <v>3335952021</v>
      </c>
    </row>
    <row r="47" spans="1:8" s="110" customFormat="1" ht="18" x14ac:dyDescent="0.25">
      <c r="A47" s="134" t="str">
        <f>VLOOKUP(B47,'[1]LISTADO ATM'!$A$2:$C$822,3,0)</f>
        <v>NORTE</v>
      </c>
      <c r="B47" s="143">
        <v>771</v>
      </c>
      <c r="C47" s="137" t="str">
        <f>VLOOKUP(B47,'[1]LISTADO ATM'!$A$2:$B$822,2,0)</f>
        <v xml:space="preserve">ATM UASD Mao </v>
      </c>
      <c r="D47" s="129" t="s">
        <v>2436</v>
      </c>
      <c r="E47" s="139">
        <v>3335952026</v>
      </c>
    </row>
    <row r="48" spans="1:8" s="110" customFormat="1" ht="18" x14ac:dyDescent="0.25">
      <c r="A48" s="134" t="str">
        <f>VLOOKUP(B48,'[1]LISTADO ATM'!$A$2:$C$822,3,0)</f>
        <v>SUR</v>
      </c>
      <c r="B48" s="143">
        <v>829</v>
      </c>
      <c r="C48" s="137" t="str">
        <f>VLOOKUP(B48,'[1]LISTADO ATM'!$A$2:$B$822,2,0)</f>
        <v xml:space="preserve">ATM UNP Multicentro Sirena Baní </v>
      </c>
      <c r="D48" s="129" t="s">
        <v>2436</v>
      </c>
      <c r="E48" s="139">
        <v>3335952080</v>
      </c>
    </row>
    <row r="49" spans="1:5" ht="18.75" customHeight="1" x14ac:dyDescent="0.25">
      <c r="A49" s="134" t="str">
        <f>VLOOKUP(B49,'[1]LISTADO ATM'!$A$2:$C$822,3,0)</f>
        <v>SUR</v>
      </c>
      <c r="B49" s="143">
        <v>984</v>
      </c>
      <c r="C49" s="137" t="str">
        <f>VLOOKUP(B49,'[1]LISTADO ATM'!$A$2:$B$822,2,0)</f>
        <v xml:space="preserve">ATM Oficina Neiba II </v>
      </c>
      <c r="D49" s="129" t="s">
        <v>2436</v>
      </c>
      <c r="E49" s="139">
        <v>3335952997</v>
      </c>
    </row>
    <row r="50" spans="1:5" ht="18" x14ac:dyDescent="0.25">
      <c r="A50" s="134" t="str">
        <f>VLOOKUP(B50,'[1]LISTADO ATM'!$A$2:$C$822,3,0)</f>
        <v>ESTE</v>
      </c>
      <c r="B50" s="143">
        <v>912</v>
      </c>
      <c r="C50" s="137" t="str">
        <f>VLOOKUP(B50,'[1]LISTADO ATM'!$A$2:$B$822,2,0)</f>
        <v xml:space="preserve">ATM Oficina San Pedro II </v>
      </c>
      <c r="D50" s="129" t="s">
        <v>2436</v>
      </c>
      <c r="E50" s="139">
        <v>3335953001</v>
      </c>
    </row>
    <row r="51" spans="1:5" ht="18" x14ac:dyDescent="0.25">
      <c r="A51" s="134" t="e">
        <f>VLOOKUP(B51,'[1]LISTADO ATM'!$A$2:$C$822,3,0)</f>
        <v>#N/A</v>
      </c>
      <c r="B51" s="143"/>
      <c r="C51" s="137" t="e">
        <f>VLOOKUP(B51,'[1]LISTADO ATM'!$A$2:$B$822,2,0)</f>
        <v>#N/A</v>
      </c>
      <c r="D51" s="149"/>
      <c r="E51" s="137"/>
    </row>
    <row r="52" spans="1:5" ht="18.75" customHeight="1" x14ac:dyDescent="0.25">
      <c r="A52" s="134" t="e">
        <f>VLOOKUP(B52,'[1]LISTADO ATM'!$A$2:$C$822,3,0)</f>
        <v>#N/A</v>
      </c>
      <c r="B52" s="143"/>
      <c r="C52" s="137" t="e">
        <f>VLOOKUP(B52,'[1]LISTADO ATM'!$A$2:$B$822,2,0)</f>
        <v>#N/A</v>
      </c>
      <c r="D52" s="149"/>
      <c r="E52" s="137"/>
    </row>
    <row r="53" spans="1:5" ht="18" x14ac:dyDescent="0.25">
      <c r="A53" s="134" t="e">
        <f>VLOOKUP(B53,'[1]LISTADO ATM'!$A$2:$C$822,3,0)</f>
        <v>#N/A</v>
      </c>
      <c r="B53" s="143"/>
      <c r="C53" s="137" t="e">
        <f>VLOOKUP(B53,'[1]LISTADO ATM'!$A$2:$B$822,2,0)</f>
        <v>#N/A</v>
      </c>
      <c r="D53" s="149"/>
      <c r="E53" s="137"/>
    </row>
    <row r="54" spans="1:5" ht="18" x14ac:dyDescent="0.25">
      <c r="A54" s="134" t="e">
        <f>VLOOKUP(B54,'[1]LISTADO ATM'!$A$2:$C$822,3,0)</f>
        <v>#N/A</v>
      </c>
      <c r="B54" s="143"/>
      <c r="C54" s="137" t="e">
        <f>VLOOKUP(B54,'[1]LISTADO ATM'!$A$2:$B$822,2,0)</f>
        <v>#N/A</v>
      </c>
      <c r="D54" s="149"/>
      <c r="E54" s="137"/>
    </row>
    <row r="55" spans="1:5" ht="18.75" customHeight="1" thickBot="1" x14ac:dyDescent="0.3">
      <c r="A55" s="138"/>
      <c r="B55" s="147">
        <f>COUNT(B45:B50)</f>
        <v>6</v>
      </c>
      <c r="C55" s="128"/>
      <c r="D55" s="128"/>
      <c r="E55" s="128"/>
    </row>
    <row r="56" spans="1:5" ht="15.75" thickBot="1" x14ac:dyDescent="0.3">
      <c r="B56" s="148"/>
      <c r="E56" s="120"/>
    </row>
    <row r="57" spans="1:5" ht="18.75" thickBot="1" x14ac:dyDescent="0.3">
      <c r="A57" s="169" t="s">
        <v>2436</v>
      </c>
      <c r="B57" s="170"/>
      <c r="C57" s="170"/>
      <c r="D57" s="170"/>
      <c r="E57" s="171"/>
    </row>
    <row r="58" spans="1:5" ht="18" x14ac:dyDescent="0.25">
      <c r="A58" s="117" t="s">
        <v>15</v>
      </c>
      <c r="B58" s="146" t="s">
        <v>2415</v>
      </c>
      <c r="C58" s="117" t="s">
        <v>2587</v>
      </c>
      <c r="D58" s="117" t="s">
        <v>2418</v>
      </c>
      <c r="E58" s="117" t="s">
        <v>2416</v>
      </c>
    </row>
    <row r="59" spans="1:5" ht="18" x14ac:dyDescent="0.25">
      <c r="A59" s="134" t="str">
        <f>VLOOKUP(B59,'[1]LISTADO ATM'!$A$2:$C$822,3,0)</f>
        <v>DISTRITO NACIONAL</v>
      </c>
      <c r="B59" s="142">
        <v>970</v>
      </c>
      <c r="C59" s="137" t="str">
        <f>VLOOKUP(B59,'[1]LISTADO ATM'!$A$2:$B$822,2,0)</f>
        <v xml:space="preserve">ATM S/M Olé Haina </v>
      </c>
      <c r="D59" s="134" t="s">
        <v>2479</v>
      </c>
      <c r="E59" s="139">
        <v>3335952988</v>
      </c>
    </row>
    <row r="60" spans="1:5" ht="18" x14ac:dyDescent="0.25">
      <c r="A60" s="134" t="str">
        <f>VLOOKUP(B60,'[1]LISTADO ATM'!$A$2:$C$822,3,0)</f>
        <v>NORTE</v>
      </c>
      <c r="B60" s="142">
        <v>888</v>
      </c>
      <c r="C60" s="137" t="str">
        <f>VLOOKUP(B60,'[1]LISTADO ATM'!$A$2:$B$822,2,0)</f>
        <v>ATM Oficina galeria 56 II (SFM)</v>
      </c>
      <c r="D60" s="134" t="s">
        <v>2479</v>
      </c>
      <c r="E60" s="139">
        <v>3335953051</v>
      </c>
    </row>
    <row r="61" spans="1:5" ht="18" customHeight="1" x14ac:dyDescent="0.25">
      <c r="A61" s="134" t="e">
        <f>VLOOKUP(B61,'[1]LISTADO ATM'!$A$2:$C$822,3,0)</f>
        <v>#N/A</v>
      </c>
      <c r="B61" s="142"/>
      <c r="C61" s="137" t="e">
        <f>VLOOKUP(B61,'[1]LISTADO ATM'!$A$2:$B$822,2,0)</f>
        <v>#N/A</v>
      </c>
      <c r="D61" s="155"/>
      <c r="E61" s="139"/>
    </row>
    <row r="62" spans="1:5" ht="18" customHeight="1" x14ac:dyDescent="0.25">
      <c r="A62" s="134" t="e">
        <f>VLOOKUP(B62,'[1]LISTADO ATM'!$A$2:$C$822,3,0)</f>
        <v>#N/A</v>
      </c>
      <c r="B62" s="142"/>
      <c r="C62" s="137" t="e">
        <f>VLOOKUP(B62,'[1]LISTADO ATM'!$A$2:$B$822,2,0)</f>
        <v>#N/A</v>
      </c>
      <c r="D62" s="155"/>
      <c r="E62" s="139"/>
    </row>
    <row r="63" spans="1:5" ht="18.75" thickBot="1" x14ac:dyDescent="0.3">
      <c r="A63" s="138" t="s">
        <v>2472</v>
      </c>
      <c r="B63" s="147">
        <f>COUNT(B59:B60)</f>
        <v>2</v>
      </c>
      <c r="C63" s="128"/>
      <c r="D63" s="128"/>
      <c r="E63" s="128"/>
    </row>
    <row r="64" spans="1:5" ht="15.75" thickBot="1" x14ac:dyDescent="0.3">
      <c r="B64" s="148"/>
      <c r="E64" s="120"/>
    </row>
    <row r="65" spans="1:5" ht="18" x14ac:dyDescent="0.25">
      <c r="A65" s="178" t="s">
        <v>2583</v>
      </c>
      <c r="B65" s="179"/>
      <c r="C65" s="179"/>
      <c r="D65" s="179"/>
      <c r="E65" s="180"/>
    </row>
    <row r="66" spans="1:5" ht="18" x14ac:dyDescent="0.25">
      <c r="A66" s="117" t="s">
        <v>15</v>
      </c>
      <c r="B66" s="146" t="s">
        <v>2415</v>
      </c>
      <c r="C66" s="119" t="s">
        <v>46</v>
      </c>
      <c r="D66" s="132" t="s">
        <v>2418</v>
      </c>
      <c r="E66" s="132" t="s">
        <v>2416</v>
      </c>
    </row>
    <row r="67" spans="1:5" ht="18" customHeight="1" x14ac:dyDescent="0.25">
      <c r="A67" s="133" t="str">
        <f>VLOOKUP(B67,'[1]LISTADO ATM'!$A$2:$C$822,3,0)</f>
        <v>SUR</v>
      </c>
      <c r="B67" s="142">
        <v>880</v>
      </c>
      <c r="C67" s="137" t="str">
        <f>VLOOKUP(B67,'[1]LISTADO ATM'!$A$2:$B$822,2,0)</f>
        <v xml:space="preserve">ATM Autoservicio Barahona II </v>
      </c>
      <c r="D67" s="143" t="s">
        <v>2561</v>
      </c>
      <c r="E67" s="139">
        <v>3335947792</v>
      </c>
    </row>
    <row r="68" spans="1:5" ht="18" x14ac:dyDescent="0.25">
      <c r="A68" s="133" t="str">
        <f>VLOOKUP(B68,'[1]LISTADO ATM'!$A$2:$C$822,3,0)</f>
        <v>DISTRITO NACIONAL</v>
      </c>
      <c r="B68" s="142">
        <v>701</v>
      </c>
      <c r="C68" s="137" t="str">
        <f>VLOOKUP(B68,'[1]LISTADO ATM'!$A$2:$B$822,2,0)</f>
        <v>ATM Autoservicio Los Alcarrizos</v>
      </c>
      <c r="D68" s="144" t="s">
        <v>2560</v>
      </c>
      <c r="E68" s="139">
        <v>3335949614</v>
      </c>
    </row>
    <row r="69" spans="1:5" ht="18" customHeight="1" x14ac:dyDescent="0.25">
      <c r="A69" s="133" t="str">
        <f>VLOOKUP(B69,'[1]LISTADO ATM'!$A$2:$C$822,3,0)</f>
        <v>DISTRITO NACIONAL</v>
      </c>
      <c r="B69" s="142">
        <v>87</v>
      </c>
      <c r="C69" s="137" t="str">
        <f>VLOOKUP(B69,'[1]LISTADO ATM'!$A$2:$B$822,2,0)</f>
        <v xml:space="preserve">ATM Autoservicio Sarasota </v>
      </c>
      <c r="D69" s="143" t="s">
        <v>2561</v>
      </c>
      <c r="E69" s="139">
        <v>3335952959</v>
      </c>
    </row>
    <row r="70" spans="1:5" ht="18" x14ac:dyDescent="0.25">
      <c r="A70" s="133" t="str">
        <f>VLOOKUP(B70,'[1]LISTADO ATM'!$A$2:$C$822,3,0)</f>
        <v>ESTE</v>
      </c>
      <c r="B70" s="142">
        <v>673</v>
      </c>
      <c r="C70" s="137" t="str">
        <f>VLOOKUP(B70,'[1]LISTADO ATM'!$A$2:$B$822,2,0)</f>
        <v>ATM Clínica Dr. Cruz Jiminián</v>
      </c>
      <c r="D70" s="144" t="s">
        <v>2560</v>
      </c>
      <c r="E70" s="139">
        <v>3335952628</v>
      </c>
    </row>
    <row r="71" spans="1:5" ht="18.75" customHeight="1" x14ac:dyDescent="0.25">
      <c r="A71" s="133" t="str">
        <f>VLOOKUP(B71,'[1]LISTADO ATM'!$A$2:$C$822,3,0)</f>
        <v>ESTE</v>
      </c>
      <c r="B71" s="142">
        <v>608</v>
      </c>
      <c r="C71" s="137" t="str">
        <f>VLOOKUP(B71,'[1]LISTADO ATM'!$A$2:$B$822,2,0)</f>
        <v xml:space="preserve">ATM Oficina Jumbo (San Pedro) </v>
      </c>
      <c r="D71" s="143" t="s">
        <v>2561</v>
      </c>
      <c r="E71" s="139">
        <v>3335953003</v>
      </c>
    </row>
    <row r="72" spans="1:5" ht="18.75" customHeight="1" x14ac:dyDescent="0.25">
      <c r="A72" s="133" t="str">
        <f>VLOOKUP(B72,'[1]LISTADO ATM'!$A$2:$C$822,3,0)</f>
        <v>DISTRITO NACIONAL</v>
      </c>
      <c r="B72" s="142">
        <v>686</v>
      </c>
      <c r="C72" s="137" t="str">
        <f>VLOOKUP(B72,'[1]LISTADO ATM'!$A$2:$B$822,2,0)</f>
        <v>ATM Autoservicio Oficina Máximo Gómez</v>
      </c>
      <c r="D72" s="143" t="s">
        <v>2561</v>
      </c>
      <c r="E72" s="139">
        <v>3335953006</v>
      </c>
    </row>
    <row r="73" spans="1:5" ht="18" x14ac:dyDescent="0.25">
      <c r="A73" s="133" t="e">
        <f>VLOOKUP(B73,'[1]LISTADO ATM'!$A$2:$C$822,3,0)</f>
        <v>#N/A</v>
      </c>
      <c r="B73" s="142"/>
      <c r="C73" s="137" t="e">
        <f>VLOOKUP(B73,'[1]LISTADO ATM'!$A$2:$B$822,2,0)</f>
        <v>#N/A</v>
      </c>
      <c r="D73" s="143"/>
      <c r="E73" s="139"/>
    </row>
    <row r="74" spans="1:5" ht="18.75" customHeight="1" x14ac:dyDescent="0.25">
      <c r="A74" s="133" t="e">
        <f>VLOOKUP(B74,'[1]LISTADO ATM'!$A$2:$C$822,3,0)</f>
        <v>#N/A</v>
      </c>
      <c r="B74" s="142"/>
      <c r="C74" s="137" t="e">
        <f>VLOOKUP(B74,'[1]LISTADO ATM'!$A$2:$B$822,2,0)</f>
        <v>#N/A</v>
      </c>
      <c r="D74" s="144"/>
      <c r="E74" s="139"/>
    </row>
    <row r="75" spans="1:5" ht="18.75" customHeight="1" x14ac:dyDescent="0.25">
      <c r="A75" s="133" t="e">
        <f>VLOOKUP(B75,'[1]LISTADO ATM'!$A$2:$C$822,3,0)</f>
        <v>#N/A</v>
      </c>
      <c r="B75" s="142"/>
      <c r="C75" s="137" t="e">
        <f>VLOOKUP(B75,'[1]LISTADO ATM'!$A$2:$B$822,2,0)</f>
        <v>#N/A</v>
      </c>
      <c r="D75" s="144"/>
      <c r="E75" s="139"/>
    </row>
    <row r="76" spans="1:5" ht="18.75" thickBot="1" x14ac:dyDescent="0.3">
      <c r="A76" s="138" t="s">
        <v>2472</v>
      </c>
      <c r="B76" s="147">
        <f>COUNT(B67:B72)</f>
        <v>6</v>
      </c>
      <c r="C76" s="128"/>
      <c r="D76" s="131"/>
      <c r="E76" s="131"/>
    </row>
    <row r="77" spans="1:5" ht="18.75" customHeight="1" thickBot="1" x14ac:dyDescent="0.3">
      <c r="B77" s="148"/>
      <c r="E77" s="120"/>
    </row>
    <row r="78" spans="1:5" ht="18.75" thickBot="1" x14ac:dyDescent="0.3">
      <c r="A78" s="167" t="s">
        <v>2474</v>
      </c>
      <c r="B78" s="168"/>
      <c r="C78" s="115" t="s">
        <v>2412</v>
      </c>
      <c r="D78" s="120"/>
      <c r="E78" s="120"/>
    </row>
    <row r="79" spans="1:5" ht="18.75" thickBot="1" x14ac:dyDescent="0.3">
      <c r="A79" s="140">
        <f>+B55+B63+B76</f>
        <v>14</v>
      </c>
      <c r="B79" s="150"/>
    </row>
    <row r="80" spans="1:5" ht="18.75" customHeight="1" thickBot="1" x14ac:dyDescent="0.3">
      <c r="B80" s="148"/>
      <c r="E80" s="120"/>
    </row>
    <row r="81" spans="1:5" ht="18.75" thickBot="1" x14ac:dyDescent="0.3">
      <c r="A81" s="169" t="s">
        <v>2475</v>
      </c>
      <c r="B81" s="170"/>
      <c r="C81" s="170"/>
      <c r="D81" s="170"/>
      <c r="E81" s="171"/>
    </row>
    <row r="82" spans="1:5" ht="18" x14ac:dyDescent="0.25">
      <c r="A82" s="121" t="s">
        <v>15</v>
      </c>
      <c r="B82" s="146" t="s">
        <v>2415</v>
      </c>
      <c r="C82" s="119" t="s">
        <v>46</v>
      </c>
      <c r="D82" s="181" t="s">
        <v>2418</v>
      </c>
      <c r="E82" s="182"/>
    </row>
    <row r="83" spans="1:5" ht="18.75" customHeight="1" x14ac:dyDescent="0.25">
      <c r="A83" s="134" t="str">
        <f>VLOOKUP(B83,'[1]LISTADO ATM'!$A$2:$C$822,3,0)</f>
        <v>DISTRITO NACIONAL</v>
      </c>
      <c r="B83" s="142">
        <v>573</v>
      </c>
      <c r="C83" s="134" t="str">
        <f>VLOOKUP(B83,'[1]LISTADO ATM'!$A$2:$B$822,2,0)</f>
        <v xml:space="preserve">ATM IDSS </v>
      </c>
      <c r="D83" s="183" t="s">
        <v>2584</v>
      </c>
      <c r="E83" s="184"/>
    </row>
    <row r="84" spans="1:5" ht="18" x14ac:dyDescent="0.25">
      <c r="A84" s="134" t="str">
        <f>VLOOKUP(B84,'[1]LISTADO ATM'!$A$2:$C$822,3,0)</f>
        <v>DISTRITO NACIONAL</v>
      </c>
      <c r="B84" s="142">
        <v>815</v>
      </c>
      <c r="C84" s="134" t="str">
        <f>VLOOKUP(B84,'[1]LISTADO ATM'!$A$2:$B$822,2,0)</f>
        <v xml:space="preserve">ATM Oficina Atalaya del Mar </v>
      </c>
      <c r="D84" s="183" t="s">
        <v>2584</v>
      </c>
      <c r="E84" s="184"/>
    </row>
    <row r="85" spans="1:5" ht="18" x14ac:dyDescent="0.25">
      <c r="A85" s="134" t="str">
        <f>VLOOKUP(B85,'[1]LISTADO ATM'!$A$2:$C$822,3,0)</f>
        <v>DISTRITO NACIONAL</v>
      </c>
      <c r="B85" s="142">
        <v>974</v>
      </c>
      <c r="C85" s="134" t="str">
        <f>VLOOKUP(B85,'[1]LISTADO ATM'!$A$2:$B$822,2,0)</f>
        <v xml:space="preserve">ATM S/M Nacional Ave. Lope de Vega </v>
      </c>
      <c r="D85" s="183" t="s">
        <v>2584</v>
      </c>
      <c r="E85" s="184"/>
    </row>
    <row r="86" spans="1:5" ht="18.75" customHeight="1" x14ac:dyDescent="0.25">
      <c r="A86" s="134" t="str">
        <f>VLOOKUP(B86,'[1]LISTADO ATM'!$A$2:$C$822,3,0)</f>
        <v>DISTRITO NACIONAL</v>
      </c>
      <c r="B86" s="142">
        <v>725</v>
      </c>
      <c r="C86" s="134" t="str">
        <f>VLOOKUP(B86,'[1]LISTADO ATM'!$A$2:$B$822,2,0)</f>
        <v xml:space="preserve">ATM El Huacal II  </v>
      </c>
      <c r="D86" s="183" t="s">
        <v>2600</v>
      </c>
      <c r="E86" s="184"/>
    </row>
    <row r="87" spans="1:5" ht="18" x14ac:dyDescent="0.25">
      <c r="A87" s="134" t="str">
        <f>VLOOKUP(B87,'[1]LISTADO ATM'!$A$2:$C$822,3,0)</f>
        <v>SUR</v>
      </c>
      <c r="B87" s="142">
        <v>817</v>
      </c>
      <c r="C87" s="134" t="str">
        <f>VLOOKUP(B87,'[1]LISTADO ATM'!$A$2:$B$822,2,0)</f>
        <v xml:space="preserve">ATM Ayuntamiento Sabana Larga (San José de Ocoa) </v>
      </c>
      <c r="D87" s="183" t="s">
        <v>2584</v>
      </c>
      <c r="E87" s="184"/>
    </row>
    <row r="88" spans="1:5" ht="18" x14ac:dyDescent="0.25">
      <c r="A88" s="134" t="str">
        <f>VLOOKUP(B88,'[1]LISTADO ATM'!$A$2:$C$822,3,0)</f>
        <v>DISTRITO NACIONAL</v>
      </c>
      <c r="B88" s="142">
        <v>557</v>
      </c>
      <c r="C88" s="134" t="str">
        <f>VLOOKUP(B88,'[1]LISTADO ATM'!$A$2:$B$822,2,0)</f>
        <v xml:space="preserve">ATM Multicentro La Sirena Ave. Mella </v>
      </c>
      <c r="D88" s="183" t="s">
        <v>2600</v>
      </c>
      <c r="E88" s="184"/>
    </row>
    <row r="89" spans="1:5" ht="18" x14ac:dyDescent="0.25">
      <c r="A89" s="134" t="str">
        <f>VLOOKUP(B89,'[1]LISTADO ATM'!$A$2:$C$822,3,0)</f>
        <v>DISTRITO NACIONAL</v>
      </c>
      <c r="B89" s="142">
        <v>549</v>
      </c>
      <c r="C89" s="134" t="str">
        <f>VLOOKUP(B89,'[1]LISTADO ATM'!$A$2:$B$822,2,0)</f>
        <v xml:space="preserve">ATM Ministerio de Turismo (Oficinas Gubernamentales) </v>
      </c>
      <c r="D89" s="183" t="s">
        <v>2584</v>
      </c>
      <c r="E89" s="184"/>
    </row>
    <row r="90" spans="1:5" ht="18" x14ac:dyDescent="0.25">
      <c r="A90" s="134" t="str">
        <f>VLOOKUP(B90,'[1]LISTADO ATM'!$A$2:$C$822,3,0)</f>
        <v>DISTRITO NACIONAL</v>
      </c>
      <c r="B90" s="142">
        <v>565</v>
      </c>
      <c r="C90" s="134" t="str">
        <f>VLOOKUP(B90,'[1]LISTADO ATM'!$A$2:$B$822,2,0)</f>
        <v xml:space="preserve">ATM S/M La Cadena Núñez de Cáceres </v>
      </c>
      <c r="D90" s="183" t="s">
        <v>2584</v>
      </c>
      <c r="E90" s="184"/>
    </row>
    <row r="91" spans="1:5" ht="18" x14ac:dyDescent="0.25">
      <c r="A91" s="134" t="str">
        <f>VLOOKUP(B91,'[1]LISTADO ATM'!$A$2:$C$822,3,0)</f>
        <v>DISTRITO NACIONAL</v>
      </c>
      <c r="B91" s="142">
        <v>574</v>
      </c>
      <c r="C91" s="134" t="str">
        <f>VLOOKUP(B91,'[1]LISTADO ATM'!$A$2:$B$822,2,0)</f>
        <v xml:space="preserve">ATM Club Obras Públicas </v>
      </c>
      <c r="D91" s="183" t="s">
        <v>2584</v>
      </c>
      <c r="E91" s="184"/>
    </row>
    <row r="92" spans="1:5" ht="18" x14ac:dyDescent="0.25">
      <c r="A92" s="134" t="str">
        <f>VLOOKUP(B92,'[1]LISTADO ATM'!$A$2:$C$822,3,0)</f>
        <v>ESTE</v>
      </c>
      <c r="B92" s="142">
        <v>802</v>
      </c>
      <c r="C92" s="134" t="str">
        <f>VLOOKUP(B92,'[1]LISTADO ATM'!$A$2:$B$822,2,0)</f>
        <v xml:space="preserve">ATM UNP Aeropuerto La Romana </v>
      </c>
      <c r="D92" s="183" t="s">
        <v>2584</v>
      </c>
      <c r="E92" s="184"/>
    </row>
    <row r="93" spans="1:5" ht="18" x14ac:dyDescent="0.25">
      <c r="A93" s="134" t="str">
        <f>VLOOKUP(B93,'[1]LISTADO ATM'!$A$2:$C$822,3,0)</f>
        <v>DISTRITO NACIONAL</v>
      </c>
      <c r="B93" s="142">
        <v>153</v>
      </c>
      <c r="C93" s="134" t="str">
        <f>VLOOKUP(B93,'[1]LISTADO ATM'!$A$2:$B$822,2,0)</f>
        <v xml:space="preserve">ATM Rehabilitación </v>
      </c>
      <c r="D93" s="183" t="s">
        <v>2584</v>
      </c>
      <c r="E93" s="184"/>
    </row>
    <row r="94" spans="1:5" ht="18" x14ac:dyDescent="0.25">
      <c r="A94" s="134" t="str">
        <f>VLOOKUP(B94,'[1]LISTADO ATM'!$A$2:$C$822,3,0)</f>
        <v>NORTE</v>
      </c>
      <c r="B94" s="142">
        <v>926</v>
      </c>
      <c r="C94" s="134" t="str">
        <f>VLOOKUP(B94,'[1]LISTADO ATM'!$A$2:$B$822,2,0)</f>
        <v>ATM S/M Juan Cepin</v>
      </c>
      <c r="D94" s="183" t="s">
        <v>2584</v>
      </c>
      <c r="E94" s="184"/>
    </row>
    <row r="95" spans="1:5" ht="18" x14ac:dyDescent="0.25">
      <c r="A95" s="134" t="e">
        <f>VLOOKUP(B95,'[1]LISTADO ATM'!$A$2:$C$822,3,0)</f>
        <v>#N/A</v>
      </c>
      <c r="B95" s="142"/>
      <c r="C95" s="134" t="e">
        <f>VLOOKUP(B95,'[1]LISTADO ATM'!$A$2:$B$822,2,0)</f>
        <v>#N/A</v>
      </c>
      <c r="D95" s="152"/>
      <c r="E95" s="153"/>
    </row>
    <row r="96" spans="1:5" ht="18" x14ac:dyDescent="0.25">
      <c r="A96" s="134" t="e">
        <f>VLOOKUP(B96,'[1]LISTADO ATM'!$A$2:$C$822,3,0)</f>
        <v>#N/A</v>
      </c>
      <c r="B96" s="142"/>
      <c r="C96" s="134" t="e">
        <f>VLOOKUP(B96,'[1]LISTADO ATM'!$A$2:$B$822,2,0)</f>
        <v>#N/A</v>
      </c>
      <c r="D96" s="152"/>
      <c r="E96" s="153"/>
    </row>
    <row r="97" spans="1:5" ht="18" x14ac:dyDescent="0.25">
      <c r="A97" s="134" t="e">
        <f>VLOOKUP(B97,'[1]LISTADO ATM'!$A$2:$C$822,3,0)</f>
        <v>#N/A</v>
      </c>
      <c r="B97" s="142"/>
      <c r="C97" s="134" t="e">
        <f>VLOOKUP(B97,'[1]LISTADO ATM'!$A$2:$B$822,2,0)</f>
        <v>#N/A</v>
      </c>
      <c r="D97" s="152"/>
      <c r="E97" s="153"/>
    </row>
    <row r="98" spans="1:5" ht="18" x14ac:dyDescent="0.25">
      <c r="A98" s="134" t="e">
        <f>VLOOKUP(B98,'[1]LISTADO ATM'!$A$2:$C$822,3,0)</f>
        <v>#N/A</v>
      </c>
      <c r="B98" s="142"/>
      <c r="C98" s="134" t="e">
        <f>VLOOKUP(B98,'[1]LISTADO ATM'!$A$2:$B$822,2,0)</f>
        <v>#N/A</v>
      </c>
      <c r="D98" s="152"/>
      <c r="E98" s="153"/>
    </row>
    <row r="99" spans="1:5" ht="18" x14ac:dyDescent="0.25">
      <c r="A99" s="134" t="e">
        <f>VLOOKUP(B99,'[1]LISTADO ATM'!$A$2:$C$822,3,0)</f>
        <v>#N/A</v>
      </c>
      <c r="B99" s="142"/>
      <c r="C99" s="134" t="e">
        <f>VLOOKUP(B99,'[1]LISTADO ATM'!$A$2:$B$822,2,0)</f>
        <v>#N/A</v>
      </c>
      <c r="D99" s="152"/>
      <c r="E99" s="153"/>
    </row>
    <row r="100" spans="1:5" ht="18" x14ac:dyDescent="0.25">
      <c r="A100" s="134" t="e">
        <f>VLOOKUP(B100,'[1]LISTADO ATM'!$A$2:$C$822,3,0)</f>
        <v>#N/A</v>
      </c>
      <c r="B100" s="142"/>
      <c r="C100" s="134" t="e">
        <f>VLOOKUP(B100,'[1]LISTADO ATM'!$A$2:$B$822,2,0)</f>
        <v>#N/A</v>
      </c>
      <c r="D100" s="152"/>
      <c r="E100" s="153"/>
    </row>
    <row r="101" spans="1:5" ht="18.75" thickBot="1" x14ac:dyDescent="0.3">
      <c r="A101" s="138" t="s">
        <v>2472</v>
      </c>
      <c r="B101" s="147">
        <f>COUNT(B83:B94)</f>
        <v>12</v>
      </c>
      <c r="C101" s="135"/>
      <c r="D101" s="135"/>
      <c r="E101" s="136"/>
    </row>
  </sheetData>
  <mergeCells count="25">
    <mergeCell ref="A1:E1"/>
    <mergeCell ref="A2:E2"/>
    <mergeCell ref="A7:E7"/>
    <mergeCell ref="F1:G1"/>
    <mergeCell ref="D87:E87"/>
    <mergeCell ref="D83:E83"/>
    <mergeCell ref="D84:E84"/>
    <mergeCell ref="D85:E85"/>
    <mergeCell ref="D86:E86"/>
    <mergeCell ref="D82:E82"/>
    <mergeCell ref="D91:E91"/>
    <mergeCell ref="D92:E92"/>
    <mergeCell ref="D93:E93"/>
    <mergeCell ref="D94:E94"/>
    <mergeCell ref="D88:E88"/>
    <mergeCell ref="D89:E89"/>
    <mergeCell ref="D90:E90"/>
    <mergeCell ref="A78:B78"/>
    <mergeCell ref="A81:E81"/>
    <mergeCell ref="C31:E31"/>
    <mergeCell ref="A33:E33"/>
    <mergeCell ref="C41:E41"/>
    <mergeCell ref="A43:E43"/>
    <mergeCell ref="A57:E57"/>
    <mergeCell ref="A65:E65"/>
  </mergeCells>
  <phoneticPr fontId="46" type="noConversion"/>
  <conditionalFormatting sqref="B352:B1048576">
    <cfRule type="duplicateValues" dxfId="134" priority="103"/>
    <cfRule type="duplicateValues" dxfId="133" priority="105"/>
  </conditionalFormatting>
  <conditionalFormatting sqref="E352:E1048576">
    <cfRule type="duplicateValues" dxfId="132" priority="106"/>
  </conditionalFormatting>
  <conditionalFormatting sqref="E160:E351">
    <cfRule type="duplicateValues" dxfId="131" priority="100"/>
  </conditionalFormatting>
  <conditionalFormatting sqref="B160:B351">
    <cfRule type="duplicateValues" dxfId="130" priority="161171"/>
  </conditionalFormatting>
  <conditionalFormatting sqref="E10">
    <cfRule type="duplicateValues" dxfId="129" priority="35"/>
  </conditionalFormatting>
  <conditionalFormatting sqref="E54 E45:E46 E13 E17 E9">
    <cfRule type="duplicateValues" dxfId="128" priority="34"/>
  </conditionalFormatting>
  <conditionalFormatting sqref="E61:E62 E23">
    <cfRule type="duplicateValues" dxfId="127" priority="33"/>
  </conditionalFormatting>
  <conditionalFormatting sqref="E12">
    <cfRule type="duplicateValues" dxfId="126" priority="32"/>
  </conditionalFormatting>
  <conditionalFormatting sqref="E11">
    <cfRule type="duplicateValues" dxfId="125" priority="31"/>
  </conditionalFormatting>
  <conditionalFormatting sqref="E22">
    <cfRule type="duplicateValues" dxfId="124" priority="30"/>
  </conditionalFormatting>
  <conditionalFormatting sqref="E16">
    <cfRule type="duplicateValues" dxfId="123" priority="29"/>
  </conditionalFormatting>
  <conditionalFormatting sqref="E35">
    <cfRule type="duplicateValues" dxfId="122" priority="28"/>
  </conditionalFormatting>
  <conditionalFormatting sqref="E15">
    <cfRule type="duplicateValues" dxfId="121" priority="27"/>
  </conditionalFormatting>
  <conditionalFormatting sqref="E101:E159 E14 E55:E57 E63:E65 E1:E8 E37:E43 E67:E68 E28:E33 E75:E88">
    <cfRule type="duplicateValues" dxfId="120" priority="36"/>
  </conditionalFormatting>
  <conditionalFormatting sqref="E47">
    <cfRule type="duplicateValues" dxfId="119" priority="26"/>
  </conditionalFormatting>
  <conditionalFormatting sqref="B1:B159">
    <cfRule type="duplicateValues" dxfId="118" priority="16"/>
    <cfRule type="duplicateValues" dxfId="117" priority="19"/>
    <cfRule type="duplicateValues" dxfId="116" priority="23"/>
    <cfRule type="duplicateValues" dxfId="115" priority="25"/>
  </conditionalFormatting>
  <conditionalFormatting sqref="E48">
    <cfRule type="duplicateValues" dxfId="114" priority="24"/>
  </conditionalFormatting>
  <conditionalFormatting sqref="E24">
    <cfRule type="duplicateValues" dxfId="113" priority="22"/>
  </conditionalFormatting>
  <conditionalFormatting sqref="E18">
    <cfRule type="duplicateValues" dxfId="112" priority="21"/>
  </conditionalFormatting>
  <conditionalFormatting sqref="E19">
    <cfRule type="duplicateValues" dxfId="111" priority="20"/>
  </conditionalFormatting>
  <conditionalFormatting sqref="E89">
    <cfRule type="duplicateValues" dxfId="110" priority="37"/>
  </conditionalFormatting>
  <conditionalFormatting sqref="E92">
    <cfRule type="duplicateValues" dxfId="109" priority="38"/>
  </conditionalFormatting>
  <conditionalFormatting sqref="E93">
    <cfRule type="duplicateValues" dxfId="108" priority="39"/>
  </conditionalFormatting>
  <conditionalFormatting sqref="E94">
    <cfRule type="duplicateValues" dxfId="107" priority="17"/>
  </conditionalFormatting>
  <conditionalFormatting sqref="E94">
    <cfRule type="duplicateValues" dxfId="106" priority="18"/>
  </conditionalFormatting>
  <conditionalFormatting sqref="E20">
    <cfRule type="duplicateValues" dxfId="105" priority="14"/>
  </conditionalFormatting>
  <conditionalFormatting sqref="E20">
    <cfRule type="duplicateValues" dxfId="104" priority="15"/>
  </conditionalFormatting>
  <conditionalFormatting sqref="E74 E69:E70">
    <cfRule type="duplicateValues" dxfId="103" priority="12"/>
  </conditionalFormatting>
  <conditionalFormatting sqref="E69:E70">
    <cfRule type="duplicateValues" dxfId="102" priority="13"/>
  </conditionalFormatting>
  <conditionalFormatting sqref="E59">
    <cfRule type="duplicateValues" dxfId="101" priority="10"/>
  </conditionalFormatting>
  <conditionalFormatting sqref="E59">
    <cfRule type="duplicateValues" dxfId="100" priority="11"/>
  </conditionalFormatting>
  <conditionalFormatting sqref="E49:E50">
    <cfRule type="duplicateValues" dxfId="99" priority="8"/>
  </conditionalFormatting>
  <conditionalFormatting sqref="E49:E50">
    <cfRule type="duplicateValues" dxfId="98" priority="9"/>
  </conditionalFormatting>
  <conditionalFormatting sqref="E72:E73">
    <cfRule type="duplicateValues" dxfId="97" priority="6"/>
  </conditionalFormatting>
  <conditionalFormatting sqref="E72:E73">
    <cfRule type="duplicateValues" dxfId="96" priority="7"/>
  </conditionalFormatting>
  <conditionalFormatting sqref="E60">
    <cfRule type="duplicateValues" dxfId="95" priority="4"/>
  </conditionalFormatting>
  <conditionalFormatting sqref="E60">
    <cfRule type="duplicateValues" dxfId="94" priority="5"/>
  </conditionalFormatting>
  <conditionalFormatting sqref="E21 E25:E27">
    <cfRule type="duplicateValues" dxfId="93" priority="3"/>
  </conditionalFormatting>
  <conditionalFormatting sqref="E51:E53">
    <cfRule type="duplicateValues" dxfId="92" priority="1"/>
  </conditionalFormatting>
  <conditionalFormatting sqref="E51:E53">
    <cfRule type="duplicateValues" dxfId="91" priority="2"/>
  </conditionalFormatting>
  <conditionalFormatting sqref="E95:E100">
    <cfRule type="duplicateValues" dxfId="90" priority="40"/>
  </conditionalFormatting>
  <conditionalFormatting sqref="E95:E159 E54:E58 E22:E24 E61:E68 E75:E93 E1:E19 E28:E35 E37:E48">
    <cfRule type="duplicateValues" dxfId="89" priority="41"/>
  </conditionalFormatting>
  <conditionalFormatting sqref="E71 E36">
    <cfRule type="duplicateValues" dxfId="88" priority="42"/>
  </conditionalFormatting>
  <conditionalFormatting sqref="E90:E91">
    <cfRule type="duplicateValues" dxfId="87" priority="43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2536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69" customFormat="1" x14ac:dyDescent="0.25">
      <c r="A256" s="76">
        <v>363</v>
      </c>
      <c r="B256" s="76" t="s">
        <v>2468</v>
      </c>
      <c r="C256" s="76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69" customFormat="1" x14ac:dyDescent="0.25">
      <c r="A258" s="76">
        <v>365</v>
      </c>
      <c r="B258" s="76" t="s">
        <v>2466</v>
      </c>
      <c r="C258" s="76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69" customFormat="1" x14ac:dyDescent="0.25">
      <c r="A260" s="89">
        <v>368</v>
      </c>
      <c r="B260" s="89" t="s">
        <v>2532</v>
      </c>
      <c r="C260" s="89" t="s">
        <v>1274</v>
      </c>
    </row>
    <row r="261" spans="1:3" s="69" customFormat="1" x14ac:dyDescent="0.25">
      <c r="A261" s="76">
        <v>369</v>
      </c>
      <c r="B261" s="76" t="s">
        <v>2467</v>
      </c>
      <c r="C261" s="76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69" customFormat="1" x14ac:dyDescent="0.25">
      <c r="A270" s="74">
        <v>384</v>
      </c>
      <c r="B270" s="74" t="s">
        <v>2460</v>
      </c>
      <c r="C270" s="74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59" customFormat="1" x14ac:dyDescent="0.25">
      <c r="A351" s="66">
        <v>491</v>
      </c>
      <c r="B351" s="66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2538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69" customFormat="1" x14ac:dyDescent="0.25">
      <c r="A432" s="71">
        <v>581</v>
      </c>
      <c r="B432" s="71" t="s">
        <v>1602</v>
      </c>
      <c r="C432" s="71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2537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69" customFormat="1" x14ac:dyDescent="0.25">
      <c r="A451" s="76">
        <v>600</v>
      </c>
      <c r="B451" s="76" t="s">
        <v>2461</v>
      </c>
      <c r="C451" s="76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69" customFormat="1" x14ac:dyDescent="0.25">
      <c r="A465" s="76">
        <v>614</v>
      </c>
      <c r="B465" s="76" t="s">
        <v>2464</v>
      </c>
      <c r="C465" s="76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69" customFormat="1" x14ac:dyDescent="0.25">
      <c r="A511" s="89">
        <v>663</v>
      </c>
      <c r="B511" s="89" t="s">
        <v>2539</v>
      </c>
      <c r="C511" s="8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69" customFormat="1" x14ac:dyDescent="0.25">
      <c r="A637" s="76">
        <v>797</v>
      </c>
      <c r="B637" s="76" t="s">
        <v>2462</v>
      </c>
      <c r="C637" s="76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59" customFormat="1" x14ac:dyDescent="0.25">
      <c r="A822" s="38">
        <v>991</v>
      </c>
      <c r="B822" s="38" t="s">
        <v>1878</v>
      </c>
      <c r="C822" s="38" t="s">
        <v>1276</v>
      </c>
    </row>
    <row r="823" spans="1:3" s="59" customFormat="1" x14ac:dyDescent="0.25">
      <c r="A823" s="38">
        <v>993</v>
      </c>
      <c r="B823" s="38" t="s">
        <v>1879</v>
      </c>
      <c r="C823" s="38" t="s">
        <v>1273</v>
      </c>
    </row>
    <row r="824" spans="1:3" s="59" customFormat="1" x14ac:dyDescent="0.25">
      <c r="A824" s="38">
        <v>994</v>
      </c>
      <c r="B824" s="38" t="s">
        <v>2252</v>
      </c>
      <c r="C824" s="38" t="s">
        <v>1273</v>
      </c>
    </row>
    <row r="825" spans="1:3" s="69" customFormat="1" x14ac:dyDescent="0.25">
      <c r="A825" s="38">
        <v>995</v>
      </c>
      <c r="B825" s="38" t="s">
        <v>1880</v>
      </c>
      <c r="C825" s="38" t="s">
        <v>1275</v>
      </c>
    </row>
    <row r="826" spans="1:3" s="69" customFormat="1" x14ac:dyDescent="0.25">
      <c r="A826" s="38">
        <v>996</v>
      </c>
      <c r="B826" s="38" t="s">
        <v>1881</v>
      </c>
      <c r="C826" s="38" t="s">
        <v>1273</v>
      </c>
    </row>
    <row r="827" spans="1:3" s="69" customFormat="1" x14ac:dyDescent="0.25">
      <c r="A827" s="38">
        <v>166</v>
      </c>
      <c r="B827" s="38" t="s">
        <v>2541</v>
      </c>
      <c r="C827" s="38" t="s">
        <v>1276</v>
      </c>
    </row>
    <row r="828" spans="1:3" s="69" customFormat="1" x14ac:dyDescent="0.25">
      <c r="A828" s="38">
        <v>361</v>
      </c>
      <c r="B828" s="38" t="s">
        <v>2553</v>
      </c>
      <c r="C828" s="38" t="s">
        <v>1276</v>
      </c>
    </row>
    <row r="829" spans="1:3" s="69" customFormat="1" x14ac:dyDescent="0.25">
      <c r="A829" s="38">
        <v>375</v>
      </c>
      <c r="B829" s="38" t="s">
        <v>2562</v>
      </c>
      <c r="C829" s="38" t="s">
        <v>1273</v>
      </c>
    </row>
    <row r="830" spans="1:3" x14ac:dyDescent="0.25">
      <c r="A830" s="38">
        <v>371</v>
      </c>
      <c r="B830" s="38" t="s">
        <v>2580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86" priority="5"/>
  </conditionalFormatting>
  <conditionalFormatting sqref="A827">
    <cfRule type="duplicateValues" dxfId="85" priority="4"/>
  </conditionalFormatting>
  <conditionalFormatting sqref="A828">
    <cfRule type="duplicateValues" dxfId="84" priority="3"/>
  </conditionalFormatting>
  <conditionalFormatting sqref="A829">
    <cfRule type="duplicateValues" dxfId="83" priority="2"/>
  </conditionalFormatting>
  <conditionalFormatting sqref="A830">
    <cfRule type="duplicateValues" dxfId="8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3" t="s">
        <v>2420</v>
      </c>
      <c r="B1" s="194"/>
      <c r="C1" s="194"/>
      <c r="D1" s="194"/>
    </row>
    <row r="2" spans="1:5" x14ac:dyDescent="0.25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75" x14ac:dyDescent="0.25">
      <c r="A3" s="48">
        <v>3335925664</v>
      </c>
      <c r="B3" s="48" t="s">
        <v>2573</v>
      </c>
      <c r="C3" s="48" t="s">
        <v>2564</v>
      </c>
      <c r="D3" s="60" t="s">
        <v>2548</v>
      </c>
      <c r="E3" s="62"/>
    </row>
    <row r="4" spans="1:5" ht="15.75" x14ac:dyDescent="0.25">
      <c r="A4" s="48">
        <v>3335925995</v>
      </c>
      <c r="B4" s="48" t="s">
        <v>2574</v>
      </c>
      <c r="C4" s="48" t="s">
        <v>2564</v>
      </c>
      <c r="D4" s="60" t="s">
        <v>2548</v>
      </c>
      <c r="E4" s="62"/>
    </row>
    <row r="5" spans="1:5" ht="15.75" x14ac:dyDescent="0.25">
      <c r="A5" s="48">
        <v>3335926016</v>
      </c>
      <c r="B5" s="48" t="s">
        <v>2575</v>
      </c>
      <c r="C5" s="48" t="s">
        <v>2564</v>
      </c>
      <c r="D5" s="60" t="s">
        <v>2545</v>
      </c>
    </row>
    <row r="6" spans="1:5" ht="15.75" x14ac:dyDescent="0.25">
      <c r="A6" s="48">
        <v>3335926017</v>
      </c>
      <c r="B6" s="48" t="s">
        <v>2576</v>
      </c>
      <c r="C6" s="48" t="s">
        <v>2564</v>
      </c>
      <c r="D6" s="60" t="s">
        <v>2545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2424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2425</v>
      </c>
      <c r="D13" s="48">
        <f>COUNTIFS($D$3:$D$12,"Disponible")</f>
        <v>0</v>
      </c>
    </row>
    <row r="14" spans="1:5" ht="16.5" thickBot="1" x14ac:dyDescent="0.3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2427</v>
      </c>
      <c r="D15" s="52">
        <f>D13/D12</f>
        <v>0</v>
      </c>
    </row>
    <row r="16" spans="1:5" ht="15.75" thickBot="1" x14ac:dyDescent="0.3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3" t="s">
        <v>2429</v>
      </c>
      <c r="B18" s="194"/>
      <c r="C18" s="194"/>
      <c r="D18" s="194"/>
    </row>
    <row r="19" spans="1:4" x14ac:dyDescent="0.25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75" x14ac:dyDescent="0.25">
      <c r="A20" s="48">
        <v>3335925984</v>
      </c>
      <c r="B20" s="48" t="s">
        <v>2566</v>
      </c>
      <c r="C20" s="48" t="s">
        <v>2548</v>
      </c>
      <c r="D20" s="60" t="s">
        <v>2545</v>
      </c>
    </row>
    <row r="21" spans="1:4" ht="15.75" x14ac:dyDescent="0.25">
      <c r="A21" s="48">
        <v>3335925986</v>
      </c>
      <c r="B21" s="48" t="s">
        <v>2565</v>
      </c>
      <c r="C21" s="48" t="s">
        <v>2548</v>
      </c>
      <c r="D21" s="60" t="s">
        <v>2545</v>
      </c>
    </row>
    <row r="22" spans="1:4" ht="15.75" x14ac:dyDescent="0.25">
      <c r="A22" s="48">
        <v>3335925987</v>
      </c>
      <c r="B22" s="48" t="s">
        <v>2568</v>
      </c>
      <c r="C22" s="48" t="s">
        <v>2548</v>
      </c>
      <c r="D22" s="60" t="s">
        <v>2545</v>
      </c>
    </row>
    <row r="23" spans="1:4" ht="15.75" x14ac:dyDescent="0.25">
      <c r="A23" s="48">
        <v>3335925988</v>
      </c>
      <c r="B23" s="48" t="s">
        <v>2569</v>
      </c>
      <c r="C23" s="48" t="s">
        <v>2548</v>
      </c>
      <c r="D23" s="60" t="s">
        <v>2545</v>
      </c>
    </row>
    <row r="24" spans="1:4" s="78" customFormat="1" ht="15.75" x14ac:dyDescent="0.25">
      <c r="A24" s="48">
        <v>3335925991</v>
      </c>
      <c r="B24" s="48" t="s">
        <v>2570</v>
      </c>
      <c r="C24" s="48" t="s">
        <v>2548</v>
      </c>
      <c r="D24" s="60" t="s">
        <v>2545</v>
      </c>
    </row>
    <row r="25" spans="1:4" s="78" customFormat="1" ht="15.75" x14ac:dyDescent="0.25">
      <c r="A25" s="48">
        <v>3335925992</v>
      </c>
      <c r="B25" s="48" t="s">
        <v>2571</v>
      </c>
      <c r="C25" s="48" t="s">
        <v>2548</v>
      </c>
      <c r="D25" s="60" t="s">
        <v>2545</v>
      </c>
    </row>
    <row r="26" spans="1:4" s="78" customFormat="1" ht="15.75" x14ac:dyDescent="0.25">
      <c r="A26" s="48">
        <v>3335925993</v>
      </c>
      <c r="B26" s="48" t="s">
        <v>2572</v>
      </c>
      <c r="C26" s="48" t="s">
        <v>2548</v>
      </c>
      <c r="D26" s="60" t="s">
        <v>2545</v>
      </c>
    </row>
    <row r="27" spans="1:4" s="78" customFormat="1" ht="15.75" x14ac:dyDescent="0.25">
      <c r="A27" s="48">
        <v>3335925994</v>
      </c>
      <c r="B27" s="48" t="s">
        <v>2567</v>
      </c>
      <c r="C27" s="48" t="s">
        <v>2548</v>
      </c>
      <c r="D27" s="60" t="s">
        <v>2545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8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2432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2433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2426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2434</v>
      </c>
      <c r="D37" s="52">
        <f>D35/D34</f>
        <v>0</v>
      </c>
    </row>
    <row r="38" spans="1:4" ht="15.75" thickBot="1" x14ac:dyDescent="0.3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81" priority="18"/>
  </conditionalFormatting>
  <conditionalFormatting sqref="B7:B8">
    <cfRule type="duplicateValues" dxfId="80" priority="17"/>
  </conditionalFormatting>
  <conditionalFormatting sqref="A7:A8">
    <cfRule type="duplicateValues" dxfId="79" priority="15"/>
    <cfRule type="duplicateValues" dxfId="78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2021-07-13T23:15:02Z</dcterms:modified>
</cp:coreProperties>
</file>