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5\"/>
    </mc:Choice>
  </mc:AlternateContent>
  <bookViews>
    <workbookView xWindow="0" yWindow="0" windowWidth="28800" windowHeight="1233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  <externalReference r:id="rId21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REPORTE!$A$4:$Q$56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1" l="1"/>
  <c r="A26" i="1"/>
  <c r="A27" i="1"/>
  <c r="A28" i="1"/>
  <c r="A46" i="1"/>
  <c r="A47" i="1"/>
  <c r="A59" i="1"/>
  <c r="F37" i="1"/>
  <c r="G37" i="1"/>
  <c r="H37" i="1"/>
  <c r="I37" i="1"/>
  <c r="J37" i="1"/>
  <c r="K37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46" i="1"/>
  <c r="G46" i="1"/>
  <c r="H46" i="1"/>
  <c r="I46" i="1"/>
  <c r="J46" i="1"/>
  <c r="K46" i="1"/>
  <c r="F47" i="1"/>
  <c r="G47" i="1"/>
  <c r="H47" i="1"/>
  <c r="I47" i="1"/>
  <c r="J47" i="1"/>
  <c r="K47" i="1"/>
  <c r="F59" i="1"/>
  <c r="G59" i="1"/>
  <c r="H59" i="1"/>
  <c r="I59" i="1"/>
  <c r="J59" i="1"/>
  <c r="K59" i="1"/>
  <c r="F40" i="1" l="1"/>
  <c r="G40" i="1"/>
  <c r="H40" i="1"/>
  <c r="I40" i="1"/>
  <c r="J40" i="1"/>
  <c r="K40" i="1"/>
  <c r="F41" i="1"/>
  <c r="G41" i="1"/>
  <c r="H41" i="1"/>
  <c r="I41" i="1"/>
  <c r="J41" i="1"/>
  <c r="K41" i="1"/>
  <c r="A40" i="1"/>
  <c r="A41" i="1"/>
  <c r="F58" i="1"/>
  <c r="G58" i="1"/>
  <c r="H58" i="1"/>
  <c r="I58" i="1"/>
  <c r="J58" i="1"/>
  <c r="K58" i="1"/>
  <c r="A58" i="1"/>
  <c r="A26" i="16"/>
  <c r="B56" i="16"/>
  <c r="C55" i="16"/>
  <c r="A55" i="16"/>
  <c r="C54" i="16"/>
  <c r="A54" i="16"/>
  <c r="C53" i="16"/>
  <c r="A53" i="16"/>
  <c r="C52" i="16"/>
  <c r="A52" i="16"/>
  <c r="B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A48" i="16" s="1"/>
  <c r="C27" i="16"/>
  <c r="A27" i="16"/>
  <c r="C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25" i="1" l="1"/>
  <c r="A31" i="1"/>
  <c r="A36" i="1"/>
  <c r="A48" i="1"/>
  <c r="A24" i="1"/>
  <c r="A23" i="1"/>
  <c r="F25" i="1"/>
  <c r="G25" i="1"/>
  <c r="H25" i="1"/>
  <c r="I25" i="1"/>
  <c r="J25" i="1"/>
  <c r="K25" i="1"/>
  <c r="F31" i="1"/>
  <c r="G31" i="1"/>
  <c r="H31" i="1"/>
  <c r="I31" i="1"/>
  <c r="J31" i="1"/>
  <c r="K31" i="1"/>
  <c r="F36" i="1"/>
  <c r="G36" i="1"/>
  <c r="H36" i="1"/>
  <c r="I36" i="1"/>
  <c r="J36" i="1"/>
  <c r="K36" i="1"/>
  <c r="F48" i="1"/>
  <c r="G48" i="1"/>
  <c r="H48" i="1"/>
  <c r="I48" i="1"/>
  <c r="J48" i="1"/>
  <c r="K48" i="1"/>
  <c r="F24" i="1"/>
  <c r="G24" i="1"/>
  <c r="H24" i="1"/>
  <c r="I24" i="1"/>
  <c r="J24" i="1"/>
  <c r="K24" i="1"/>
  <c r="F23" i="1"/>
  <c r="G23" i="1"/>
  <c r="H23" i="1"/>
  <c r="I23" i="1"/>
  <c r="J23" i="1"/>
  <c r="K23" i="1"/>
  <c r="A12" i="1" l="1"/>
  <c r="F12" i="1"/>
  <c r="G12" i="1"/>
  <c r="H12" i="1"/>
  <c r="I12" i="1"/>
  <c r="J12" i="1"/>
  <c r="K12" i="1"/>
  <c r="K30" i="1"/>
  <c r="K29" i="1"/>
  <c r="K45" i="1"/>
  <c r="K57" i="1"/>
  <c r="K56" i="1"/>
  <c r="K49" i="1"/>
  <c r="K50" i="1"/>
  <c r="K44" i="1"/>
  <c r="K35" i="1"/>
  <c r="K66" i="1"/>
  <c r="K55" i="1"/>
  <c r="K54" i="1"/>
  <c r="J30" i="1"/>
  <c r="J29" i="1"/>
  <c r="J45" i="1"/>
  <c r="J57" i="1"/>
  <c r="J56" i="1"/>
  <c r="J49" i="1"/>
  <c r="J50" i="1"/>
  <c r="J44" i="1"/>
  <c r="J35" i="1"/>
  <c r="J66" i="1"/>
  <c r="J55" i="1"/>
  <c r="J54" i="1"/>
  <c r="I30" i="1"/>
  <c r="I29" i="1"/>
  <c r="I45" i="1"/>
  <c r="I57" i="1"/>
  <c r="I56" i="1"/>
  <c r="I49" i="1"/>
  <c r="I50" i="1"/>
  <c r="I44" i="1"/>
  <c r="I35" i="1"/>
  <c r="I66" i="1"/>
  <c r="I55" i="1"/>
  <c r="I54" i="1"/>
  <c r="H30" i="1"/>
  <c r="H29" i="1"/>
  <c r="H45" i="1"/>
  <c r="H57" i="1"/>
  <c r="H56" i="1"/>
  <c r="H49" i="1"/>
  <c r="H50" i="1"/>
  <c r="H44" i="1"/>
  <c r="H35" i="1"/>
  <c r="H66" i="1"/>
  <c r="H55" i="1"/>
  <c r="H54" i="1"/>
  <c r="G30" i="1"/>
  <c r="G29" i="1"/>
  <c r="G45" i="1"/>
  <c r="G57" i="1"/>
  <c r="G56" i="1"/>
  <c r="G49" i="1"/>
  <c r="G50" i="1"/>
  <c r="G44" i="1"/>
  <c r="G35" i="1"/>
  <c r="G66" i="1"/>
  <c r="G55" i="1"/>
  <c r="G54" i="1"/>
  <c r="F30" i="1"/>
  <c r="F29" i="1"/>
  <c r="F45" i="1"/>
  <c r="F57" i="1"/>
  <c r="F56" i="1"/>
  <c r="F49" i="1"/>
  <c r="F50" i="1"/>
  <c r="F44" i="1"/>
  <c r="F35" i="1"/>
  <c r="F66" i="1"/>
  <c r="F55" i="1"/>
  <c r="F54" i="1"/>
  <c r="A30" i="1"/>
  <c r="A29" i="1"/>
  <c r="A45" i="1"/>
  <c r="A57" i="1"/>
  <c r="A56" i="1"/>
  <c r="A49" i="1"/>
  <c r="A50" i="1"/>
  <c r="A44" i="1"/>
  <c r="A35" i="1"/>
  <c r="A66" i="1"/>
  <c r="A55" i="1"/>
  <c r="A54" i="1"/>
  <c r="F65" i="1" l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22" i="1"/>
  <c r="G22" i="1"/>
  <c r="H22" i="1"/>
  <c r="I22" i="1"/>
  <c r="J22" i="1"/>
  <c r="K22" i="1"/>
  <c r="F21" i="1"/>
  <c r="G21" i="1"/>
  <c r="H21" i="1"/>
  <c r="I21" i="1"/>
  <c r="J21" i="1"/>
  <c r="K21" i="1"/>
  <c r="F43" i="1"/>
  <c r="G43" i="1"/>
  <c r="H43" i="1"/>
  <c r="I43" i="1"/>
  <c r="J43" i="1"/>
  <c r="K43" i="1"/>
  <c r="F20" i="1"/>
  <c r="G20" i="1"/>
  <c r="H20" i="1"/>
  <c r="I20" i="1"/>
  <c r="J20" i="1"/>
  <c r="K20" i="1"/>
  <c r="F42" i="1"/>
  <c r="G42" i="1"/>
  <c r="H42" i="1"/>
  <c r="I42" i="1"/>
  <c r="J42" i="1"/>
  <c r="K42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65" i="1"/>
  <c r="A64" i="1"/>
  <c r="A63" i="1"/>
  <c r="A62" i="1"/>
  <c r="A22" i="1"/>
  <c r="A21" i="1"/>
  <c r="A43" i="1"/>
  <c r="A20" i="1"/>
  <c r="A42" i="1"/>
  <c r="A19" i="1"/>
  <c r="A18" i="1"/>
  <c r="A17" i="1"/>
  <c r="A16" i="1"/>
  <c r="F61" i="1" l="1"/>
  <c r="G61" i="1"/>
  <c r="H61" i="1"/>
  <c r="I61" i="1"/>
  <c r="J61" i="1"/>
  <c r="K61" i="1"/>
  <c r="F15" i="1"/>
  <c r="G15" i="1"/>
  <c r="H15" i="1"/>
  <c r="I15" i="1"/>
  <c r="J15" i="1"/>
  <c r="K15" i="1"/>
  <c r="F60" i="1"/>
  <c r="G60" i="1"/>
  <c r="H60" i="1"/>
  <c r="I60" i="1"/>
  <c r="J60" i="1"/>
  <c r="K60" i="1"/>
  <c r="F14" i="1"/>
  <c r="G14" i="1"/>
  <c r="H14" i="1"/>
  <c r="I14" i="1"/>
  <c r="J14" i="1"/>
  <c r="K14" i="1"/>
  <c r="F13" i="1"/>
  <c r="G13" i="1"/>
  <c r="H13" i="1"/>
  <c r="I13" i="1"/>
  <c r="J13" i="1"/>
  <c r="K13" i="1"/>
  <c r="A61" i="1"/>
  <c r="A15" i="1"/>
  <c r="A60" i="1"/>
  <c r="A14" i="1"/>
  <c r="A13" i="1"/>
  <c r="F11" i="1" l="1"/>
  <c r="G11" i="1"/>
  <c r="H11" i="1"/>
  <c r="I11" i="1"/>
  <c r="J11" i="1"/>
  <c r="K11" i="1"/>
  <c r="F34" i="1"/>
  <c r="G34" i="1"/>
  <c r="H34" i="1"/>
  <c r="I34" i="1"/>
  <c r="J34" i="1"/>
  <c r="K34" i="1"/>
  <c r="F38" i="1"/>
  <c r="G38" i="1"/>
  <c r="H38" i="1"/>
  <c r="I38" i="1"/>
  <c r="J38" i="1"/>
  <c r="K38" i="1"/>
  <c r="A11" i="1"/>
  <c r="A34" i="1"/>
  <c r="A38" i="1"/>
  <c r="F10" i="1" l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0" i="1"/>
  <c r="A9" i="1"/>
  <c r="A8" i="1"/>
  <c r="A7" i="1" l="1"/>
  <c r="F7" i="1"/>
  <c r="G7" i="1"/>
  <c r="H7" i="1"/>
  <c r="I7" i="1"/>
  <c r="J7" i="1"/>
  <c r="K7" i="1"/>
  <c r="A53" i="1" l="1"/>
  <c r="A52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 l="1"/>
  <c r="G51" i="1"/>
  <c r="H51" i="1"/>
  <c r="I51" i="1"/>
  <c r="J51" i="1"/>
  <c r="K51" i="1"/>
  <c r="A51" i="1"/>
  <c r="F39" i="1" l="1"/>
  <c r="G39" i="1"/>
  <c r="H39" i="1"/>
  <c r="I39" i="1"/>
  <c r="J39" i="1"/>
  <c r="K39" i="1"/>
  <c r="A39" i="1"/>
  <c r="A6" i="1" l="1"/>
  <c r="F6" i="1"/>
  <c r="G6" i="1"/>
  <c r="H6" i="1"/>
  <c r="I6" i="1"/>
  <c r="J6" i="1"/>
  <c r="K6" i="1"/>
  <c r="F33" i="1" l="1"/>
  <c r="G33" i="1"/>
  <c r="H33" i="1"/>
  <c r="I33" i="1"/>
  <c r="J33" i="1"/>
  <c r="K33" i="1"/>
  <c r="A33" i="1"/>
  <c r="F5" i="1" l="1"/>
  <c r="G5" i="1"/>
  <c r="H5" i="1"/>
  <c r="I5" i="1"/>
  <c r="J5" i="1"/>
  <c r="K5" i="1"/>
  <c r="A5" i="1"/>
  <c r="I7" i="16" l="1"/>
  <c r="I2" i="16"/>
  <c r="I4" i="16"/>
  <c r="I6" i="16"/>
  <c r="H1" i="16" l="1"/>
  <c r="I1" i="16"/>
  <c r="I3" i="16"/>
  <c r="G7" i="16"/>
  <c r="A32" i="1" l="1"/>
  <c r="F32" i="1"/>
  <c r="G32" i="1"/>
  <c r="H32" i="1"/>
  <c r="I32" i="1"/>
  <c r="J32" i="1"/>
  <c r="K32" i="1"/>
  <c r="I5" i="16" l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<sst xmlns="http://schemas.openxmlformats.org/spreadsheetml/2006/main" count="13379" uniqueCount="2632">
  <si>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</si>
  <si>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</si>
  <si>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</si>
  <si>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</si>
  <si>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</si>
  <si>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</si>
  <si>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</si>
  <si>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</si>
  <si>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</si>
  <si>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</si>
  <si>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</si>
  <si>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</si>
  <si>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</si>
  <si>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</si>
  <si>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</si>
  <si>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</si>
  <si>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</si>
  <si>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</si>
  <si>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</si>
  <si>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</si>
  <si>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</si>
  <si>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</si>
  <si>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</si>
  <si>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</si>
  <si>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</si>
  <si>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</si>
  <si>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</si>
  <si>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</si>
  <si>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</si>
  <si>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</si>
  <si>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</si>
  <si>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</si>
  <si>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</si>
  <si>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</si>
  <si>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</si>
  <si>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</si>
  <si>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</si>
  <si>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</si>
  <si>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</si>
  <si>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</si>
  <si>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</si>
  <si>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</si>
  <si>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</si>
  <si>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</si>
  <si>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</si>
  <si>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</si>
  <si>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</si>
  <si>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</si>
  <si>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</si>
  <si>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</si>
  <si>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</si>
  <si>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</si>
  <si>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</si>
  <si>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</si>
  <si>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</si>
  <si>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</si>
  <si>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</si>
  <si>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</si>
  <si>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</si>
  <si>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</si>
  <si>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</si>
  <si>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</si>
  <si>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</si>
  <si>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</si>
  <si>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</si>
  <si>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</si>
  <si>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</si>
  <si>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</si>
  <si>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</si>
  <si>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</si>
  <si>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</si>
  <si>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</si>
  <si>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</si>
  <si>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</si>
  <si>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</si>
  <si>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</si>
  <si>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</si>
  <si>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</si>
  <si>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</si>
  <si>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</si>
  <si>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</si>
  <si>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</si>
  <si>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</si>
  <si>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</si>
  <si>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</si>
  <si>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</si>
  <si>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</si>
  <si>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</si>
  <si>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</si>
  <si>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</si>
  <si>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</si>
  <si>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</si>
  <si>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</si>
  <si>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</si>
  <si>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</si>
  <si>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</si>
  <si>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</si>
  <si>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</si>
  <si>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</si>
  <si>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</si>
  <si>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</si>
  <si>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</si>
  <si>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</si>
  <si>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</si>
  <si>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</si>
  <si>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</si>
  <si>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</si>
  <si>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</si>
  <si>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</si>
  <si>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</si>
  <si>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</si>
  <si>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</si>
  <si>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</si>
  <si>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</si>
  <si>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</si>
  <si>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</si>
  <si>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</si>
  <si>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</si>
  <si>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</si>
  <si>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</si>
  <si>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</si>
  <si>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</si>
  <si>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</si>
  <si>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</si>
  <si>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</si>
  <si>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</si>
  <si>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</si>
  <si>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</si>
  <si>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</si>
  <si>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</si>
  <si>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</si>
  <si>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</si>
  <si>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</si>
  <si>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</si>
  <si>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</si>
  <si>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</si>
  <si>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</si>
  <si>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</si>
  <si>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</si>
  <si>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</si>
  <si>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</si>
  <si>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</si>
  <si>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</si>
  <si>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</si>
  <si>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</si>
  <si>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</si>
  <si>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</si>
  <si>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</si>
  <si>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</si>
  <si>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</si>
  <si>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</si>
  <si>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</si>
  <si>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</si>
  <si>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</si>
  <si>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</si>
  <si>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</si>
  <si>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</si>
  <si>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</si>
  <si>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</si>
  <si>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</si>
  <si>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</si>
  <si>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</si>
  <si>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</si>
  <si>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</si>
  <si>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</si>
  <si>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</si>
  <si>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</si>
  <si>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</si>
  <si>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</si>
  <si>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</si>
  <si>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</si>
  <si>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</si>
  <si>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</si>
  <si>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</si>
  <si>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</si>
  <si>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</si>
  <si>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</si>
  <si>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</si>
  <si>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</si>
  <si>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</si>
  <si>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</si>
  <si>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</si>
  <si>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</si>
  <si>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</si>
  <si>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</si>
  <si>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</si>
  <si>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</si>
  <si>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</si>
  <si>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</si>
  <si>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</si>
  <si>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</si>
  <si>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</si>
  <si>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</si>
  <si>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</si>
  <si>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</si>
  <si>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</si>
  <si>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</si>
  <si>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</si>
  <si>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</si>
  <si>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</si>
  <si>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</si>
  <si>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</si>
  <si>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</si>
  <si>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</si>
  <si>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</si>
  <si>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</si>
  <si>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</si>
  <si>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</si>
  <si>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</si>
  <si>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</si>
  <si>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</si>
  <si>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</si>
  <si>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</si>
  <si>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</si>
  <si>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</si>
  <si>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</si>
  <si>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</si>
  <si>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</si>
  <si>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</si>
  <si>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</si>
  <si>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</si>
  <si>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</si>
  <si>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</si>
  <si>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</si>
  <si>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</si>
  <si>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</si>
  <si>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</si>
  <si>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</si>
  <si>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</si>
  <si>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</si>
  <si>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</si>
  <si>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</si>
  <si>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</si>
  <si>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</si>
  <si>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</si>
  <si>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</si>
  <si>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</si>
  <si>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</si>
  <si>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</si>
  <si>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</si>
  <si>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</si>
  <si>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</si>
  <si>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</si>
  <si>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</si>
  <si>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</si>
  <si>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</si>
  <si>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</si>
  <si>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</si>
  <si>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</si>
  <si>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</si>
  <si>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</si>
  <si>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</si>
  <si>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</si>
  <si>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</si>
  <si>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</si>
  <si>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</si>
  <si>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</si>
  <si>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</si>
  <si>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</si>
  <si>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</si>
  <si>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</si>
  <si>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</si>
  <si>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</si>
  <si>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</si>
  <si>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</si>
  <si>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</si>
  <si>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</si>
  <si>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</si>
  <si>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</si>
  <si>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</si>
  <si>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</si>
  <si>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</si>
  <si>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</si>
  <si>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</si>
  <si>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</si>
  <si>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</si>
  <si>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</si>
  <si>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</si>
  <si>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</si>
  <si>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</si>
  <si>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</si>
  <si>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</si>
  <si>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</si>
  <si>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</si>
  <si>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</si>
  <si>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</si>
  <si>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</si>
  <si>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</si>
  <si>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</si>
  <si>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</si>
  <si>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</si>
  <si>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</si>
  <si>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</si>
  <si>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</si>
  <si>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</si>
  <si>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</si>
  <si>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</si>
  <si>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</si>
  <si>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</si>
  <si>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</si>
  <si>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</si>
  <si>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</si>
  <si>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</si>
  <si>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</si>
  <si>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</si>
  <si>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</si>
  <si>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</si>
  <si>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</si>
  <si>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</si>
  <si>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</si>
  <si>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</si>
  <si>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</si>
  <si>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</si>
  <si>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</si>
  <si>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</si>
  <si>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</si>
  <si>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</si>
  <si>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</si>
  <si>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</si>
  <si>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</si>
  <si>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</si>
  <si>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</si>
  <si>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</si>
  <si>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</si>
  <si>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</si>
  <si>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</si>
  <si>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</si>
  <si>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</si>
  <si>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</si>
  <si>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</si>
  <si>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</si>
  <si>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</si>
  <si>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</si>
  <si>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</si>
  <si>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</si>
  <si>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</si>
  <si>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</si>
  <si>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</si>
  <si>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</si>
  <si>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</si>
  <si>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</si>
  <si>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</si>
  <si>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</si>
  <si>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</si>
  <si>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</si>
  <si>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</si>
  <si>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</si>
  <si>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</si>
  <si>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</si>
  <si>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</si>
  <si>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</si>
  <si>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</si>
  <si>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</si>
  <si>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</si>
  <si>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</si>
  <si>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</si>
  <si>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</si>
  <si>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</si>
  <si>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</si>
  <si>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</si>
  <si>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</si>
  <si>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</si>
  <si>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</si>
  <si>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</si>
  <si>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</si>
  <si>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</si>
  <si>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</si>
  <si>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</si>
  <si>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</si>
  <si>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</si>
  <si>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</si>
  <si>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</si>
  <si>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</si>
  <si>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</si>
  <si>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</si>
  <si>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</si>
  <si>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</si>
  <si>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</si>
  <si>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</si>
  <si>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</si>
  <si>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</si>
  <si>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</si>
  <si>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</si>
  <si>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</si>
  <si>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</si>
  <si>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</si>
  <si>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</si>
  <si>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</si>
  <si>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</si>
  <si>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</si>
  <si>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</si>
  <si>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</si>
  <si>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</si>
  <si>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</si>
  <si>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</si>
  <si>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</si>
  <si>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</si>
  <si>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</si>
  <si>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</si>
  <si>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</si>
  <si>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</si>
  <si>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</si>
  <si>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</si>
  <si>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</si>
  <si>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</si>
  <si>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</si>
  <si>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</si>
  <si>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</si>
  <si>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</si>
  <si>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</si>
  <si>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</si>
  <si>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</si>
  <si>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</si>
  <si>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</si>
  <si>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</si>
  <si>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</si>
  <si>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</si>
  <si>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</si>
  <si>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</si>
  <si>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</si>
  <si>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</si>
  <si>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</si>
  <si>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</si>
  <si>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</si>
  <si>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</si>
  <si>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</si>
  <si>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</si>
  <si>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</si>
  <si>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</si>
  <si>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</si>
  <si>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</si>
  <si>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</si>
  <si>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</si>
  <si>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</si>
  <si>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</si>
  <si>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</si>
  <si>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</si>
  <si>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</si>
  <si>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</si>
  <si>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</si>
  <si>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</si>
  <si>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</si>
  <si>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</si>
  <si>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</si>
  <si>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</si>
  <si>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</si>
  <si>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</si>
  <si>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</si>
  <si>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</si>
  <si>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</si>
  <si>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</si>
  <si>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</si>
  <si>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</si>
  <si>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</si>
  <si>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</si>
  <si>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</si>
  <si>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</si>
  <si>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</si>
  <si>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</si>
  <si>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</si>
  <si>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</si>
  <si>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</si>
  <si>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</si>
  <si>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</si>
  <si>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</si>
  <si>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</si>
  <si>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</si>
  <si>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</si>
  <si>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</si>
  <si>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</si>
  <si>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</si>
  <si>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</si>
  <si>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</si>
  <si>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</si>
  <si>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</si>
  <si>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</si>
  <si>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</si>
  <si>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</si>
  <si>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</si>
  <si>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</si>
  <si>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</si>
  <si>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</si>
  <si>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</si>
  <si>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</si>
  <si>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</si>
  <si>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</si>
  <si>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</si>
  <si>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</si>
  <si>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</si>
  <si>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</si>
  <si>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</si>
  <si>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</si>
  <si>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</si>
  <si>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</si>
  <si>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</si>
  <si>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</si>
  <si>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</si>
  <si>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</si>
  <si>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</si>
  <si>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</si>
  <si>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</si>
  <si>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</si>
  <si>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</si>
  <si>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</si>
  <si>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</si>
  <si>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</si>
  <si>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</si>
  <si>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</si>
  <si>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</si>
  <si>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</si>
  <si>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</si>
  <si>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</si>
  <si>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</si>
  <si>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</si>
  <si>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</si>
  <si>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</si>
  <si>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</si>
  <si>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</si>
  <si>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</si>
  <si>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</si>
  <si>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</si>
  <si>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</si>
  <si>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</si>
  <si>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</si>
  <si>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</si>
  <si>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</si>
  <si>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</si>
  <si>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</si>
  <si>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</si>
  <si>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</si>
  <si>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</si>
  <si>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</si>
  <si>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</si>
  <si>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</si>
  <si>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</si>
  <si>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</si>
  <si>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</si>
  <si>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</si>
  <si>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</si>
  <si>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</si>
  <si>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</si>
  <si>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</si>
  <si>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</si>
  <si>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</si>
  <si>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</si>
  <si>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</si>
  <si>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</si>
  <si>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</si>
  <si>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</si>
  <si>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</si>
  <si>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</si>
  <si>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</si>
  <si>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</si>
  <si>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</si>
  <si>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</si>
  <si>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</si>
  <si>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</si>
  <si>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</si>
  <si>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</si>
  <si>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</si>
  <si>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</si>
  <si>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</si>
  <si>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</si>
  <si>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</si>
  <si>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</si>
  <si>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</si>
  <si>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</si>
  <si>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</si>
  <si>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</si>
  <si>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</si>
  <si>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</si>
  <si>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</si>
  <si>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</si>
  <si>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</si>
  <si>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</si>
  <si>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</si>
  <si>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</si>
  <si>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</si>
  <si>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</si>
  <si>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</si>
  <si>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</si>
  <si>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</si>
  <si>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</si>
  <si>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</si>
  <si>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</si>
  <si>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</si>
  <si>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</si>
  <si>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</si>
  <si>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</si>
  <si>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</si>
  <si>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</si>
  <si>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</si>
  <si>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</si>
  <si>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</si>
  <si>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</si>
  <si>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</si>
  <si>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</si>
  <si>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</si>
  <si>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</si>
  <si>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</si>
  <si>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</si>
  <si>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</si>
  <si>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</si>
  <si>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</si>
  <si>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</si>
  <si>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</si>
  <si>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</si>
  <si>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</si>
  <si>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</si>
  <si>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</si>
  <si>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</si>
  <si>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</si>
  <si>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</si>
  <si>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</si>
  <si>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</si>
  <si>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</si>
  <si>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</si>
  <si>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</si>
  <si>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</si>
  <si>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</si>
  <si>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</si>
  <si>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</si>
  <si>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</si>
  <si>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</si>
  <si>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</si>
  <si>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</si>
  <si>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</si>
  <si>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</si>
  <si>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</si>
  <si>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</si>
  <si>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</si>
  <si>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</si>
  <si>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</si>
  <si>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</si>
  <si>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</si>
  <si>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</si>
  <si>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</si>
  <si>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</si>
  <si>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</si>
  <si>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</si>
  <si>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</si>
  <si>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</si>
  <si>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</si>
  <si>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</si>
  <si>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</si>
  <si>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</si>
  <si>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</si>
  <si>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</si>
  <si>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</si>
  <si>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</si>
  <si>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</si>
  <si>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</si>
  <si>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</si>
  <si>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</si>
  <si>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</si>
  <si>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</si>
  <si>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</si>
  <si>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</si>
  <si>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</si>
  <si>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</si>
  <si>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</si>
  <si>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</si>
  <si>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</si>
  <si>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</si>
  <si>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</si>
  <si>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</si>
  <si>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</si>
  <si>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</si>
  <si>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</si>
  <si>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</si>
  <si>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</si>
  <si>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</si>
  <si>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</si>
  <si>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</si>
  <si>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</si>
  <si>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</si>
  <si>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</si>
  <si>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</si>
  <si>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</si>
  <si>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</si>
  <si>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</si>
  <si>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</si>
  <si>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</si>
  <si>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</si>
  <si>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</si>
  <si>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</si>
  <si>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</si>
  <si>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</si>
  <si>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</si>
  <si>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</si>
  <si>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</si>
  <si>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</si>
  <si>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</si>
  <si>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</si>
  <si>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</si>
  <si>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</si>
  <si>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</si>
  <si>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</si>
  <si>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</si>
  <si>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</si>
  <si>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</si>
  <si>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</si>
  <si>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</si>
  <si>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</si>
  <si>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</si>
  <si>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</si>
  <si>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</si>
  <si>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</si>
  <si>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</si>
  <si>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</si>
  <si>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</si>
  <si>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</si>
  <si>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</si>
  <si>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</si>
  <si>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</si>
  <si>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</si>
  <si>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</si>
  <si>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</si>
  <si>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</si>
  <si>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</si>
  <si>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</si>
  <si>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</si>
  <si>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</si>
  <si>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</si>
  <si>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</si>
  <si>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</si>
  <si>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</si>
  <si>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</si>
  <si>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</si>
  <si>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</si>
  <si>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</si>
  <si>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</si>
  <si>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</si>
  <si>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</si>
  <si>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</si>
  <si>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</si>
  <si>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</si>
  <si>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</si>
  <si>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</si>
  <si>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</si>
  <si>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</si>
  <si>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</si>
  <si>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</si>
  <si>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</si>
  <si>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</si>
  <si>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</si>
  <si>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</si>
  <si>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</si>
  <si>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</si>
  <si>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</si>
  <si>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</si>
  <si>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</si>
  <si>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</si>
  <si>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</si>
  <si>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</si>
  <si>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</si>
  <si>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</si>
  <si>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</si>
  <si>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</si>
  <si>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</si>
  <si>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</si>
  <si>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</si>
  <si>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</si>
  <si>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</si>
  <si>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</si>
  <si>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</si>
  <si>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</si>
  <si>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</si>
  <si>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</si>
  <si>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</si>
  <si>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</si>
  <si>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</si>
  <si>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</si>
  <si>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</si>
  <si>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</si>
  <si>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</si>
  <si>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</si>
  <si>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</si>
  <si>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</si>
  <si>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</si>
  <si>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</si>
  <si>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</si>
  <si>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</si>
  <si>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</si>
  <si>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</si>
  <si>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</si>
  <si>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</si>
  <si>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</si>
  <si>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</si>
  <si>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</si>
  <si>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</si>
  <si>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</si>
  <si>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</si>
  <si>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</si>
  <si>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</si>
  <si>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</si>
  <si>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</si>
  <si>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</si>
  <si>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</si>
  <si>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</si>
  <si>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</si>
  <si>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</si>
  <si>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</si>
  <si>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</si>
  <si>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</si>
  <si>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</si>
  <si>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</si>
  <si>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</si>
  <si>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</si>
  <si>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</si>
  <si>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</si>
  <si>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</si>
  <si>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</si>
  <si>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</si>
  <si>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</si>
  <si>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</si>
  <si>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</si>
  <si>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</si>
  <si>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</si>
  <si>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</si>
  <si>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</si>
  <si>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</si>
  <si>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</si>
  <si>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</si>
  <si>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</si>
  <si>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</si>
  <si>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</si>
  <si>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</si>
  <si>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</si>
  <si>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</si>
  <si>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</si>
  <si>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</si>
  <si>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</si>
  <si>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</si>
  <si>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</si>
  <si>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</si>
  <si>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</si>
  <si>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</si>
  <si>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</si>
  <si>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</si>
  <si>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</si>
  <si>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</si>
  <si>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</si>
  <si>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</si>
  <si>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</si>
  <si>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</si>
  <si>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</si>
  <si>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</si>
  <si>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</si>
  <si>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</si>
  <si>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</si>
  <si>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</si>
  <si>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</si>
  <si>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</si>
  <si>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</si>
  <si>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</si>
  <si>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</si>
  <si>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</si>
  <si>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</si>
  <si>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</si>
  <si>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</si>
  <si>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</si>
  <si>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</si>
  <si>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</si>
  <si>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</si>
  <si>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</si>
  <si>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</si>
  <si>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</si>
  <si>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</si>
  <si>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</si>
  <si>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</si>
  <si>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</si>
  <si>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</si>
  <si>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</si>
  <si>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</si>
  <si>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</si>
  <si>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</si>
  <si>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</si>
  <si>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</si>
  <si>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</si>
  <si>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</si>
  <si>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</si>
  <si>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</si>
  <si>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</si>
  <si>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</si>
  <si>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</si>
  <si>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</si>
  <si>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</si>
  <si>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</si>
  <si>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</si>
  <si>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</si>
  <si>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</si>
  <si>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</si>
  <si>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</si>
  <si>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</si>
  <si>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</si>
  <si>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</si>
  <si>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</si>
  <si>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</si>
  <si>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</si>
  <si>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</si>
  <si>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</si>
  <si>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</si>
  <si>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</si>
  <si>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</si>
  <si>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</si>
  <si>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</si>
  <si>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</si>
  <si>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</si>
  <si>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</si>
  <si>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</si>
  <si>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</si>
  <si>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</si>
  <si>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</si>
  <si>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</si>
  <si>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</si>
  <si>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</si>
  <si>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</si>
  <si>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</si>
  <si>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</si>
  <si>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</si>
  <si>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</si>
  <si>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</si>
  <si>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</si>
  <si>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</si>
  <si>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</si>
  <si>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</si>
  <si>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</si>
  <si>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</si>
  <si>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</si>
  <si>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</si>
  <si>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</si>
  <si>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</si>
  <si>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</si>
  <si>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</si>
  <si>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</si>
  <si>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</si>
  <si>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</si>
  <si>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</si>
  <si>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</si>
  <si>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</si>
  <si>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</si>
  <si>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</si>
  <si>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</si>
  <si>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</si>
  <si>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</si>
  <si>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</si>
  <si>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</si>
  <si>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</si>
  <si>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</si>
  <si>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</si>
  <si>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</si>
  <si>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</si>
  <si>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</si>
  <si>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</si>
  <si>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</si>
  <si>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</si>
  <si>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</si>
  <si>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</si>
  <si>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</si>
  <si>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</si>
  <si>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</si>
  <si>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</si>
  <si>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</si>
  <si>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</si>
  <si>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</si>
  <si>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</si>
  <si>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</si>
  <si>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</si>
  <si>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</si>
  <si>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</si>
  <si>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</si>
  <si>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</si>
  <si>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</si>
  <si>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</si>
  <si>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</si>
  <si>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</si>
  <si>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</si>
  <si>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</si>
  <si>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</si>
  <si>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</si>
  <si>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</si>
  <si>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</si>
  <si>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</si>
  <si>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</si>
  <si>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</si>
  <si>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</si>
  <si>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</si>
  <si>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</si>
  <si>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</si>
  <si>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</si>
  <si>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</si>
  <si>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</si>
  <si>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</si>
  <si>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</si>
  <si>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</si>
  <si>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</si>
  <si>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</si>
  <si>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</si>
  <si>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</si>
  <si>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</si>
  <si>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</si>
  <si>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</si>
  <si>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</si>
  <si>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</si>
  <si>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</si>
  <si>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</si>
  <si>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</si>
  <si>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</si>
  <si>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</si>
  <si>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</si>
  <si>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</si>
  <si>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</si>
  <si>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</si>
  <si>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</si>
  <si>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</si>
  <si>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</si>
  <si>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</si>
  <si>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</si>
  <si>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</si>
  <si>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</si>
  <si>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</si>
  <si>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</si>
  <si>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</si>
  <si>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</si>
  <si>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</si>
  <si>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</si>
  <si>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</si>
  <si>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</si>
  <si>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</si>
  <si>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</si>
  <si>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</si>
  <si>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</si>
  <si>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</si>
  <si>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</si>
  <si>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</si>
  <si>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</si>
  <si>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</si>
  <si>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</si>
  <si>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</si>
  <si>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</si>
  <si>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</si>
  <si>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</si>
  <si>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</si>
  <si>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</si>
  <si>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</si>
  <si>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</si>
  <si>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</si>
  <si>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</si>
  <si>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</si>
  <si>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</si>
  <si>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</si>
  <si>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</si>
  <si>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</si>
  <si>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</si>
  <si>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</si>
  <si>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</si>
  <si>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</si>
  <si>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</si>
  <si>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</si>
  <si>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</si>
  <si>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</si>
  <si>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</si>
  <si>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</si>
  <si>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</si>
  <si>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</si>
  <si>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</si>
  <si>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</si>
  <si>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</si>
  <si>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</si>
  <si>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</si>
  <si>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</si>
  <si>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</si>
  <si>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</si>
  <si>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</si>
  <si>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</si>
  <si>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</si>
  <si>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</si>
  <si>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</si>
  <si>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</si>
  <si>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</si>
  <si>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</si>
  <si>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</si>
  <si>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</si>
  <si>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</si>
  <si>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</si>
  <si>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</si>
  <si>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</si>
  <si>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</si>
  <si>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</si>
  <si>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</si>
  <si>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</si>
  <si>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</si>
  <si>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</si>
  <si>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</si>
  <si>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</si>
  <si>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</si>
  <si>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</si>
  <si>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</si>
  <si>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</si>
  <si>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</si>
  <si>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</si>
  <si>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</si>
  <si>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</si>
  <si>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</si>
  <si>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</si>
  <si>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</si>
  <si>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</si>
  <si>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</si>
  <si>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</si>
  <si>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</si>
  <si>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</si>
  <si>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</si>
  <si>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</si>
  <si>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</si>
  <si>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</si>
  <si>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</si>
  <si>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</si>
  <si>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</si>
  <si>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</si>
  <si>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</si>
  <si>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</si>
  <si>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</si>
  <si>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</si>
  <si>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</si>
  <si>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</si>
  <si>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</si>
  <si>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</si>
  <si>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</si>
  <si>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</si>
  <si>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</si>
  <si>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</si>
  <si>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</si>
  <si>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</si>
  <si>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</si>
  <si>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</si>
  <si>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</si>
  <si>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</si>
  <si>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</si>
  <si>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</si>
  <si>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</si>
  <si>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</si>
  <si>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</si>
  <si>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</si>
  <si>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</si>
  <si>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</si>
  <si>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</si>
  <si>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</si>
  <si>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</si>
  <si>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</si>
  <si>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</si>
  <si>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</si>
  <si>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</si>
  <si>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</si>
  <si>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</si>
  <si>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</si>
  <si>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</si>
  <si>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</si>
  <si>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</si>
  <si>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</si>
  <si>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</si>
  <si>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</si>
  <si>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</si>
  <si>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</si>
  <si>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</si>
  <si>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</si>
  <si>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</si>
  <si>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</si>
  <si>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</si>
  <si>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</si>
  <si>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</si>
  <si>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</si>
  <si>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</si>
  <si>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</si>
  <si>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</si>
  <si>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</si>
  <si>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</si>
  <si>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</si>
  <si>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</si>
  <si>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</si>
  <si>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</si>
  <si>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</si>
  <si>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</si>
  <si>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</si>
  <si>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</si>
  <si>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</si>
  <si>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</si>
  <si>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</si>
  <si>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</si>
  <si>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</si>
  <si>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</si>
  <si>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</si>
  <si>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</si>
  <si>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</si>
  <si>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</si>
  <si>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</si>
  <si>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</si>
  <si>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</si>
  <si>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</si>
  <si>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</si>
  <si>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</si>
  <si>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</si>
  <si>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</si>
  <si>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</si>
  <si>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</si>
  <si>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</si>
  <si>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</si>
  <si>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</si>
  <si>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</si>
  <si>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</si>
  <si>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</si>
  <si>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</si>
  <si>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</si>
  <si>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</si>
  <si>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</si>
  <si>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</si>
  <si>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</si>
  <si>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</si>
  <si>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</si>
  <si>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</si>
  <si>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</si>
  <si>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</si>
  <si>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</si>
  <si>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</si>
  <si>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</si>
  <si>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</si>
  <si>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</si>
  <si>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</si>
  <si>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</si>
  <si>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</si>
  <si>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</si>
  <si>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</si>
  <si>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</si>
  <si>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</si>
  <si>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</si>
  <si>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</si>
  <si>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</si>
  <si>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</si>
  <si>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</si>
  <si>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</si>
  <si>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</si>
  <si>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</si>
  <si>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</si>
  <si>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</si>
  <si>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</si>
  <si>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</si>
  <si>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</si>
  <si>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</si>
  <si>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</si>
  <si>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</si>
  <si>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</si>
  <si>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</si>
  <si>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</si>
  <si>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</si>
  <si>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</si>
  <si>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</si>
  <si>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</si>
  <si>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</si>
  <si>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</si>
  <si>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</si>
  <si>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</si>
  <si>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</si>
  <si>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</si>
  <si>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</si>
  <si>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</si>
  <si>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</si>
  <si>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</si>
  <si>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</si>
  <si>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</si>
  <si>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</si>
  <si>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</si>
  <si>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</si>
  <si>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</si>
  <si>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</si>
  <si>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</si>
  <si>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</si>
  <si>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</si>
  <si>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</si>
  <si>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</si>
  <si>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</si>
  <si>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</si>
  <si>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</si>
  <si>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</si>
  <si>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</si>
  <si>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</si>
  <si>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</si>
  <si>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</si>
  <si>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</si>
  <si>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</si>
  <si>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</si>
  <si>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</si>
  <si>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</si>
  <si>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</si>
  <si>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</si>
  <si>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</si>
  <si>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</si>
  <si>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</si>
  <si>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</si>
  <si>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</si>
  <si>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</si>
  <si>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</si>
  <si>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</si>
  <si>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</si>
  <si>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</si>
  <si>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</si>
  <si>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</si>
  <si>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</si>
  <si>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</si>
  <si>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</si>
  <si>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</si>
  <si>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</si>
  <si>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</si>
  <si>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</si>
  <si>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</si>
  <si>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</si>
  <si>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</si>
  <si>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</si>
  <si>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</si>
  <si>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</si>
  <si>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</si>
  <si>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</si>
  <si>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</si>
  <si>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</si>
  <si>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</si>
  <si>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</si>
  <si>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</si>
  <si>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</si>
  <si>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</si>
  <si>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</si>
  <si>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</si>
  <si>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</si>
  <si>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</si>
  <si>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</si>
  <si>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</si>
  <si>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</si>
  <si>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</si>
  <si>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</si>
  <si>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</si>
  <si>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</si>
  <si>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</si>
  <si>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</si>
  <si>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</si>
  <si>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</si>
  <si>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</si>
  <si>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</si>
  <si>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</si>
  <si>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</si>
  <si>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</si>
  <si>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</si>
  <si>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</si>
  <si>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</si>
  <si>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</si>
  <si>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</si>
  <si>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</si>
  <si>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</si>
  <si>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</si>
  <si>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</si>
  <si>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</si>
  <si>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</si>
  <si>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</si>
  <si>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</si>
  <si>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</si>
  <si>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</si>
  <si>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</si>
  <si>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</si>
  <si>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</si>
  <si>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</si>
  <si>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</si>
  <si>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</si>
  <si>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</si>
  <si>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</si>
  <si>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</si>
  <si>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</si>
  <si>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</si>
  <si>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</si>
  <si>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</si>
  <si>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</si>
  <si>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</si>
  <si>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</si>
  <si>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</si>
  <si>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</si>
  <si>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</si>
  <si>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</si>
  <si>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</si>
  <si>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</si>
  <si>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</si>
  <si>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</si>
  <si>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</si>
  <si>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</si>
  <si>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</si>
  <si>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</si>
  <si>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</si>
  <si>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</si>
  <si>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</si>
  <si>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</si>
  <si>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</si>
  <si>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</si>
  <si>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</si>
  <si>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</si>
  <si>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</si>
  <si>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</si>
  <si>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</si>
  <si>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</si>
  <si>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</si>
  <si>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</si>
  <si>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</si>
  <si>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</si>
  <si>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</si>
  <si>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</si>
  <si>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</si>
  <si>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</si>
  <si>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</si>
  <si>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</si>
  <si>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</si>
  <si>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</si>
  <si>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</si>
  <si>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</si>
  <si>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</si>
  <si>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</si>
  <si>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</si>
  <si>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</si>
  <si>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</si>
  <si>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</si>
  <si>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</si>
  <si>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</si>
  <si>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</si>
  <si>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</si>
  <si>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</si>
  <si>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</si>
  <si>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</si>
  <si>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</si>
  <si>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</si>
  <si>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</si>
  <si>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</si>
  <si>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</si>
  <si>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</si>
  <si>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</si>
  <si>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</si>
  <si>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</si>
  <si>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</si>
  <si>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</si>
  <si>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</si>
  <si>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</si>
  <si>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</si>
  <si>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</si>
  <si>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</si>
  <si>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</si>
  <si>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</si>
  <si>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</si>
  <si>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</si>
  <si>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</si>
  <si>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</si>
  <si>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</si>
  <si>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</si>
  <si>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</si>
  <si>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</si>
  <si>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</si>
  <si>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</si>
  <si>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</si>
  <si>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</si>
  <si>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</si>
  <si>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</si>
  <si>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</si>
  <si>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</si>
  <si>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</si>
  <si>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</si>
  <si>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</si>
  <si>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</si>
  <si>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</si>
  <si>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</si>
  <si>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</si>
  <si>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</si>
  <si>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</si>
  <si>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</si>
  <si>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</si>
  <si>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</si>
  <si>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</si>
  <si>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</si>
  <si>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</si>
  <si>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</si>
  <si>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</si>
  <si>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</si>
  <si>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</si>
  <si>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</si>
  <si>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</si>
  <si>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</si>
  <si>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</si>
  <si>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</si>
  <si>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</si>
  <si>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</si>
  <si>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</si>
  <si>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</si>
  <si>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</si>
  <si>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</si>
  <si>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</si>
  <si>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</si>
  <si>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</si>
  <si>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</si>
  <si>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</si>
  <si>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</si>
  <si>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</si>
  <si>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</si>
  <si>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</si>
  <si>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</si>
  <si>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</si>
  <si>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</si>
  <si>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</si>
  <si>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</si>
  <si>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</si>
  <si>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</si>
  <si>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</si>
  <si>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</si>
  <si>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</si>
  <si>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</si>
  <si>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</si>
  <si>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</si>
  <si>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</si>
  <si>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</si>
  <si>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</si>
  <si>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</si>
  <si>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</si>
  <si>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</si>
  <si>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</si>
  <si>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</si>
  <si>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</si>
  <si>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</si>
  <si>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</si>
  <si>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</si>
  <si>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</si>
  <si>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</si>
  <si>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</si>
  <si>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</si>
  <si>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</si>
  <si>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</si>
  <si>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</si>
  <si>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</si>
  <si>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</si>
  <si>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</si>
  <si>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</si>
  <si>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</si>
  <si>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</si>
  <si>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</si>
  <si>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</si>
  <si>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</si>
  <si>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</si>
  <si>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</si>
  <si>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</si>
  <si>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</si>
  <si>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</si>
  <si>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</si>
  <si>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</si>
  <si>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</si>
  <si>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</si>
  <si>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</si>
  <si>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</si>
  <si>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</si>
  <si>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</si>
  <si>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</si>
  <si>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</si>
  <si>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</si>
  <si>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</si>
  <si>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</si>
  <si>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</si>
  <si>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</si>
  <si>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</si>
  <si>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</si>
  <si>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</si>
  <si>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</si>
  <si>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</si>
  <si>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</si>
  <si>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</si>
  <si>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</si>
  <si>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</si>
  <si>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</si>
  <si>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</si>
  <si>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</si>
  <si>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</si>
  <si>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</si>
  <si>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</si>
  <si>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</si>
  <si>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</si>
  <si>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</si>
  <si>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</si>
  <si>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</si>
  <si>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</si>
  <si>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</si>
  <si>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</si>
  <si>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</si>
  <si>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</si>
  <si>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</si>
  <si>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</si>
  <si>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</si>
  <si>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</si>
  <si>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</si>
  <si>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</si>
  <si>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</si>
  <si>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</si>
  <si>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</si>
  <si>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</si>
  <si>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</si>
  <si>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</si>
  <si>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</si>
  <si>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</si>
  <si>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</si>
  <si>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</si>
  <si>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</si>
  <si>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</si>
  <si>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</si>
  <si>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</si>
  <si>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</si>
  <si>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</si>
  <si>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</si>
  <si>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</si>
  <si>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</si>
  <si>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</si>
  <si>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</si>
  <si>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</si>
  <si>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</si>
  <si>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</si>
  <si>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</si>
  <si>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</si>
  <si>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</si>
  <si>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</si>
  <si>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</si>
  <si>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</si>
  <si>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</si>
  <si>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</si>
  <si>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</si>
  <si>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</si>
  <si>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</si>
  <si>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</si>
  <si>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</si>
  <si>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</si>
  <si>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</si>
  <si>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</si>
  <si>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</si>
  <si>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</si>
  <si>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</si>
  <si>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</si>
  <si>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</si>
  <si>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</si>
  <si>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</si>
  <si>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</si>
  <si>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</si>
  <si>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</si>
  <si>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</si>
  <si>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</si>
  <si>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</si>
  <si>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</si>
  <si>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</si>
  <si>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</si>
  <si>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</si>
  <si>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</si>
  <si>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</si>
  <si>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</si>
  <si>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</si>
  <si>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</si>
  <si>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</si>
  <si>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</si>
  <si>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</si>
  <si>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</si>
  <si>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</si>
  <si>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</si>
  <si>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</si>
  <si>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</si>
  <si>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</si>
  <si>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</si>
  <si>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</si>
  <si>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</si>
  <si>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</si>
  <si>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</si>
  <si>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</si>
  <si>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</si>
  <si>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</si>
  <si>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</si>
  <si>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</si>
  <si>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</si>
  <si>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</si>
  <si>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</si>
  <si>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</si>
  <si>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</si>
  <si>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</si>
  <si>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</si>
  <si>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</si>
  <si>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</si>
  <si>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</si>
  <si>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</si>
  <si>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</si>
  <si>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</si>
  <si>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</si>
  <si>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</si>
  <si>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</si>
  <si>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</si>
  <si>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</si>
  <si>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</si>
  <si>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</si>
  <si>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</si>
  <si>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</si>
  <si>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</si>
  <si>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</si>
  <si>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</si>
  <si>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</si>
  <si>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</si>
  <si>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</si>
  <si>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</si>
  <si>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</si>
  <si>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</si>
  <si>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</si>
  <si>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</si>
  <si>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</si>
  <si>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</si>
  <si>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</si>
  <si>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</si>
  <si>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</si>
  <si>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</si>
  <si>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</si>
  <si>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</si>
  <si>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</si>
  <si>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</si>
  <si>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</si>
  <si>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</si>
  <si>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</si>
  <si>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</si>
  <si>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</si>
  <si>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</si>
  <si>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</si>
  <si>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</si>
  <si>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</si>
  <si>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</si>
  <si>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</si>
  <si>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</si>
  <si>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</si>
  <si>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</si>
  <si>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</si>
  <si>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</si>
  <si>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</si>
  <si>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</si>
  <si>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</si>
  <si>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</si>
  <si>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</si>
  <si>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</si>
  <si>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</si>
  <si>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</si>
  <si>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</si>
  <si>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</si>
  <si>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</si>
  <si>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</si>
  <si>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</si>
  <si>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</si>
  <si>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</si>
  <si>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</si>
  <si>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</si>
  <si>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</si>
  <si>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</si>
  <si>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</si>
  <si>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</si>
  <si>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</si>
  <si>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</si>
  <si>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</si>
  <si>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</si>
  <si>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</si>
  <si>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</si>
  <si>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</si>
  <si>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</si>
  <si>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</si>
  <si>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</si>
  <si>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</si>
  <si>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</si>
  <si>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</si>
  <si>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</si>
  <si>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</si>
  <si>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</si>
  <si>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</si>
  <si>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</si>
  <si>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</si>
  <si>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</si>
  <si>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</si>
  <si>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</si>
  <si>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</si>
  <si>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</si>
  <si>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</si>
  <si>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</si>
  <si>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</si>
  <si>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</si>
  <si>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</si>
  <si>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</si>
  <si>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</si>
  <si>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</si>
  <si>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</si>
  <si>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</si>
  <si>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</si>
  <si>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</si>
  <si>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</si>
  <si>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</si>
  <si>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</si>
  <si>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</si>
  <si>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</si>
  <si>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</si>
  <si>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</si>
  <si>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</si>
  <si>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</si>
  <si>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</si>
  <si>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</si>
  <si>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</si>
  <si>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</si>
  <si>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</si>
  <si>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</si>
  <si>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</si>
  <si>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</si>
  <si>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</si>
  <si>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</si>
  <si>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</si>
  <si>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</si>
  <si>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</si>
  <si>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</si>
  <si>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</si>
  <si>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</si>
  <si>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</si>
  <si>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</si>
  <si>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</si>
  <si>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</si>
  <si>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</si>
  <si>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</si>
  <si>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</si>
  <si>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</si>
  <si>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</si>
  <si>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</si>
  <si>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</si>
  <si>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</si>
  <si>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</si>
  <si>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</si>
  <si>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</si>
  <si>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</si>
  <si>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</si>
  <si>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</si>
  <si>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</si>
  <si>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</si>
  <si>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</si>
  <si>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</si>
  <si>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</si>
  <si>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</si>
  <si>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</si>
  <si>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</si>
  <si>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</si>
  <si>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</si>
  <si>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</si>
  <si>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</si>
  <si>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</si>
  <si>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</si>
  <si>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</si>
  <si>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</si>
  <si>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</si>
  <si>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</si>
  <si>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</si>
  <si>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</si>
  <si>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</si>
  <si>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</si>
  <si>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</si>
  <si>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</si>
  <si>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</si>
  <si>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</si>
  <si>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</si>
  <si>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</si>
  <si>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</si>
  <si>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</si>
  <si>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</si>
  <si>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</si>
  <si>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</si>
  <si>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</si>
  <si>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</si>
  <si>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</si>
  <si>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</si>
  <si>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</si>
  <si>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</si>
  <si>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</si>
  <si>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</si>
  <si>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</si>
  <si>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</si>
  <si>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</si>
  <si>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</si>
  <si>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</si>
  <si>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</si>
  <si>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</si>
  <si>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</si>
  <si>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</si>
  <si>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</si>
  <si>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</si>
  <si>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</si>
  <si>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</si>
  <si>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</si>
  <si>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</si>
  <si>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</si>
  <si>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</si>
  <si>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</si>
  <si>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</si>
  <si>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</si>
  <si>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</si>
  <si>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</si>
  <si>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</si>
  <si>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</si>
  <si>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</si>
  <si>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</si>
  <si>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</si>
  <si>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</si>
  <si>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</si>
  <si>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</si>
  <si>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</si>
  <si>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</si>
  <si>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</si>
  <si>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</si>
  <si>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</si>
  <si>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</si>
  <si>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</si>
  <si>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</si>
  <si>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</si>
  <si>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</si>
  <si>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</si>
  <si>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</si>
  <si>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</si>
  <si>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</si>
  <si>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</si>
  <si>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</si>
  <si>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</si>
  <si>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</si>
  <si>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</si>
  <si>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</si>
  <si>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</si>
  <si>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</si>
  <si>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</si>
  <si>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</si>
  <si>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</si>
  <si>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</si>
  <si>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</si>
  <si>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</si>
  <si>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</si>
  <si>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</si>
  <si>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</si>
  <si>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</si>
  <si>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</si>
  <si>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</si>
  <si>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</si>
  <si>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</si>
  <si>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</si>
  <si>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</si>
  <si>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</si>
  <si>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</si>
  <si>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</si>
  <si>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</si>
  <si>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</si>
  <si>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</si>
  <si>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</si>
  <si>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</si>
  <si>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</si>
  <si>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</si>
  <si>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</si>
  <si>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</si>
  <si>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</si>
  <si>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</si>
  <si>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</si>
  <si>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</si>
  <si>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</si>
  <si>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</si>
  <si>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</si>
  <si>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</si>
  <si>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</si>
  <si>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</si>
  <si>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</si>
  <si>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</si>
  <si>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</si>
  <si>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</si>
  <si>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</si>
  <si>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</si>
  <si>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</si>
  <si>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</si>
  <si>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</si>
  <si>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</si>
  <si>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</si>
  <si>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</si>
  <si>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</si>
  <si>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</si>
  <si>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</si>
  <si>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</si>
  <si>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</si>
  <si>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</si>
  <si>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</si>
  <si>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</si>
  <si>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</si>
  <si>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</si>
  <si>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</si>
  <si>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</si>
  <si>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</si>
  <si>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</si>
  <si>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</si>
  <si>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</si>
  <si>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</si>
  <si>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</si>
  <si>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</si>
  <si>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</si>
  <si>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</si>
  <si>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</si>
  <si>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</si>
  <si>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</si>
  <si>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</si>
  <si>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</si>
  <si>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</si>
  <si>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</si>
  <si>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</si>
  <si>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</si>
  <si>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</si>
  <si>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</si>
  <si>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</si>
  <si>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</si>
  <si>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</si>
  <si>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</si>
  <si>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</si>
  <si>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</si>
  <si>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</si>
  <si>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</si>
  <si>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</si>
  <si>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</si>
  <si>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</si>
  <si>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</si>
  <si>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</si>
  <si>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</si>
  <si>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</si>
  <si>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</si>
  <si>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</si>
  <si>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</si>
  <si>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</si>
  <si>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</si>
  <si>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</si>
  <si>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</si>
  <si>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</si>
  <si>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</si>
  <si>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</si>
  <si>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</si>
  <si>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</si>
  <si>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</si>
  <si>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</si>
  <si>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</si>
  <si>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</si>
  <si>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</si>
  <si>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</si>
  <si>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</si>
  <si>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</si>
  <si>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</si>
  <si>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</si>
  <si>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</si>
  <si>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</si>
  <si>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</si>
  <si>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</si>
  <si>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</si>
  <si>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</si>
  <si>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</si>
  <si>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</si>
  <si>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</si>
  <si>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</si>
  <si>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</si>
  <si>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</si>
  <si>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</si>
  <si>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</si>
  <si>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</si>
  <si>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</si>
  <si>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</si>
  <si>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</si>
  <si>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</si>
  <si>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</si>
  <si>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</si>
  <si>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</si>
  <si>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</si>
  <si>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</si>
  <si>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</si>
  <si>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</si>
  <si>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</si>
  <si>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</si>
  <si>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</si>
  <si>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</si>
  <si>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</si>
  <si>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</si>
  <si>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</si>
  <si>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</si>
  <si>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</si>
  <si>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</si>
  <si>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</si>
  <si>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</si>
  <si>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</si>
  <si>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</si>
  <si>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</si>
  <si>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</si>
  <si>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</si>
  <si>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</si>
  <si>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</si>
  <si>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</si>
  <si>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</si>
  <si>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</si>
  <si>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</si>
  <si>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</si>
  <si>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</si>
  <si>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</si>
  <si>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</si>
  <si>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</si>
  <si>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</si>
  <si>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</si>
  <si>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</si>
  <si>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</si>
  <si>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</si>
  <si>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</si>
  <si>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</si>
  <si>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</si>
  <si>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</si>
  <si>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</si>
  <si>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</si>
  <si>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</si>
  <si>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</si>
  <si>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</si>
  <si>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</si>
  <si>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</si>
  <si>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</si>
  <si>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</si>
  <si>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</si>
  <si>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</si>
  <si>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</si>
  <si>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</si>
  <si>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</si>
  <si>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</si>
  <si>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</si>
  <si>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</si>
  <si>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</si>
  <si>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</si>
  <si>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</si>
  <si>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</si>
  <si>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</si>
  <si>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</si>
  <si>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</si>
  <si>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</si>
  <si>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</si>
  <si>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</si>
  <si>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</si>
  <si>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</si>
  <si>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</si>
  <si>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</si>
  <si>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</si>
  <si>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</si>
  <si>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</si>
  <si>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</si>
  <si>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</si>
  <si>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</si>
  <si>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</si>
  <si>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</si>
  <si>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</si>
  <si>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</si>
  <si>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</si>
  <si>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</si>
  <si>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</si>
  <si>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</si>
  <si>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</si>
  <si>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</si>
  <si>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</si>
  <si>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</si>
  <si>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</si>
  <si>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</si>
  <si>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</si>
  <si>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</si>
  <si>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</si>
  <si>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</si>
  <si>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</si>
  <si>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</si>
  <si>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</si>
  <si>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</si>
  <si>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</si>
  <si>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</si>
  <si>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</si>
  <si>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</si>
  <si>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</si>
  <si>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</si>
  <si>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</si>
  <si>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</si>
  <si>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</si>
  <si>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</si>
  <si>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</si>
  <si>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</si>
  <si>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</si>
  <si>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</si>
  <si>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</si>
  <si>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</si>
  <si>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</si>
  <si>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</si>
  <si>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</si>
  <si>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</si>
  <si>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</si>
  <si>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</si>
  <si>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</si>
  <si>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</si>
  <si>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</si>
  <si>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</si>
  <si>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</si>
  <si>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</si>
  <si>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</si>
  <si>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</si>
  <si>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</si>
  <si>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</si>
  <si>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</si>
  <si>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</si>
  <si>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</si>
  <si>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</si>
  <si>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</si>
  <si>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</si>
  <si>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</si>
  <si>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</si>
  <si>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</si>
  <si>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</si>
  <si>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</si>
  <si>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</si>
  <si>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</si>
  <si>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</si>
  <si>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</si>
  <si>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</si>
  <si>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</si>
  <si>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</si>
  <si>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</si>
  <si>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</si>
  <si>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</si>
  <si>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</si>
  <si>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</si>
  <si>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</si>
  <si>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</si>
  <si>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</si>
  <si>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</si>
  <si>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</si>
  <si>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</si>
  <si>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</si>
  <si>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</si>
  <si>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</si>
  <si>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</si>
  <si>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</si>
  <si>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</si>
  <si>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</si>
  <si>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</si>
  <si>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</si>
  <si>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</si>
  <si>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</si>
  <si>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</si>
  <si>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</si>
  <si>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</si>
  <si>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</si>
  <si>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</si>
  <si>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</si>
  <si>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</si>
  <si>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</si>
  <si>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</si>
  <si>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</si>
  <si>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</si>
  <si>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</si>
  <si>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</si>
  <si>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</si>
  <si>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</si>
  <si>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</si>
  <si>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</si>
  <si>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</si>
  <si>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</si>
  <si>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</si>
  <si>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</si>
  <si>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</si>
  <si>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</si>
  <si>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</si>
  <si>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</si>
  <si>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</si>
  <si>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</si>
  <si>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</si>
  <si>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</si>
  <si>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</si>
  <si>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</si>
  <si>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</si>
  <si>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</si>
  <si>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</si>
  <si>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</si>
  <si>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</si>
  <si>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</si>
  <si>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</si>
  <si>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</si>
  <si>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</si>
  <si>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</si>
  <si>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</si>
  <si>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</si>
  <si>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</si>
  <si>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</si>
  <si>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</si>
  <si>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</si>
  <si>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</si>
  <si>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</si>
  <si>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</si>
  <si>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</si>
  <si>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</si>
  <si>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</si>
  <si>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</si>
  <si>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</si>
  <si>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</si>
  <si>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</si>
  <si>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</si>
  <si>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</si>
  <si>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</si>
  <si>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</si>
  <si>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</si>
  <si>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</si>
  <si>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</si>
  <si>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</si>
  <si>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</si>
  <si>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</si>
  <si>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</si>
  <si>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</si>
  <si>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</si>
  <si>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</si>
  <si>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</si>
  <si>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</si>
  <si>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</si>
  <si>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</si>
  <si>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</si>
  <si>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</si>
  <si>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</si>
  <si>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</si>
  <si>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</si>
  <si>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</si>
  <si>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</si>
  <si>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</si>
  <si>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</si>
  <si>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</si>
  <si>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</si>
  <si>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</si>
  <si>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</si>
  <si>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</si>
  <si>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</si>
  <si>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</si>
  <si>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</si>
  <si>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</si>
  <si>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</si>
  <si>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</si>
  <si>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</si>
  <si>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</si>
  <si>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</si>
  <si>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</si>
  <si>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</si>
  <si>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</si>
  <si>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</si>
  <si>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</si>
  <si>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</si>
  <si>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</si>
  <si>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</si>
  <si>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</si>
  <si>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</si>
  <si>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</si>
  <si>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</si>
  <si>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</si>
  <si>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</si>
  <si>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</si>
  <si>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</si>
  <si>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</si>
  <si>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</si>
  <si>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</si>
  <si>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</si>
  <si>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</si>
  <si>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</si>
  <si>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</si>
  <si>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</si>
  <si>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</si>
  <si>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</si>
  <si>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</si>
  <si>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</si>
  <si>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</si>
  <si>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</si>
  <si>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</si>
  <si>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</si>
  <si>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</si>
  <si>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</si>
  <si>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</si>
  <si>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</si>
  <si>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</si>
  <si>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</si>
  <si>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</si>
  <si>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</si>
  <si>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</si>
  <si>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</si>
  <si>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</si>
  <si>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</si>
  <si>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</si>
  <si>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</si>
  <si>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</si>
  <si>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</si>
  <si>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</si>
  <si>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</si>
  <si>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</si>
  <si>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</si>
  <si>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</si>
  <si>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</si>
  <si>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</si>
  <si>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</si>
  <si>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</si>
  <si>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</si>
  <si>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</si>
  <si>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</si>
  <si>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</si>
  <si>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</si>
  <si>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</si>
  <si>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</si>
  <si>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</si>
  <si>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</si>
  <si>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</si>
  <si>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</si>
  <si>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</si>
  <si>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</si>
  <si>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</si>
  <si>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</si>
  <si>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</si>
  <si>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</si>
  <si>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</si>
  <si>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</si>
  <si>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</si>
  <si>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</si>
  <si>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</si>
  <si>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</si>
  <si>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</si>
  <si>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</si>
  <si>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</si>
  <si>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</si>
  <si>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</si>
  <si>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</si>
  <si>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</si>
  <si>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</si>
  <si>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</si>
  <si>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</si>
  <si>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</si>
  <si>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</si>
  <si>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</si>
  <si>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</si>
  <si>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</si>
  <si>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</si>
  <si>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</si>
  <si>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</si>
  <si>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</si>
  <si>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</si>
  <si>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</si>
  <si>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</si>
  <si>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</si>
  <si>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</si>
  <si>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</si>
  <si>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</si>
  <si>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</si>
  <si>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</si>
  <si>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</si>
  <si>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</si>
  <si>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</si>
  <si>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</si>
  <si>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</si>
  <si>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</si>
  <si>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</si>
  <si>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</si>
  <si>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</si>
  <si>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</si>
  <si>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</si>
  <si>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</si>
  <si>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</si>
  <si>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</si>
  <si>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</si>
  <si>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</si>
  <si>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</si>
  <si>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</si>
  <si>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</si>
  <si>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</si>
  <si>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</si>
  <si>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</si>
  <si>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</si>
  <si>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</si>
  <si>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</si>
  <si>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</si>
  <si>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</si>
  <si>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</si>
  <si>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</si>
  <si>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</si>
  <si>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</si>
  <si>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</si>
  <si>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</si>
  <si>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</si>
  <si>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</si>
  <si>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</si>
  <si>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</si>
  <si>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</si>
  <si>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</si>
  <si>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</si>
  <si>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</si>
  <si>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</si>
  <si>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</si>
  <si>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</si>
  <si>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</si>
  <si>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</si>
  <si>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</si>
  <si>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</si>
  <si>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</si>
  <si>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</si>
  <si>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</si>
  <si>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</si>
  <si>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</si>
  <si>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</si>
  <si>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</si>
  <si>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</si>
  <si>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</si>
  <si>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</si>
  <si>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</si>
  <si>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</si>
  <si>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</si>
  <si>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</si>
  <si>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</si>
  <si>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</si>
  <si>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</si>
  <si>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</si>
  <si>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</si>
  <si>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</si>
  <si>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</si>
  <si>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</si>
  <si>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</si>
  <si>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</si>
  <si>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</si>
  <si>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</si>
  <si>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</si>
  <si>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</si>
  <si>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</si>
  <si>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</si>
  <si>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</si>
  <si>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</si>
  <si>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</si>
  <si>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</si>
  <si>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</si>
  <si>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</si>
  <si>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</si>
  <si>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</si>
  <si>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</si>
  <si>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</si>
  <si>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</si>
  <si>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</si>
  <si>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</si>
  <si>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</si>
  <si>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</si>
  <si>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</si>
  <si>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</si>
  <si>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</si>
  <si>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</si>
  <si>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</si>
  <si>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</si>
  <si>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</si>
  <si>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</si>
  <si>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</si>
  <si>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</si>
  <si>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</si>
  <si>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</si>
  <si>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</si>
  <si>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</si>
  <si>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</si>
  <si>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</si>
  <si>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</si>
  <si>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</si>
  <si>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</si>
  <si>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</si>
  <si>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</si>
  <si>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</si>
  <si>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</si>
  <si>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</si>
  <si>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</si>
  <si>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</si>
  <si>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</si>
  <si>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</si>
  <si>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</si>
  <si>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</si>
  <si>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>INHIBIDO</t>
  </si>
  <si>
    <t xml:space="preserve">Gil Carrera, Santiago </t>
  </si>
  <si>
    <t>3335918451</t>
  </si>
  <si>
    <t>3335918414</t>
  </si>
  <si>
    <t>3335918395</t>
  </si>
  <si>
    <t>3335918887</t>
  </si>
  <si>
    <t>3335918884</t>
  </si>
  <si>
    <t>3335918862</t>
  </si>
  <si>
    <t>3335918507</t>
  </si>
  <si>
    <t>GAVETA DE DEPÓSITOS LLENA</t>
  </si>
  <si>
    <t>3335918796 </t>
  </si>
  <si>
    <t>3335919277</t>
  </si>
  <si>
    <t>3335919245</t>
  </si>
  <si>
    <t>3335919174</t>
  </si>
  <si>
    <t>3335919162</t>
  </si>
  <si>
    <t>3335919155</t>
  </si>
  <si>
    <t>3335919230 </t>
  </si>
  <si>
    <t>3335919603</t>
  </si>
  <si>
    <t>3335919598</t>
  </si>
  <si>
    <t>3335919589</t>
  </si>
  <si>
    <t>3335919583</t>
  </si>
  <si>
    <t>3335919576</t>
  </si>
  <si>
    <t>3335919555</t>
  </si>
  <si>
    <t>3335919550</t>
  </si>
  <si>
    <t>3335919548</t>
  </si>
  <si>
    <t>3335919541</t>
  </si>
  <si>
    <t>3335919534</t>
  </si>
  <si>
    <t>3335919531</t>
  </si>
  <si>
    <t>3335919526</t>
  </si>
  <si>
    <t>3335919522</t>
  </si>
  <si>
    <t>3335919541 </t>
  </si>
  <si>
    <t>3335919550 </t>
  </si>
  <si>
    <t>3335919506 </t>
  </si>
  <si>
    <t>3335919882</t>
  </si>
  <si>
    <t xml:space="preserve">DISPENSADOR </t>
  </si>
  <si>
    <t>3335919881</t>
  </si>
  <si>
    <t>3335919877</t>
  </si>
  <si>
    <t>3335919875</t>
  </si>
  <si>
    <t>3335919874</t>
  </si>
  <si>
    <t>3335919849</t>
  </si>
  <si>
    <t>REINICIO FALLIDO POR LECOTR</t>
  </si>
  <si>
    <t>3335919839</t>
  </si>
  <si>
    <t>REINICIO POR INHIBIDO</t>
  </si>
  <si>
    <t>3335919822</t>
  </si>
  <si>
    <t>3335919816</t>
  </si>
  <si>
    <t>3335919807</t>
  </si>
  <si>
    <t>3335919772</t>
  </si>
  <si>
    <t>3335919604</t>
  </si>
  <si>
    <t>3335919903</t>
  </si>
  <si>
    <t>3335919902</t>
  </si>
  <si>
    <t>3335919901</t>
  </si>
  <si>
    <t>3335919900</t>
  </si>
  <si>
    <t>3335919899</t>
  </si>
  <si>
    <t>3335919896</t>
  </si>
  <si>
    <t>15 Junio de 2021</t>
  </si>
  <si>
    <t>3335919916</t>
  </si>
  <si>
    <t>3335919915</t>
  </si>
  <si>
    <t>3335919914</t>
  </si>
  <si>
    <t>3335919913</t>
  </si>
  <si>
    <t>3335919912</t>
  </si>
  <si>
    <t>3335919910</t>
  </si>
  <si>
    <t>3335919909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</si>
</sst>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 wrapText="1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7"/>
      <tableStyleElement type="headerRow" dxfId="86"/>
      <tableStyleElement type="totalRow" dxfId="85"/>
      <tableStyleElement type="firstColumn" dxfId="84"/>
      <tableStyleElement type="lastColumn" dxfId="83"/>
      <tableStyleElement type="firstRowStripe" dxfId="82"/>
      <tableStyleElement type="firstColumnStripe" dxfId="8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Junio/14/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D0A40B64F33FCB4EA87F5FB17EDB90DB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081E44F684A3314EB5DFC690BCA65568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081E44F684A3314EB5DFC690BCA65568%22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36.8324421296275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44362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44362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2561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66"/>
  <sheetViews>
    <sheetView tabSelected="1" zoomScale="70" zoomScaleNormal="70" workbookViewId="0">
      <pane ySplit="4" topLeftCell="A23" activePane="bottomLeft" state="frozen"/>
      <selection pane="bottomLeft" activeCell="Q32" sqref="Q32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1.7109375" style="45" hidden="1" customWidth="1"/>
    <col min="7" max="7" width="62.42578125" style="45" hidden="1" customWidth="1"/>
    <col min="8" max="11" width="5.85546875" style="45" hidden="1" customWidth="1"/>
    <col min="12" max="12" width="52" style="45" hidden="1" customWidth="1"/>
    <col min="13" max="13" width="20.140625" style="87" bestFit="1" customWidth="1"/>
    <col min="14" max="14" width="18.85546875" style="87" hidden="1" customWidth="1"/>
    <col min="15" max="15" width="42.5703125" style="87" hidden="1" customWidth="1"/>
    <col min="16" max="16" width="22.42578125" style="89" hidden="1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2624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7" t="str">
        <f>VLOOKUP(E5,'LISTADO ATM'!$A$2:$C$898,3,0)</f>
        <v>DISTRITO NACIONAL</v>
      </c>
      <c r="B5" s="126">
        <v>3335913967</v>
      </c>
      <c r="C5" s="132">
        <v>44356.055798611109</v>
      </c>
      <c r="D5" s="132" t="s">
        <v>2180</v>
      </c>
      <c r="E5" s="121">
        <v>909</v>
      </c>
      <c r="F5" s="147" t="str">
        <f>VLOOKUP(E5,VIP!$A$2:$O13749,2,0)</f>
        <v>DRBR01A</v>
      </c>
      <c r="G5" s="147" t="str">
        <f>VLOOKUP(E5,'LISTADO ATM'!$A$2:$B$897,2,0)</f>
        <v xml:space="preserve">ATM UNP UASD </v>
      </c>
      <c r="H5" s="147" t="str">
        <f>VLOOKUP(E5,VIP!$A$2:$O18612,7,FALSE)</f>
        <v>Si</v>
      </c>
      <c r="I5" s="147" t="str">
        <f>VLOOKUP(E5,VIP!$A$2:$O10577,8,FALSE)</f>
        <v>Si</v>
      </c>
      <c r="J5" s="147" t="str">
        <f>VLOOKUP(E5,VIP!$A$2:$O10527,8,FALSE)</f>
        <v>Si</v>
      </c>
      <c r="K5" s="147" t="str">
        <f>VLOOKUP(E5,VIP!$A$2:$O14101,6,0)</f>
        <v>SI</v>
      </c>
      <c r="L5" s="122" t="s">
        <v>2219</v>
      </c>
      <c r="M5" s="131" t="s">
        <v>2446</v>
      </c>
      <c r="N5" s="131" t="s">
        <v>2453</v>
      </c>
      <c r="O5" s="147" t="s">
        <v>2455</v>
      </c>
      <c r="P5" s="147"/>
      <c r="Q5" s="146" t="s">
        <v>2219</v>
      </c>
    </row>
    <row r="6" spans="1:17" s="93" customFormat="1" ht="18" x14ac:dyDescent="0.25">
      <c r="A6" s="147" t="str">
        <f>VLOOKUP(E6,'LISTADO ATM'!$A$2:$C$898,3,0)</f>
        <v>DISTRITO NACIONAL</v>
      </c>
      <c r="B6" s="126">
        <v>3335918065</v>
      </c>
      <c r="C6" s="132">
        <v>44359.482731481483</v>
      </c>
      <c r="D6" s="132" t="s">
        <v>2180</v>
      </c>
      <c r="E6" s="121">
        <v>955</v>
      </c>
      <c r="F6" s="147" t="str">
        <f>VLOOKUP(E6,VIP!$A$2:$O13758,2,0)</f>
        <v>DRBR955</v>
      </c>
      <c r="G6" s="147" t="str">
        <f>VLOOKUP(E6,'LISTADO ATM'!$A$2:$B$897,2,0)</f>
        <v xml:space="preserve">ATM Oficina Americana Independencia II </v>
      </c>
      <c r="H6" s="147" t="str">
        <f>VLOOKUP(E6,VIP!$A$2:$O18621,7,FALSE)</f>
        <v>Si</v>
      </c>
      <c r="I6" s="147" t="str">
        <f>VLOOKUP(E6,VIP!$A$2:$O10586,8,FALSE)</f>
        <v>Si</v>
      </c>
      <c r="J6" s="147" t="str">
        <f>VLOOKUP(E6,VIP!$A$2:$O10536,8,FALSE)</f>
        <v>Si</v>
      </c>
      <c r="K6" s="147" t="str">
        <f>VLOOKUP(E6,VIP!$A$2:$O14110,6,0)</f>
        <v>NO</v>
      </c>
      <c r="L6" s="122" t="s">
        <v>2219</v>
      </c>
      <c r="M6" s="150" t="s">
        <v>2551</v>
      </c>
      <c r="N6" s="131" t="s">
        <v>2453</v>
      </c>
      <c r="O6" s="147" t="s">
        <v>2455</v>
      </c>
      <c r="P6" s="147"/>
      <c r="Q6" s="149">
        <v>44362.42769675926</v>
      </c>
    </row>
    <row r="7" spans="1:17" s="93" customFormat="1" ht="18" x14ac:dyDescent="0.25">
      <c r="A7" s="147" t="str">
        <f>VLOOKUP(E7,'LISTADO ATM'!$A$2:$C$898,3,0)</f>
        <v>ESTE</v>
      </c>
      <c r="B7" s="126">
        <v>3335918277</v>
      </c>
      <c r="C7" s="132">
        <v>44361.053101851852</v>
      </c>
      <c r="D7" s="132" t="s">
        <v>2180</v>
      </c>
      <c r="E7" s="121">
        <v>368</v>
      </c>
      <c r="F7" s="147" t="str">
        <f>VLOOKUP(E7,VIP!$A$2:$O13716,2,0)</f>
        <v xml:space="preserve">DRBR368 </v>
      </c>
      <c r="G7" s="147" t="str">
        <f>VLOOKUP(E7,'LISTADO ATM'!$A$2:$B$897,2,0)</f>
        <v>ATM Ayuntamiento Peralvillo</v>
      </c>
      <c r="H7" s="147" t="str">
        <f>VLOOKUP(E7,VIP!$A$2:$O18579,7,FALSE)</f>
        <v>N/A</v>
      </c>
      <c r="I7" s="147" t="str">
        <f>VLOOKUP(E7,VIP!$A$2:$O10544,8,FALSE)</f>
        <v>N/A</v>
      </c>
      <c r="J7" s="147" t="str">
        <f>VLOOKUP(E7,VIP!$A$2:$O10494,8,FALSE)</f>
        <v>N/A</v>
      </c>
      <c r="K7" s="147" t="str">
        <f>VLOOKUP(E7,VIP!$A$2:$O14068,6,0)</f>
        <v>N/A</v>
      </c>
      <c r="L7" s="122" t="s">
        <v>2219</v>
      </c>
      <c r="M7" s="131" t="s">
        <v>2446</v>
      </c>
      <c r="N7" s="131" t="s">
        <v>2453</v>
      </c>
      <c r="O7" s="147" t="s">
        <v>2455</v>
      </c>
      <c r="P7" s="147"/>
      <c r="Q7" s="146" t="s">
        <v>2219</v>
      </c>
    </row>
    <row r="8" spans="1:17" s="93" customFormat="1" ht="18" x14ac:dyDescent="0.25">
      <c r="A8" s="147" t="str">
        <f>VLOOKUP(E8,'LISTADO ATM'!$A$2:$C$898,3,0)</f>
        <v>SUR</v>
      </c>
      <c r="B8" s="126" t="s">
        <v>2574</v>
      </c>
      <c r="C8" s="132">
        <v>44361.341840277775</v>
      </c>
      <c r="D8" s="132" t="s">
        <v>2180</v>
      </c>
      <c r="E8" s="121">
        <v>968</v>
      </c>
      <c r="F8" s="147" t="str">
        <f>VLOOKUP(E8,VIP!$A$2:$O13716,2,0)</f>
        <v>DRBR24I</v>
      </c>
      <c r="G8" s="147" t="str">
        <f>VLOOKUP(E8,'LISTADO ATM'!$A$2:$B$897,2,0)</f>
        <v xml:space="preserve">ATM UNP Mercado Baní </v>
      </c>
      <c r="H8" s="147" t="str">
        <f>VLOOKUP(E8,VIP!$A$2:$O18579,7,FALSE)</f>
        <v>Si</v>
      </c>
      <c r="I8" s="147" t="str">
        <f>VLOOKUP(E8,VIP!$A$2:$O10544,8,FALSE)</f>
        <v>Si</v>
      </c>
      <c r="J8" s="147" t="str">
        <f>VLOOKUP(E8,VIP!$A$2:$O10494,8,FALSE)</f>
        <v>Si</v>
      </c>
      <c r="K8" s="147" t="str">
        <f>VLOOKUP(E8,VIP!$A$2:$O14068,6,0)</f>
        <v>SI</v>
      </c>
      <c r="L8" s="122" t="s">
        <v>2219</v>
      </c>
      <c r="M8" s="131" t="s">
        <v>2446</v>
      </c>
      <c r="N8" s="131" t="s">
        <v>2453</v>
      </c>
      <c r="O8" s="147" t="s">
        <v>2455</v>
      </c>
      <c r="P8" s="147"/>
      <c r="Q8" s="146" t="s">
        <v>2219</v>
      </c>
    </row>
    <row r="9" spans="1:17" s="93" customFormat="1" ht="18" x14ac:dyDescent="0.25">
      <c r="A9" s="147" t="str">
        <f>VLOOKUP(E9,'LISTADO ATM'!$A$2:$C$898,3,0)</f>
        <v>DISTRITO NACIONAL</v>
      </c>
      <c r="B9" s="126" t="s">
        <v>2573</v>
      </c>
      <c r="C9" s="132">
        <v>44361.343506944446</v>
      </c>
      <c r="D9" s="132" t="s">
        <v>2180</v>
      </c>
      <c r="E9" s="121">
        <v>902</v>
      </c>
      <c r="F9" s="147" t="str">
        <f>VLOOKUP(E9,VIP!$A$2:$O13715,2,0)</f>
        <v>DRBR16A</v>
      </c>
      <c r="G9" s="147" t="str">
        <f>VLOOKUP(E9,'LISTADO ATM'!$A$2:$B$897,2,0)</f>
        <v xml:space="preserve">ATM Oficina Plaza Florida </v>
      </c>
      <c r="H9" s="147" t="str">
        <f>VLOOKUP(E9,VIP!$A$2:$O18578,7,FALSE)</f>
        <v>Si</v>
      </c>
      <c r="I9" s="147" t="str">
        <f>VLOOKUP(E9,VIP!$A$2:$O10543,8,FALSE)</f>
        <v>Si</v>
      </c>
      <c r="J9" s="147" t="str">
        <f>VLOOKUP(E9,VIP!$A$2:$O10493,8,FALSE)</f>
        <v>Si</v>
      </c>
      <c r="K9" s="147" t="str">
        <f>VLOOKUP(E9,VIP!$A$2:$O14067,6,0)</f>
        <v>NO</v>
      </c>
      <c r="L9" s="122" t="s">
        <v>2219</v>
      </c>
      <c r="M9" s="131" t="s">
        <v>2446</v>
      </c>
      <c r="N9" s="131" t="s">
        <v>2453</v>
      </c>
      <c r="O9" s="147" t="s">
        <v>2455</v>
      </c>
      <c r="P9" s="147"/>
      <c r="Q9" s="146" t="s">
        <v>2219</v>
      </c>
    </row>
    <row r="10" spans="1:17" s="93" customFormat="1" ht="18" x14ac:dyDescent="0.25">
      <c r="A10" s="147" t="str">
        <f>VLOOKUP(E10,'LISTADO ATM'!$A$2:$C$898,3,0)</f>
        <v>DISTRITO NACIONAL</v>
      </c>
      <c r="B10" s="126" t="s">
        <v>2572</v>
      </c>
      <c r="C10" s="132">
        <v>44361.349293981482</v>
      </c>
      <c r="D10" s="132" t="s">
        <v>2180</v>
      </c>
      <c r="E10" s="121">
        <v>35</v>
      </c>
      <c r="F10" s="147" t="str">
        <f>VLOOKUP(E10,VIP!$A$2:$O13711,2,0)</f>
        <v>DRBR035</v>
      </c>
      <c r="G10" s="147" t="str">
        <f>VLOOKUP(E10,'LISTADO ATM'!$A$2:$B$897,2,0)</f>
        <v xml:space="preserve">ATM Dirección General de Aduanas I </v>
      </c>
      <c r="H10" s="147" t="str">
        <f>VLOOKUP(E10,VIP!$A$2:$O18574,7,FALSE)</f>
        <v>Si</v>
      </c>
      <c r="I10" s="147" t="str">
        <f>VLOOKUP(E10,VIP!$A$2:$O10539,8,FALSE)</f>
        <v>Si</v>
      </c>
      <c r="J10" s="147" t="str">
        <f>VLOOKUP(E10,VIP!$A$2:$O10489,8,FALSE)</f>
        <v>Si</v>
      </c>
      <c r="K10" s="147" t="str">
        <f>VLOOKUP(E10,VIP!$A$2:$O14063,6,0)</f>
        <v>NO</v>
      </c>
      <c r="L10" s="122" t="s">
        <v>2219</v>
      </c>
      <c r="M10" s="131" t="s">
        <v>2446</v>
      </c>
      <c r="N10" s="131" t="s">
        <v>2453</v>
      </c>
      <c r="O10" s="147" t="s">
        <v>2455</v>
      </c>
      <c r="P10" s="147"/>
      <c r="Q10" s="146" t="s">
        <v>2219</v>
      </c>
    </row>
    <row r="11" spans="1:17" s="93" customFormat="1" ht="18" x14ac:dyDescent="0.25">
      <c r="A11" s="147" t="str">
        <f>VLOOKUP(E11,'LISTADO ATM'!$A$2:$C$898,3,0)</f>
        <v>DISTRITO NACIONAL</v>
      </c>
      <c r="B11" s="126" t="s">
        <v>2576</v>
      </c>
      <c r="C11" s="132">
        <v>44361.43309027778</v>
      </c>
      <c r="D11" s="132" t="s">
        <v>2180</v>
      </c>
      <c r="E11" s="121">
        <v>34</v>
      </c>
      <c r="F11" s="147" t="str">
        <f>VLOOKUP(E11,VIP!$A$2:$O13714,2,0)</f>
        <v>DRBR034</v>
      </c>
      <c r="G11" s="147" t="str">
        <f>VLOOKUP(E11,'LISTADO ATM'!$A$2:$B$897,2,0)</f>
        <v xml:space="preserve">ATM Plaza de la Salud </v>
      </c>
      <c r="H11" s="147" t="str">
        <f>VLOOKUP(E11,VIP!$A$2:$O18577,7,FALSE)</f>
        <v>Si</v>
      </c>
      <c r="I11" s="147" t="str">
        <f>VLOOKUP(E11,VIP!$A$2:$O10542,8,FALSE)</f>
        <v>Si</v>
      </c>
      <c r="J11" s="147" t="str">
        <f>VLOOKUP(E11,VIP!$A$2:$O10492,8,FALSE)</f>
        <v>Si</v>
      </c>
      <c r="K11" s="147" t="str">
        <f>VLOOKUP(E11,VIP!$A$2:$O14066,6,0)</f>
        <v>NO</v>
      </c>
      <c r="L11" s="122" t="s">
        <v>2219</v>
      </c>
      <c r="M11" s="131" t="s">
        <v>2446</v>
      </c>
      <c r="N11" s="131" t="s">
        <v>2453</v>
      </c>
      <c r="O11" s="147" t="s">
        <v>2455</v>
      </c>
      <c r="P11" s="147"/>
      <c r="Q11" s="146" t="s">
        <v>2219</v>
      </c>
    </row>
    <row r="12" spans="1:17" s="93" customFormat="1" ht="18" x14ac:dyDescent="0.25">
      <c r="A12" s="147" t="str">
        <f>VLOOKUP(E12,'LISTADO ATM'!$A$2:$C$898,3,0)</f>
        <v>DISTRITO NACIONAL</v>
      </c>
      <c r="B12" s="126" t="s">
        <v>2575</v>
      </c>
      <c r="C12" s="132">
        <v>44361.434224537035</v>
      </c>
      <c r="D12" s="132" t="s">
        <v>2180</v>
      </c>
      <c r="E12" s="121">
        <v>953</v>
      </c>
      <c r="F12" s="147" t="str">
        <f>VLOOKUP(E12,VIP!$A$2:$O13713,2,0)</f>
        <v>DRBR01I</v>
      </c>
      <c r="G12" s="147" t="str">
        <f>VLOOKUP(E12,'LISTADO ATM'!$A$2:$B$897,2,0)</f>
        <v xml:space="preserve">ATM Estafeta Dirección General de Pasaportes/Migración </v>
      </c>
      <c r="H12" s="147" t="str">
        <f>VLOOKUP(E12,VIP!$A$2:$O18576,7,FALSE)</f>
        <v>Si</v>
      </c>
      <c r="I12" s="147" t="str">
        <f>VLOOKUP(E12,VIP!$A$2:$O10541,8,FALSE)</f>
        <v>Si</v>
      </c>
      <c r="J12" s="147" t="str">
        <f>VLOOKUP(E12,VIP!$A$2:$O10491,8,FALSE)</f>
        <v>Si</v>
      </c>
      <c r="K12" s="147" t="str">
        <f>VLOOKUP(E12,VIP!$A$2:$O14065,6,0)</f>
        <v>No</v>
      </c>
      <c r="L12" s="122" t="s">
        <v>2219</v>
      </c>
      <c r="M12" s="131" t="s">
        <v>2446</v>
      </c>
      <c r="N12" s="131" t="s">
        <v>2453</v>
      </c>
      <c r="O12" s="147" t="s">
        <v>2455</v>
      </c>
      <c r="P12" s="147"/>
      <c r="Q12" s="146" t="s">
        <v>2219</v>
      </c>
    </row>
    <row r="13" spans="1:17" s="93" customFormat="1" ht="18" x14ac:dyDescent="0.25">
      <c r="A13" s="147" t="str">
        <f>VLOOKUP(E13,'LISTADO ATM'!$A$2:$C$898,3,0)</f>
        <v>DISTRITO NACIONAL</v>
      </c>
      <c r="B13" s="126" t="s">
        <v>2585</v>
      </c>
      <c r="C13" s="132">
        <v>44361.491724537038</v>
      </c>
      <c r="D13" s="132" t="s">
        <v>2180</v>
      </c>
      <c r="E13" s="121">
        <v>125</v>
      </c>
      <c r="F13" s="147" t="str">
        <f>VLOOKUP(E13,VIP!$A$2:$O13719,2,0)</f>
        <v>DRBR125</v>
      </c>
      <c r="G13" s="147" t="str">
        <f>VLOOKUP(E13,'LISTADO ATM'!$A$2:$B$897,2,0)</f>
        <v xml:space="preserve">ATM Dirección General de Aduanas II </v>
      </c>
      <c r="H13" s="147" t="str">
        <f>VLOOKUP(E13,VIP!$A$2:$O18582,7,FALSE)</f>
        <v>Si</v>
      </c>
      <c r="I13" s="147" t="str">
        <f>VLOOKUP(E13,VIP!$A$2:$O10547,8,FALSE)</f>
        <v>Si</v>
      </c>
      <c r="J13" s="147" t="str">
        <f>VLOOKUP(E13,VIP!$A$2:$O10497,8,FALSE)</f>
        <v>Si</v>
      </c>
      <c r="K13" s="147" t="str">
        <f>VLOOKUP(E13,VIP!$A$2:$O14071,6,0)</f>
        <v>NO</v>
      </c>
      <c r="L13" s="122" t="s">
        <v>2219</v>
      </c>
      <c r="M13" s="131" t="s">
        <v>2446</v>
      </c>
      <c r="N13" s="131" t="s">
        <v>2559</v>
      </c>
      <c r="O13" s="147" t="s">
        <v>2455</v>
      </c>
      <c r="P13" s="147"/>
      <c r="Q13" s="146" t="s">
        <v>2219</v>
      </c>
    </row>
    <row r="14" spans="1:17" ht="18" x14ac:dyDescent="0.25">
      <c r="A14" s="147" t="str">
        <f>VLOOKUP(E14,'LISTADO ATM'!$A$2:$C$898,3,0)</f>
        <v>DISTRITO NACIONAL</v>
      </c>
      <c r="B14" s="126" t="s">
        <v>2584</v>
      </c>
      <c r="C14" s="132">
        <v>44361.493506944447</v>
      </c>
      <c r="D14" s="132" t="s">
        <v>2180</v>
      </c>
      <c r="E14" s="121">
        <v>336</v>
      </c>
      <c r="F14" s="147" t="str">
        <f>VLOOKUP(E14,VIP!$A$2:$O13718,2,0)</f>
        <v>DRBR336</v>
      </c>
      <c r="G14" s="147" t="str">
        <f>VLOOKUP(E14,'LISTADO ATM'!$A$2:$B$897,2,0)</f>
        <v>ATM Instituto Nacional de Cancer (incart)</v>
      </c>
      <c r="H14" s="147" t="str">
        <f>VLOOKUP(E14,VIP!$A$2:$O18581,7,FALSE)</f>
        <v>Si</v>
      </c>
      <c r="I14" s="147" t="str">
        <f>VLOOKUP(E14,VIP!$A$2:$O10546,8,FALSE)</f>
        <v>Si</v>
      </c>
      <c r="J14" s="147" t="str">
        <f>VLOOKUP(E14,VIP!$A$2:$O10496,8,FALSE)</f>
        <v>Si</v>
      </c>
      <c r="K14" s="147" t="str">
        <f>VLOOKUP(E14,VIP!$A$2:$O14070,6,0)</f>
        <v>NO</v>
      </c>
      <c r="L14" s="122" t="s">
        <v>2219</v>
      </c>
      <c r="M14" s="131" t="s">
        <v>2446</v>
      </c>
      <c r="N14" s="131" t="s">
        <v>2559</v>
      </c>
      <c r="O14" s="147" t="s">
        <v>2455</v>
      </c>
      <c r="P14" s="147"/>
      <c r="Q14" s="146" t="s">
        <v>2219</v>
      </c>
    </row>
    <row r="15" spans="1:17" ht="18" x14ac:dyDescent="0.25">
      <c r="A15" s="147" t="str">
        <f>VLOOKUP(E15,'LISTADO ATM'!$A$2:$C$898,3,0)</f>
        <v>ESTE</v>
      </c>
      <c r="B15" s="126" t="s">
        <v>2582</v>
      </c>
      <c r="C15" s="132">
        <v>44361.524699074071</v>
      </c>
      <c r="D15" s="132" t="s">
        <v>2180</v>
      </c>
      <c r="E15" s="121">
        <v>830</v>
      </c>
      <c r="F15" s="147" t="str">
        <f>VLOOKUP(E15,VIP!$A$2:$O13715,2,0)</f>
        <v>DRBR830</v>
      </c>
      <c r="G15" s="147" t="str">
        <f>VLOOKUP(E15,'LISTADO ATM'!$A$2:$B$897,2,0)</f>
        <v xml:space="preserve">ATM UNP Sabana Grande de Boyá </v>
      </c>
      <c r="H15" s="147" t="str">
        <f>VLOOKUP(E15,VIP!$A$2:$O18578,7,FALSE)</f>
        <v>Si</v>
      </c>
      <c r="I15" s="147" t="str">
        <f>VLOOKUP(E15,VIP!$A$2:$O10543,8,FALSE)</f>
        <v>Si</v>
      </c>
      <c r="J15" s="147" t="str">
        <f>VLOOKUP(E15,VIP!$A$2:$O10493,8,FALSE)</f>
        <v>Si</v>
      </c>
      <c r="K15" s="147" t="str">
        <f>VLOOKUP(E15,VIP!$A$2:$O14067,6,0)</f>
        <v>NO</v>
      </c>
      <c r="L15" s="122" t="s">
        <v>2219</v>
      </c>
      <c r="M15" s="131" t="s">
        <v>2446</v>
      </c>
      <c r="N15" s="131" t="s">
        <v>2559</v>
      </c>
      <c r="O15" s="147" t="s">
        <v>2455</v>
      </c>
      <c r="P15" s="147"/>
      <c r="Q15" s="146" t="s">
        <v>2219</v>
      </c>
    </row>
    <row r="16" spans="1:17" ht="18" x14ac:dyDescent="0.25">
      <c r="A16" s="147" t="str">
        <f>VLOOKUP(E16,'LISTADO ATM'!$A$2:$C$898,3,0)</f>
        <v>DISTRITO NACIONAL</v>
      </c>
      <c r="B16" s="126" t="s">
        <v>2599</v>
      </c>
      <c r="C16" s="132">
        <v>44361.637071759258</v>
      </c>
      <c r="D16" s="132" t="s">
        <v>2180</v>
      </c>
      <c r="E16" s="121">
        <v>115</v>
      </c>
      <c r="F16" s="147" t="str">
        <f>VLOOKUP(E16,VIP!$A$2:$O13729,2,0)</f>
        <v>DRBR115</v>
      </c>
      <c r="G16" s="147" t="str">
        <f>VLOOKUP(E16,'LISTADO ATM'!$A$2:$B$897,2,0)</f>
        <v xml:space="preserve">ATM Oficina Megacentro I </v>
      </c>
      <c r="H16" s="147" t="str">
        <f>VLOOKUP(E16,VIP!$A$2:$O18592,7,FALSE)</f>
        <v>Si</v>
      </c>
      <c r="I16" s="147" t="str">
        <f>VLOOKUP(E16,VIP!$A$2:$O10557,8,FALSE)</f>
        <v>Si</v>
      </c>
      <c r="J16" s="147" t="str">
        <f>VLOOKUP(E16,VIP!$A$2:$O10507,8,FALSE)</f>
        <v>Si</v>
      </c>
      <c r="K16" s="147" t="str">
        <f>VLOOKUP(E16,VIP!$A$2:$O14081,6,0)</f>
        <v>SI</v>
      </c>
      <c r="L16" s="122" t="s">
        <v>2219</v>
      </c>
      <c r="M16" s="131" t="s">
        <v>2446</v>
      </c>
      <c r="N16" s="131" t="s">
        <v>2453</v>
      </c>
      <c r="O16" s="147" t="s">
        <v>2455</v>
      </c>
      <c r="P16" s="147"/>
      <c r="Q16" s="146" t="s">
        <v>2219</v>
      </c>
    </row>
    <row r="17" spans="1:17" ht="18" x14ac:dyDescent="0.25">
      <c r="A17" s="147" t="str">
        <f>VLOOKUP(E17,'LISTADO ATM'!$A$2:$C$898,3,0)</f>
        <v>DISTRITO NACIONAL</v>
      </c>
      <c r="B17" s="126" t="s">
        <v>2598</v>
      </c>
      <c r="C17" s="132">
        <v>44361.638368055559</v>
      </c>
      <c r="D17" s="132" t="s">
        <v>2180</v>
      </c>
      <c r="E17" s="121">
        <v>517</v>
      </c>
      <c r="F17" s="147" t="str">
        <f>VLOOKUP(E17,VIP!$A$2:$O13728,2,0)</f>
        <v>DRBR517</v>
      </c>
      <c r="G17" s="147" t="str">
        <f>VLOOKUP(E17,'LISTADO ATM'!$A$2:$B$897,2,0)</f>
        <v xml:space="preserve">ATM Autobanco Oficina Sans Soucí </v>
      </c>
      <c r="H17" s="147" t="str">
        <f>VLOOKUP(E17,VIP!$A$2:$O18591,7,FALSE)</f>
        <v>Si</v>
      </c>
      <c r="I17" s="147" t="str">
        <f>VLOOKUP(E17,VIP!$A$2:$O10556,8,FALSE)</f>
        <v>Si</v>
      </c>
      <c r="J17" s="147" t="str">
        <f>VLOOKUP(E17,VIP!$A$2:$O10506,8,FALSE)</f>
        <v>Si</v>
      </c>
      <c r="K17" s="147" t="str">
        <f>VLOOKUP(E17,VIP!$A$2:$O14080,6,0)</f>
        <v>SI</v>
      </c>
      <c r="L17" s="122" t="s">
        <v>2219</v>
      </c>
      <c r="M17" s="131" t="s">
        <v>2446</v>
      </c>
      <c r="N17" s="131" t="s">
        <v>2453</v>
      </c>
      <c r="O17" s="147" t="s">
        <v>2455</v>
      </c>
      <c r="P17" s="147"/>
      <c r="Q17" s="146" t="s">
        <v>2219</v>
      </c>
    </row>
    <row r="18" spans="1:17" ht="18" x14ac:dyDescent="0.25">
      <c r="A18" s="147" t="str">
        <f>VLOOKUP(E18,'LISTADO ATM'!$A$2:$C$898,3,0)</f>
        <v>DISTRITO NACIONAL</v>
      </c>
      <c r="B18" s="126" t="s">
        <v>2597</v>
      </c>
      <c r="C18" s="132">
        <v>44361.639340277776</v>
      </c>
      <c r="D18" s="132" t="s">
        <v>2180</v>
      </c>
      <c r="E18" s="121">
        <v>237</v>
      </c>
      <c r="F18" s="147" t="str">
        <f>VLOOKUP(E18,VIP!$A$2:$O13726,2,0)</f>
        <v>DRBR237</v>
      </c>
      <c r="G18" s="147" t="str">
        <f>VLOOKUP(E18,'LISTADO ATM'!$A$2:$B$897,2,0)</f>
        <v xml:space="preserve">ATM UNP Plaza Vásquez </v>
      </c>
      <c r="H18" s="147" t="str">
        <f>VLOOKUP(E18,VIP!$A$2:$O18589,7,FALSE)</f>
        <v>Si</v>
      </c>
      <c r="I18" s="147" t="str">
        <f>VLOOKUP(E18,VIP!$A$2:$O10554,8,FALSE)</f>
        <v>Si</v>
      </c>
      <c r="J18" s="147" t="str">
        <f>VLOOKUP(E18,VIP!$A$2:$O10504,8,FALSE)</f>
        <v>Si</v>
      </c>
      <c r="K18" s="147" t="str">
        <f>VLOOKUP(E18,VIP!$A$2:$O14078,6,0)</f>
        <v>SI</v>
      </c>
      <c r="L18" s="122" t="s">
        <v>2219</v>
      </c>
      <c r="M18" s="131" t="s">
        <v>2446</v>
      </c>
      <c r="N18" s="131" t="s">
        <v>2453</v>
      </c>
      <c r="O18" s="147" t="s">
        <v>2455</v>
      </c>
      <c r="P18" s="147"/>
      <c r="Q18" s="146" t="s">
        <v>2219</v>
      </c>
    </row>
    <row r="19" spans="1:17" ht="18" x14ac:dyDescent="0.25">
      <c r="A19" s="147" t="str">
        <f>VLOOKUP(E19,'LISTADO ATM'!$A$2:$C$898,3,0)</f>
        <v>DISTRITO NACIONAL</v>
      </c>
      <c r="B19" s="126" t="s">
        <v>2596</v>
      </c>
      <c r="C19" s="132">
        <v>44361.640162037038</v>
      </c>
      <c r="D19" s="132" t="s">
        <v>2180</v>
      </c>
      <c r="E19" s="121">
        <v>321</v>
      </c>
      <c r="F19" s="147" t="str">
        <f>VLOOKUP(E19,VIP!$A$2:$O13725,2,0)</f>
        <v>DRBR321</v>
      </c>
      <c r="G19" s="147" t="str">
        <f>VLOOKUP(E19,'LISTADO ATM'!$A$2:$B$897,2,0)</f>
        <v xml:space="preserve">ATM Oficina Jiménez Moya I </v>
      </c>
      <c r="H19" s="147" t="str">
        <f>VLOOKUP(E19,VIP!$A$2:$O18588,7,FALSE)</f>
        <v>Si</v>
      </c>
      <c r="I19" s="147" t="str">
        <f>VLOOKUP(E19,VIP!$A$2:$O10553,8,FALSE)</f>
        <v>Si</v>
      </c>
      <c r="J19" s="147" t="str">
        <f>VLOOKUP(E19,VIP!$A$2:$O10503,8,FALSE)</f>
        <v>Si</v>
      </c>
      <c r="K19" s="147" t="str">
        <f>VLOOKUP(E19,VIP!$A$2:$O14077,6,0)</f>
        <v>NO</v>
      </c>
      <c r="L19" s="122" t="s">
        <v>2219</v>
      </c>
      <c r="M19" s="150" t="s">
        <v>2551</v>
      </c>
      <c r="N19" s="131" t="s">
        <v>2453</v>
      </c>
      <c r="O19" s="147" t="s">
        <v>2455</v>
      </c>
      <c r="P19" s="147"/>
      <c r="Q19" s="149">
        <v>44362.440937500003</v>
      </c>
    </row>
    <row r="20" spans="1:17" ht="18" x14ac:dyDescent="0.25">
      <c r="A20" s="147" t="str">
        <f>VLOOKUP(E20,'LISTADO ATM'!$A$2:$C$898,3,0)</f>
        <v>DISTRITO NACIONAL</v>
      </c>
      <c r="B20" s="126" t="s">
        <v>2594</v>
      </c>
      <c r="C20" s="132">
        <v>44361.643680555557</v>
      </c>
      <c r="D20" s="132" t="s">
        <v>2180</v>
      </c>
      <c r="E20" s="121">
        <v>875</v>
      </c>
      <c r="F20" s="147" t="str">
        <f>VLOOKUP(E20,VIP!$A$2:$O13723,2,0)</f>
        <v>DRBR875</v>
      </c>
      <c r="G20" s="147" t="str">
        <f>VLOOKUP(E20,'LISTADO ATM'!$A$2:$B$897,2,0)</f>
        <v xml:space="preserve">ATM Texaco Aut. Duarte KM 14 1/2 (Los Alcarrizos) </v>
      </c>
      <c r="H20" s="147" t="str">
        <f>VLOOKUP(E20,VIP!$A$2:$O18586,7,FALSE)</f>
        <v>Si</v>
      </c>
      <c r="I20" s="147" t="str">
        <f>VLOOKUP(E20,VIP!$A$2:$O10551,8,FALSE)</f>
        <v>Si</v>
      </c>
      <c r="J20" s="147" t="str">
        <f>VLOOKUP(E20,VIP!$A$2:$O10501,8,FALSE)</f>
        <v>Si</v>
      </c>
      <c r="K20" s="147" t="str">
        <f>VLOOKUP(E20,VIP!$A$2:$O14075,6,0)</f>
        <v>NO</v>
      </c>
      <c r="L20" s="122" t="s">
        <v>2219</v>
      </c>
      <c r="M20" s="131" t="s">
        <v>2446</v>
      </c>
      <c r="N20" s="131" t="s">
        <v>2453</v>
      </c>
      <c r="O20" s="147" t="s">
        <v>2455</v>
      </c>
      <c r="P20" s="147"/>
      <c r="Q20" s="146" t="s">
        <v>2219</v>
      </c>
    </row>
    <row r="21" spans="1:17" ht="18" x14ac:dyDescent="0.25">
      <c r="A21" s="147" t="str">
        <f>VLOOKUP(E21,'LISTADO ATM'!$A$2:$C$898,3,0)</f>
        <v>DISTRITO NACIONAL</v>
      </c>
      <c r="B21" s="126" t="s">
        <v>2592</v>
      </c>
      <c r="C21" s="132">
        <v>44361.645046296297</v>
      </c>
      <c r="D21" s="132" t="s">
        <v>2180</v>
      </c>
      <c r="E21" s="121">
        <v>566</v>
      </c>
      <c r="F21" s="147" t="str">
        <f>VLOOKUP(E21,VIP!$A$2:$O13721,2,0)</f>
        <v>DRBR508</v>
      </c>
      <c r="G21" s="147" t="str">
        <f>VLOOKUP(E21,'LISTADO ATM'!$A$2:$B$897,2,0)</f>
        <v xml:space="preserve">ATM Hiper Olé Aut. Duarte </v>
      </c>
      <c r="H21" s="147" t="str">
        <f>VLOOKUP(E21,VIP!$A$2:$O18584,7,FALSE)</f>
        <v>Si</v>
      </c>
      <c r="I21" s="147" t="str">
        <f>VLOOKUP(E21,VIP!$A$2:$O10549,8,FALSE)</f>
        <v>Si</v>
      </c>
      <c r="J21" s="147" t="str">
        <f>VLOOKUP(E21,VIP!$A$2:$O10499,8,FALSE)</f>
        <v>Si</v>
      </c>
      <c r="K21" s="147" t="str">
        <f>VLOOKUP(E21,VIP!$A$2:$O14073,6,0)</f>
        <v>NO</v>
      </c>
      <c r="L21" s="122" t="s">
        <v>2219</v>
      </c>
      <c r="M21" s="131" t="s">
        <v>2446</v>
      </c>
      <c r="N21" s="131" t="s">
        <v>2453</v>
      </c>
      <c r="O21" s="147" t="s">
        <v>2455</v>
      </c>
      <c r="P21" s="147"/>
      <c r="Q21" s="146" t="s">
        <v>2219</v>
      </c>
    </row>
    <row r="22" spans="1:17" ht="18" x14ac:dyDescent="0.25">
      <c r="A22" s="147" t="str">
        <f>VLOOKUP(E22,'LISTADO ATM'!$A$2:$C$898,3,0)</f>
        <v>DISTRITO NACIONAL</v>
      </c>
      <c r="B22" s="126" t="s">
        <v>2591</v>
      </c>
      <c r="C22" s="132">
        <v>44361.649409722224</v>
      </c>
      <c r="D22" s="132" t="s">
        <v>2180</v>
      </c>
      <c r="E22" s="121">
        <v>113</v>
      </c>
      <c r="F22" s="147" t="str">
        <f>VLOOKUP(E22,VIP!$A$2:$O13719,2,0)</f>
        <v>DRBR113</v>
      </c>
      <c r="G22" s="147" t="str">
        <f>VLOOKUP(E22,'LISTADO ATM'!$A$2:$B$897,2,0)</f>
        <v xml:space="preserve">ATM Autoservicio Atalaya del Mar </v>
      </c>
      <c r="H22" s="147" t="str">
        <f>VLOOKUP(E22,VIP!$A$2:$O18582,7,FALSE)</f>
        <v>Si</v>
      </c>
      <c r="I22" s="147" t="str">
        <f>VLOOKUP(E22,VIP!$A$2:$O10547,8,FALSE)</f>
        <v>No</v>
      </c>
      <c r="J22" s="147" t="str">
        <f>VLOOKUP(E22,VIP!$A$2:$O10497,8,FALSE)</f>
        <v>No</v>
      </c>
      <c r="K22" s="147" t="str">
        <f>VLOOKUP(E22,VIP!$A$2:$O14071,6,0)</f>
        <v>NO</v>
      </c>
      <c r="L22" s="122" t="s">
        <v>2219</v>
      </c>
      <c r="M22" s="131" t="s">
        <v>2446</v>
      </c>
      <c r="N22" s="131" t="s">
        <v>2453</v>
      </c>
      <c r="O22" s="147" t="s">
        <v>2455</v>
      </c>
      <c r="P22" s="147"/>
      <c r="Q22" s="146" t="s">
        <v>2219</v>
      </c>
    </row>
    <row r="23" spans="1:17" ht="18" x14ac:dyDescent="0.25">
      <c r="A23" s="147" t="str">
        <f>VLOOKUP(E23,'LISTADO ATM'!$A$2:$C$898,3,0)</f>
        <v>ESTE</v>
      </c>
      <c r="B23" s="126" t="s">
        <v>2623</v>
      </c>
      <c r="C23" s="132">
        <v>44361.878946759258</v>
      </c>
      <c r="D23" s="132" t="s">
        <v>2180</v>
      </c>
      <c r="E23" s="121">
        <v>386</v>
      </c>
      <c r="F23" s="147" t="str">
        <f>VLOOKUP(E23,VIP!$A$2:$O13736,2,0)</f>
        <v>DRBR386</v>
      </c>
      <c r="G23" s="147" t="str">
        <f>VLOOKUP(E23,'LISTADO ATM'!$A$2:$B$897,2,0)</f>
        <v xml:space="preserve">ATM Plaza Verón II </v>
      </c>
      <c r="H23" s="147" t="str">
        <f>VLOOKUP(E23,VIP!$A$2:$O18599,7,FALSE)</f>
        <v>Si</v>
      </c>
      <c r="I23" s="147" t="str">
        <f>VLOOKUP(E23,VIP!$A$2:$O10564,8,FALSE)</f>
        <v>Si</v>
      </c>
      <c r="J23" s="147" t="str">
        <f>VLOOKUP(E23,VIP!$A$2:$O10514,8,FALSE)</f>
        <v>Si</v>
      </c>
      <c r="K23" s="147" t="str">
        <f>VLOOKUP(E23,VIP!$A$2:$O14088,6,0)</f>
        <v>NO</v>
      </c>
      <c r="L23" s="122" t="s">
        <v>2219</v>
      </c>
      <c r="M23" s="131" t="s">
        <v>2446</v>
      </c>
      <c r="N23" s="131" t="s">
        <v>2453</v>
      </c>
      <c r="O23" s="147" t="s">
        <v>2455</v>
      </c>
      <c r="P23" s="147"/>
      <c r="Q23" s="146" t="s">
        <v>2219</v>
      </c>
    </row>
    <row r="24" spans="1:17" ht="18" x14ac:dyDescent="0.25">
      <c r="A24" s="147" t="str">
        <f>VLOOKUP(E24,'LISTADO ATM'!$A$2:$C$898,3,0)</f>
        <v>ESTE</v>
      </c>
      <c r="B24" s="126" t="s">
        <v>2622</v>
      </c>
      <c r="C24" s="132">
        <v>44361.89916666667</v>
      </c>
      <c r="D24" s="132" t="s">
        <v>2180</v>
      </c>
      <c r="E24" s="121">
        <v>480</v>
      </c>
      <c r="F24" s="147" t="str">
        <f>VLOOKUP(E24,VIP!$A$2:$O13734,2,0)</f>
        <v>DRBR480</v>
      </c>
      <c r="G24" s="147" t="str">
        <f>VLOOKUP(E24,'LISTADO ATM'!$A$2:$B$897,2,0)</f>
        <v>ATM UNP Farmaconal Higuey</v>
      </c>
      <c r="H24" s="147" t="str">
        <f>VLOOKUP(E24,VIP!$A$2:$O18597,7,FALSE)</f>
        <v>N/A</v>
      </c>
      <c r="I24" s="147" t="str">
        <f>VLOOKUP(E24,VIP!$A$2:$O10562,8,FALSE)</f>
        <v>N/A</v>
      </c>
      <c r="J24" s="147" t="str">
        <f>VLOOKUP(E24,VIP!$A$2:$O10512,8,FALSE)</f>
        <v>N/A</v>
      </c>
      <c r="K24" s="147" t="str">
        <f>VLOOKUP(E24,VIP!$A$2:$O14086,6,0)</f>
        <v>N/A</v>
      </c>
      <c r="L24" s="122" t="s">
        <v>2219</v>
      </c>
      <c r="M24" s="131" t="s">
        <v>2446</v>
      </c>
      <c r="N24" s="131" t="s">
        <v>2453</v>
      </c>
      <c r="O24" s="147" t="s">
        <v>2455</v>
      </c>
      <c r="P24" s="147"/>
      <c r="Q24" s="146" t="s">
        <v>2219</v>
      </c>
    </row>
    <row r="25" spans="1:17" ht="18" x14ac:dyDescent="0.25">
      <c r="A25" s="147" t="str">
        <f>VLOOKUP(E25,'LISTADO ATM'!$A$2:$C$898,3,0)</f>
        <v>SUR</v>
      </c>
      <c r="B25" s="126" t="s">
        <v>2618</v>
      </c>
      <c r="C25" s="132">
        <v>44361.917453703703</v>
      </c>
      <c r="D25" s="132" t="s">
        <v>2180</v>
      </c>
      <c r="E25" s="121">
        <v>880</v>
      </c>
      <c r="F25" s="147" t="str">
        <f>VLOOKUP(E25,VIP!$A$2:$O13730,2,0)</f>
        <v>DRBR880</v>
      </c>
      <c r="G25" s="147" t="str">
        <f>VLOOKUP(E25,'LISTADO ATM'!$A$2:$B$897,2,0)</f>
        <v xml:space="preserve">ATM Autoservicio Barahona II </v>
      </c>
      <c r="H25" s="147" t="str">
        <f>VLOOKUP(E25,VIP!$A$2:$O18593,7,FALSE)</f>
        <v>Si</v>
      </c>
      <c r="I25" s="147" t="str">
        <f>VLOOKUP(E25,VIP!$A$2:$O10558,8,FALSE)</f>
        <v>Si</v>
      </c>
      <c r="J25" s="147" t="str">
        <f>VLOOKUP(E25,VIP!$A$2:$O10508,8,FALSE)</f>
        <v>Si</v>
      </c>
      <c r="K25" s="147" t="str">
        <f>VLOOKUP(E25,VIP!$A$2:$O14082,6,0)</f>
        <v>SI</v>
      </c>
      <c r="L25" s="122" t="s">
        <v>2219</v>
      </c>
      <c r="M25" s="150" t="s">
        <v>2551</v>
      </c>
      <c r="N25" s="131" t="s">
        <v>2453</v>
      </c>
      <c r="O25" s="147" t="s">
        <v>2455</v>
      </c>
      <c r="P25" s="147"/>
      <c r="Q25" s="149">
        <v>44362.441874999997</v>
      </c>
    </row>
    <row r="26" spans="1:17" ht="18" x14ac:dyDescent="0.25">
      <c r="A26" s="147" t="str">
        <f>VLOOKUP(E26,'LISTADO ATM'!$A$2:$C$898,3,0)</f>
        <v>DISTRITO NACIONAL</v>
      </c>
      <c r="B26" s="126" t="s">
        <v>2626</v>
      </c>
      <c r="C26" s="132">
        <v>44362.071585648147</v>
      </c>
      <c r="D26" s="132" t="s">
        <v>2180</v>
      </c>
      <c r="E26" s="121">
        <v>232</v>
      </c>
      <c r="F26" s="147" t="str">
        <f>VLOOKUP(E26,VIP!$A$2:$O13733,2,0)</f>
        <v>DRBR232</v>
      </c>
      <c r="G26" s="147" t="str">
        <f>VLOOKUP(E26,'LISTADO ATM'!$A$2:$B$897,2,0)</f>
        <v xml:space="preserve">ATM S/M Nacional Charles de Gaulle </v>
      </c>
      <c r="H26" s="147" t="str">
        <f>VLOOKUP(E26,VIP!$A$2:$O18596,7,FALSE)</f>
        <v>Si</v>
      </c>
      <c r="I26" s="147" t="str">
        <f>VLOOKUP(E26,VIP!$A$2:$O10561,8,FALSE)</f>
        <v>Si</v>
      </c>
      <c r="J26" s="147" t="str">
        <f>VLOOKUP(E26,VIP!$A$2:$O10511,8,FALSE)</f>
        <v>Si</v>
      </c>
      <c r="K26" s="147" t="str">
        <f>VLOOKUP(E26,VIP!$A$2:$O14085,6,0)</f>
        <v>SI</v>
      </c>
      <c r="L26" s="122" t="s">
        <v>2219</v>
      </c>
      <c r="M26" s="131" t="s">
        <v>2446</v>
      </c>
      <c r="N26" s="131" t="s">
        <v>2453</v>
      </c>
      <c r="O26" s="147" t="s">
        <v>2455</v>
      </c>
      <c r="P26" s="147"/>
      <c r="Q26" s="146" t="s">
        <v>2219</v>
      </c>
    </row>
    <row r="27" spans="1:17" ht="18" x14ac:dyDescent="0.25">
      <c r="A27" s="147" t="str">
        <f>VLOOKUP(E27,'LISTADO ATM'!$A$2:$C$898,3,0)</f>
        <v>ESTE</v>
      </c>
      <c r="B27" s="126" t="s">
        <v>2627</v>
      </c>
      <c r="C27" s="132">
        <v>44362.05263888889</v>
      </c>
      <c r="D27" s="132" t="s">
        <v>2180</v>
      </c>
      <c r="E27" s="121">
        <v>366</v>
      </c>
      <c r="F27" s="147" t="str">
        <f>VLOOKUP(E27,VIP!$A$2:$O13734,2,0)</f>
        <v>DRBR366</v>
      </c>
      <c r="G27" s="147" t="str">
        <f>VLOOKUP(E27,'LISTADO ATM'!$A$2:$B$897,2,0)</f>
        <v>ATM Oficina Boulevard (Higuey) II</v>
      </c>
      <c r="H27" s="147" t="str">
        <f>VLOOKUP(E27,VIP!$A$2:$O18597,7,FALSE)</f>
        <v>N/A</v>
      </c>
      <c r="I27" s="147" t="str">
        <f>VLOOKUP(E27,VIP!$A$2:$O10562,8,FALSE)</f>
        <v>N/A</v>
      </c>
      <c r="J27" s="147" t="str">
        <f>VLOOKUP(E27,VIP!$A$2:$O10512,8,FALSE)</f>
        <v>N/A</v>
      </c>
      <c r="K27" s="147" t="str">
        <f>VLOOKUP(E27,VIP!$A$2:$O14086,6,0)</f>
        <v>N/A</v>
      </c>
      <c r="L27" s="122" t="s">
        <v>2219</v>
      </c>
      <c r="M27" s="131" t="s">
        <v>2446</v>
      </c>
      <c r="N27" s="131" t="s">
        <v>2453</v>
      </c>
      <c r="O27" s="147" t="s">
        <v>2455</v>
      </c>
      <c r="P27" s="147"/>
      <c r="Q27" s="146" t="s">
        <v>2219</v>
      </c>
    </row>
    <row r="28" spans="1:17" ht="18" x14ac:dyDescent="0.25">
      <c r="A28" s="147" t="str">
        <f>VLOOKUP(E28,'LISTADO ATM'!$A$2:$C$898,3,0)</f>
        <v>DISTRITO NACIONAL</v>
      </c>
      <c r="B28" s="126" t="s">
        <v>2628</v>
      </c>
      <c r="C28" s="132">
        <v>44362.031608796293</v>
      </c>
      <c r="D28" s="132" t="s">
        <v>2180</v>
      </c>
      <c r="E28" s="121">
        <v>639</v>
      </c>
      <c r="F28" s="147" t="str">
        <f>VLOOKUP(E28,VIP!$A$2:$O13735,2,0)</f>
        <v>DRBR639</v>
      </c>
      <c r="G28" s="147" t="str">
        <f>VLOOKUP(E28,'LISTADO ATM'!$A$2:$B$897,2,0)</f>
        <v xml:space="preserve">ATM Comisión Militar MOPC </v>
      </c>
      <c r="H28" s="147" t="str">
        <f>VLOOKUP(E28,VIP!$A$2:$O18598,7,FALSE)</f>
        <v>Si</v>
      </c>
      <c r="I28" s="147" t="str">
        <f>VLOOKUP(E28,VIP!$A$2:$O10563,8,FALSE)</f>
        <v>Si</v>
      </c>
      <c r="J28" s="147" t="str">
        <f>VLOOKUP(E28,VIP!$A$2:$O10513,8,FALSE)</f>
        <v>Si</v>
      </c>
      <c r="K28" s="147" t="str">
        <f>VLOOKUP(E28,VIP!$A$2:$O14087,6,0)</f>
        <v>NO</v>
      </c>
      <c r="L28" s="122" t="s">
        <v>2219</v>
      </c>
      <c r="M28" s="150" t="s">
        <v>2551</v>
      </c>
      <c r="N28" s="131" t="s">
        <v>2453</v>
      </c>
      <c r="O28" s="147" t="s">
        <v>2455</v>
      </c>
      <c r="P28" s="147"/>
      <c r="Q28" s="149">
        <v>44362.431689814817</v>
      </c>
    </row>
    <row r="29" spans="1:17" ht="18" x14ac:dyDescent="0.25">
      <c r="A29" s="147" t="str">
        <f>VLOOKUP(E29,'LISTADO ATM'!$A$2:$C$898,3,0)</f>
        <v>SUR</v>
      </c>
      <c r="B29" s="126" t="s">
        <v>2605</v>
      </c>
      <c r="C29" s="132">
        <v>44361.783020833333</v>
      </c>
      <c r="D29" s="132" t="s">
        <v>2180</v>
      </c>
      <c r="E29" s="121">
        <v>48</v>
      </c>
      <c r="F29" s="147" t="str">
        <f>VLOOKUP(E29,VIP!$A$2:$O13716,2,0)</f>
        <v>DRBR048</v>
      </c>
      <c r="G29" s="147" t="str">
        <f>VLOOKUP(E29,'LISTADO ATM'!$A$2:$B$897,2,0)</f>
        <v xml:space="preserve">ATM Autoservicio Neiba I </v>
      </c>
      <c r="H29" s="147" t="str">
        <f>VLOOKUP(E29,VIP!$A$2:$O18579,7,FALSE)</f>
        <v>Si</v>
      </c>
      <c r="I29" s="147" t="str">
        <f>VLOOKUP(E29,VIP!$A$2:$O10544,8,FALSE)</f>
        <v>Si</v>
      </c>
      <c r="J29" s="147" t="str">
        <f>VLOOKUP(E29,VIP!$A$2:$O10494,8,FALSE)</f>
        <v>Si</v>
      </c>
      <c r="K29" s="147" t="str">
        <f>VLOOKUP(E29,VIP!$A$2:$O14068,6,0)</f>
        <v>SI</v>
      </c>
      <c r="L29" s="122" t="s">
        <v>2604</v>
      </c>
      <c r="M29" s="131" t="s">
        <v>2446</v>
      </c>
      <c r="N29" s="131" t="s">
        <v>2453</v>
      </c>
      <c r="O29" s="147" t="s">
        <v>2455</v>
      </c>
      <c r="P29" s="147"/>
      <c r="Q29" s="146" t="s">
        <v>2604</v>
      </c>
    </row>
    <row r="30" spans="1:17" ht="18" x14ac:dyDescent="0.25">
      <c r="A30" s="147" t="str">
        <f>VLOOKUP(E30,'LISTADO ATM'!$A$2:$C$898,3,0)</f>
        <v>DISTRITO NACIONAL</v>
      </c>
      <c r="B30" s="126" t="s">
        <v>2603</v>
      </c>
      <c r="C30" s="132">
        <v>44361.783900462964</v>
      </c>
      <c r="D30" s="132" t="s">
        <v>2180</v>
      </c>
      <c r="E30" s="121">
        <v>160</v>
      </c>
      <c r="F30" s="147" t="str">
        <f>VLOOKUP(E30,VIP!$A$2:$O13715,2,0)</f>
        <v>DRBR160</v>
      </c>
      <c r="G30" s="147" t="str">
        <f>VLOOKUP(E30,'LISTADO ATM'!$A$2:$B$897,2,0)</f>
        <v xml:space="preserve">ATM Oficina Herrera </v>
      </c>
      <c r="H30" s="147" t="str">
        <f>VLOOKUP(E30,VIP!$A$2:$O18578,7,FALSE)</f>
        <v>Si</v>
      </c>
      <c r="I30" s="147" t="str">
        <f>VLOOKUP(E30,VIP!$A$2:$O10543,8,FALSE)</f>
        <v>Si</v>
      </c>
      <c r="J30" s="147" t="str">
        <f>VLOOKUP(E30,VIP!$A$2:$O10493,8,FALSE)</f>
        <v>Si</v>
      </c>
      <c r="K30" s="147" t="str">
        <f>VLOOKUP(E30,VIP!$A$2:$O14067,6,0)</f>
        <v>NO</v>
      </c>
      <c r="L30" s="122" t="s">
        <v>2604</v>
      </c>
      <c r="M30" s="150" t="s">
        <v>2551</v>
      </c>
      <c r="N30" s="131" t="s">
        <v>2453</v>
      </c>
      <c r="O30" s="147" t="s">
        <v>2455</v>
      </c>
      <c r="P30" s="147"/>
      <c r="Q30" s="149">
        <v>44362.440833333334</v>
      </c>
    </row>
    <row r="31" spans="1:17" ht="18" x14ac:dyDescent="0.25">
      <c r="A31" s="147" t="str">
        <f>VLOOKUP(E31,'LISTADO ATM'!$A$2:$C$898,3,0)</f>
        <v>DISTRITO NACIONAL</v>
      </c>
      <c r="B31" s="126" t="s">
        <v>2619</v>
      </c>
      <c r="C31" s="132">
        <v>44361.902638888889</v>
      </c>
      <c r="D31" s="132" t="s">
        <v>2180</v>
      </c>
      <c r="E31" s="121">
        <v>883</v>
      </c>
      <c r="F31" s="147" t="str">
        <f>VLOOKUP(E31,VIP!$A$2:$O13731,2,0)</f>
        <v>DRBR883</v>
      </c>
      <c r="G31" s="147" t="str">
        <f>VLOOKUP(E31,'LISTADO ATM'!$A$2:$B$897,2,0)</f>
        <v xml:space="preserve">ATM Oficina Filadelfia Plaza </v>
      </c>
      <c r="H31" s="147" t="str">
        <f>VLOOKUP(E31,VIP!$A$2:$O18594,7,FALSE)</f>
        <v>Si</v>
      </c>
      <c r="I31" s="147" t="str">
        <f>VLOOKUP(E31,VIP!$A$2:$O10559,8,FALSE)</f>
        <v>Si</v>
      </c>
      <c r="J31" s="147" t="str">
        <f>VLOOKUP(E31,VIP!$A$2:$O10509,8,FALSE)</f>
        <v>Si</v>
      </c>
      <c r="K31" s="147" t="str">
        <f>VLOOKUP(E31,VIP!$A$2:$O14083,6,0)</f>
        <v>NO</v>
      </c>
      <c r="L31" s="122" t="s">
        <v>2245</v>
      </c>
      <c r="M31" s="150" t="s">
        <v>2551</v>
      </c>
      <c r="N31" s="131" t="s">
        <v>2453</v>
      </c>
      <c r="O31" s="147" t="s">
        <v>2455</v>
      </c>
      <c r="P31" s="147"/>
      <c r="Q31" s="149">
        <v>44362.944074074076</v>
      </c>
    </row>
    <row r="32" spans="1:17" ht="18" x14ac:dyDescent="0.25">
      <c r="A32" s="147" t="str">
        <f>VLOOKUP(E32,'LISTADO ATM'!$A$2:$C$898,3,0)</f>
        <v>DISTRITO NACIONAL</v>
      </c>
      <c r="B32" s="126">
        <v>3335910002</v>
      </c>
      <c r="C32" s="132">
        <v>44351.65902777778</v>
      </c>
      <c r="D32" s="132" t="s">
        <v>2180</v>
      </c>
      <c r="E32" s="121">
        <v>744</v>
      </c>
      <c r="F32" s="147" t="str">
        <f>VLOOKUP(E32,VIP!$A$2:$O13694,2,0)</f>
        <v>DRBR289</v>
      </c>
      <c r="G32" s="147" t="str">
        <f>VLOOKUP(E32,'LISTADO ATM'!$A$2:$B$897,2,0)</f>
        <v xml:space="preserve">ATM Multicentro La Sirena Venezuela </v>
      </c>
      <c r="H32" s="147" t="str">
        <f>VLOOKUP(E32,VIP!$A$2:$O18557,7,FALSE)</f>
        <v>Si</v>
      </c>
      <c r="I32" s="147" t="str">
        <f>VLOOKUP(E32,VIP!$A$2:$O10522,8,FALSE)</f>
        <v>Si</v>
      </c>
      <c r="J32" s="147" t="str">
        <f>VLOOKUP(E32,VIP!$A$2:$O10472,8,FALSE)</f>
        <v>Si</v>
      </c>
      <c r="K32" s="147" t="str">
        <f>VLOOKUP(E32,VIP!$A$2:$O14046,6,0)</f>
        <v>SI</v>
      </c>
      <c r="L32" s="122" t="s">
        <v>2245</v>
      </c>
      <c r="M32" s="131" t="s">
        <v>2446</v>
      </c>
      <c r="N32" s="131" t="s">
        <v>2559</v>
      </c>
      <c r="O32" s="147" t="s">
        <v>2455</v>
      </c>
      <c r="P32" s="131"/>
      <c r="Q32" s="146" t="s">
        <v>2245</v>
      </c>
    </row>
    <row r="33" spans="1:23" ht="18" x14ac:dyDescent="0.25">
      <c r="A33" s="147" t="str">
        <f>VLOOKUP(E33,'LISTADO ATM'!$A$2:$C$898,3,0)</f>
        <v>DISTRITO NACIONAL</v>
      </c>
      <c r="B33" s="126">
        <v>3335917114</v>
      </c>
      <c r="C33" s="132">
        <v>44358.46503472222</v>
      </c>
      <c r="D33" s="132" t="s">
        <v>2180</v>
      </c>
      <c r="E33" s="121">
        <v>369</v>
      </c>
      <c r="F33" s="147" t="str">
        <f>VLOOKUP(E33,VIP!$A$2:$O13728,2,0)</f>
        <v xml:space="preserve">DRBR369 </v>
      </c>
      <c r="G33" s="147" t="str">
        <f>VLOOKUP(E33,'LISTADO ATM'!$A$2:$B$897,2,0)</f>
        <v>ATM Plaza Lama Aut. Duarte</v>
      </c>
      <c r="H33" s="147" t="str">
        <f>VLOOKUP(E33,VIP!$A$2:$O18591,7,FALSE)</f>
        <v>N/A</v>
      </c>
      <c r="I33" s="147" t="str">
        <f>VLOOKUP(E33,VIP!$A$2:$O10556,8,FALSE)</f>
        <v>N/A</v>
      </c>
      <c r="J33" s="147" t="str">
        <f>VLOOKUP(E33,VIP!$A$2:$O10506,8,FALSE)</f>
        <v>N/A</v>
      </c>
      <c r="K33" s="147" t="str">
        <f>VLOOKUP(E33,VIP!$A$2:$O14080,6,0)</f>
        <v>N/A</v>
      </c>
      <c r="L33" s="122" t="s">
        <v>2245</v>
      </c>
      <c r="M33" s="131" t="s">
        <v>2446</v>
      </c>
      <c r="N33" s="131" t="s">
        <v>2559</v>
      </c>
      <c r="O33" s="147" t="s">
        <v>2455</v>
      </c>
      <c r="P33" s="147"/>
      <c r="Q33" s="146" t="s">
        <v>2245</v>
      </c>
    </row>
    <row r="34" spans="1:23" ht="18" x14ac:dyDescent="0.25">
      <c r="A34" s="147" t="str">
        <f>VLOOKUP(E34,'LISTADO ATM'!$A$2:$C$898,3,0)</f>
        <v>DISTRITO NACIONAL</v>
      </c>
      <c r="B34" s="126" t="s">
        <v>2577</v>
      </c>
      <c r="C34" s="132">
        <v>44361.428263888891</v>
      </c>
      <c r="D34" s="132" t="s">
        <v>2180</v>
      </c>
      <c r="E34" s="121">
        <v>717</v>
      </c>
      <c r="F34" s="147" t="str">
        <f>VLOOKUP(E34,VIP!$A$2:$O13715,2,0)</f>
        <v>DRBR24K</v>
      </c>
      <c r="G34" s="147" t="str">
        <f>VLOOKUP(E34,'LISTADO ATM'!$A$2:$B$897,2,0)</f>
        <v xml:space="preserve">ATM Oficina Los Alcarrizos </v>
      </c>
      <c r="H34" s="147" t="str">
        <f>VLOOKUP(E34,VIP!$A$2:$O18578,7,FALSE)</f>
        <v>Si</v>
      </c>
      <c r="I34" s="147" t="str">
        <f>VLOOKUP(E34,VIP!$A$2:$O10543,8,FALSE)</f>
        <v>Si</v>
      </c>
      <c r="J34" s="147" t="str">
        <f>VLOOKUP(E34,VIP!$A$2:$O10493,8,FALSE)</f>
        <v>Si</v>
      </c>
      <c r="K34" s="147" t="str">
        <f>VLOOKUP(E34,VIP!$A$2:$O14067,6,0)</f>
        <v>SI</v>
      </c>
      <c r="L34" s="122" t="s">
        <v>2245</v>
      </c>
      <c r="M34" s="131" t="s">
        <v>2446</v>
      </c>
      <c r="N34" s="131" t="s">
        <v>2453</v>
      </c>
      <c r="O34" s="147" t="s">
        <v>2455</v>
      </c>
      <c r="P34" s="147"/>
      <c r="Q34" s="146" t="s">
        <v>2245</v>
      </c>
    </row>
    <row r="35" spans="1:23" ht="18" x14ac:dyDescent="0.25">
      <c r="A35" s="147" t="str">
        <f>VLOOKUP(E35,'LISTADO ATM'!$A$2:$C$898,3,0)</f>
        <v>DISTRITO NACIONAL</v>
      </c>
      <c r="B35" s="126" t="s">
        <v>2614</v>
      </c>
      <c r="C35" s="132">
        <v>44361.721134259256</v>
      </c>
      <c r="D35" s="132" t="s">
        <v>2181</v>
      </c>
      <c r="E35" s="121">
        <v>459</v>
      </c>
      <c r="F35" s="147" t="str">
        <f>VLOOKUP(E35,VIP!$A$2:$O13727,2,0)</f>
        <v>DRBR459</v>
      </c>
      <c r="G35" s="147" t="str">
        <f>VLOOKUP(E35,'LISTADO ATM'!$A$2:$B$897,2,0)</f>
        <v>ATM Estación Jima Bonao</v>
      </c>
      <c r="H35" s="147" t="str">
        <f>VLOOKUP(E35,VIP!$A$2:$O18590,7,FALSE)</f>
        <v>Si</v>
      </c>
      <c r="I35" s="147" t="str">
        <f>VLOOKUP(E35,VIP!$A$2:$O10555,8,FALSE)</f>
        <v>Si</v>
      </c>
      <c r="J35" s="147" t="str">
        <f>VLOOKUP(E35,VIP!$A$2:$O10505,8,FALSE)</f>
        <v>Si</v>
      </c>
      <c r="K35" s="147" t="str">
        <f>VLOOKUP(E35,VIP!$A$2:$O14079,6,0)</f>
        <v>NO</v>
      </c>
      <c r="L35" s="122" t="s">
        <v>2245</v>
      </c>
      <c r="M35" s="131" t="s">
        <v>2446</v>
      </c>
      <c r="N35" s="131" t="s">
        <v>2453</v>
      </c>
      <c r="O35" s="147" t="s">
        <v>2571</v>
      </c>
      <c r="P35" s="147"/>
      <c r="Q35" s="146" t="s">
        <v>2245</v>
      </c>
    </row>
    <row r="36" spans="1:23" ht="18" x14ac:dyDescent="0.25">
      <c r="A36" s="147" t="str">
        <f>VLOOKUP(E36,'LISTADO ATM'!$A$2:$C$898,3,0)</f>
        <v>DISTRITO NACIONAL</v>
      </c>
      <c r="B36" s="126" t="s">
        <v>2620</v>
      </c>
      <c r="C36" s="132">
        <v>44361.901817129627</v>
      </c>
      <c r="D36" s="132" t="s">
        <v>2180</v>
      </c>
      <c r="E36" s="121">
        <v>938</v>
      </c>
      <c r="F36" s="147" t="str">
        <f>VLOOKUP(E36,VIP!$A$2:$O13732,2,0)</f>
        <v>DRBR938</v>
      </c>
      <c r="G36" s="147" t="str">
        <f>VLOOKUP(E36,'LISTADO ATM'!$A$2:$B$897,2,0)</f>
        <v xml:space="preserve">ATM Autobanco Oficina Filadelfia Plaza </v>
      </c>
      <c r="H36" s="147" t="str">
        <f>VLOOKUP(E36,VIP!$A$2:$O18595,7,FALSE)</f>
        <v>Si</v>
      </c>
      <c r="I36" s="147" t="str">
        <f>VLOOKUP(E36,VIP!$A$2:$O10560,8,FALSE)</f>
        <v>Si</v>
      </c>
      <c r="J36" s="147" t="str">
        <f>VLOOKUP(E36,VIP!$A$2:$O10510,8,FALSE)</f>
        <v>Si</v>
      </c>
      <c r="K36" s="147" t="str">
        <f>VLOOKUP(E36,VIP!$A$2:$O14084,6,0)</f>
        <v>NO</v>
      </c>
      <c r="L36" s="122" t="s">
        <v>2245</v>
      </c>
      <c r="M36" s="131" t="s">
        <v>2446</v>
      </c>
      <c r="N36" s="131" t="s">
        <v>2453</v>
      </c>
      <c r="O36" s="147" t="s">
        <v>2455</v>
      </c>
      <c r="P36" s="147"/>
      <c r="Q36" s="146" t="s">
        <v>2245</v>
      </c>
    </row>
    <row r="37" spans="1:23" ht="18" x14ac:dyDescent="0.25">
      <c r="A37" s="147" t="str">
        <f>VLOOKUP(E37,'LISTADO ATM'!$A$2:$C$898,3,0)</f>
        <v>DISTRITO NACIONAL</v>
      </c>
      <c r="B37" s="126" t="s">
        <v>2625</v>
      </c>
      <c r="C37" s="132">
        <v>44362.12704861111</v>
      </c>
      <c r="D37" s="132" t="s">
        <v>2180</v>
      </c>
      <c r="E37" s="121">
        <v>446</v>
      </c>
      <c r="F37" s="147" t="str">
        <f>VLOOKUP(E37,VIP!$A$2:$O13732,2,0)</f>
        <v>DRBR446</v>
      </c>
      <c r="G37" s="147" t="str">
        <f>VLOOKUP(E37,'LISTADO ATM'!$A$2:$B$897,2,0)</f>
        <v>ATM Hipodromo V Centenario</v>
      </c>
      <c r="H37" s="147" t="str">
        <f>VLOOKUP(E37,VIP!$A$2:$O18595,7,FALSE)</f>
        <v>Si</v>
      </c>
      <c r="I37" s="147" t="str">
        <f>VLOOKUP(E37,VIP!$A$2:$O10560,8,FALSE)</f>
        <v>Si</v>
      </c>
      <c r="J37" s="147" t="str">
        <f>VLOOKUP(E37,VIP!$A$2:$O10510,8,FALSE)</f>
        <v>Si</v>
      </c>
      <c r="K37" s="147" t="str">
        <f>VLOOKUP(E37,VIP!$A$2:$O14084,6,0)</f>
        <v>NO</v>
      </c>
      <c r="L37" s="122" t="s">
        <v>2245</v>
      </c>
      <c r="M37" s="131" t="s">
        <v>2446</v>
      </c>
      <c r="N37" s="131" t="s">
        <v>2453</v>
      </c>
      <c r="O37" s="147" t="s">
        <v>2455</v>
      </c>
      <c r="P37" s="147"/>
      <c r="Q37" s="146" t="s">
        <v>2245</v>
      </c>
    </row>
    <row r="38" spans="1:23" ht="18" x14ac:dyDescent="0.25">
      <c r="A38" s="147" t="str">
        <f>VLOOKUP(E38,'LISTADO ATM'!$A$2:$C$898,3,0)</f>
        <v>DISTRITO NACIONAL</v>
      </c>
      <c r="B38" s="126" t="s">
        <v>2578</v>
      </c>
      <c r="C38" s="132">
        <v>44361.357951388891</v>
      </c>
      <c r="D38" s="132" t="s">
        <v>2449</v>
      </c>
      <c r="E38" s="121">
        <v>169</v>
      </c>
      <c r="F38" s="147" t="str">
        <f>VLOOKUP(E38,VIP!$A$2:$O13721,2,0)</f>
        <v>DRBR169</v>
      </c>
      <c r="G38" s="147" t="str">
        <f>VLOOKUP(E38,'LISTADO ATM'!$A$2:$B$897,2,0)</f>
        <v xml:space="preserve">ATM Oficina Caonabo </v>
      </c>
      <c r="H38" s="147" t="str">
        <f>VLOOKUP(E38,VIP!$A$2:$O18584,7,FALSE)</f>
        <v>Si</v>
      </c>
      <c r="I38" s="147" t="str">
        <f>VLOOKUP(E38,VIP!$A$2:$O10549,8,FALSE)</f>
        <v>Si</v>
      </c>
      <c r="J38" s="147" t="str">
        <f>VLOOKUP(E38,VIP!$A$2:$O10499,8,FALSE)</f>
        <v>Si</v>
      </c>
      <c r="K38" s="147" t="str">
        <f>VLOOKUP(E38,VIP!$A$2:$O14073,6,0)</f>
        <v>NO</v>
      </c>
      <c r="L38" s="122" t="s">
        <v>2579</v>
      </c>
      <c r="M38" s="131" t="s">
        <v>2446</v>
      </c>
      <c r="N38" s="131" t="s">
        <v>2453</v>
      </c>
      <c r="O38" s="147" t="s">
        <v>2454</v>
      </c>
      <c r="P38" s="147"/>
      <c r="Q38" s="146" t="s">
        <v>2579</v>
      </c>
    </row>
    <row r="39" spans="1:23" ht="18" x14ac:dyDescent="0.25">
      <c r="A39" s="147" t="str">
        <f>VLOOKUP(E39,'LISTADO ATM'!$A$2:$C$898,3,0)</f>
        <v>NORTE</v>
      </c>
      <c r="B39" s="126">
        <v>3335918178</v>
      </c>
      <c r="C39" s="132">
        <v>44359.626018518517</v>
      </c>
      <c r="D39" s="132" t="s">
        <v>2470</v>
      </c>
      <c r="E39" s="121">
        <v>538</v>
      </c>
      <c r="F39" s="147" t="str">
        <f>VLOOKUP(E39,VIP!$A$2:$O13706,2,0)</f>
        <v>DRBR538</v>
      </c>
      <c r="G39" s="147" t="str">
        <f>VLOOKUP(E39,'LISTADO ATM'!$A$2:$B$897,2,0)</f>
        <v>ATM  Autoservicio San Fco. Macorís</v>
      </c>
      <c r="H39" s="147" t="str">
        <f>VLOOKUP(E39,VIP!$A$2:$O18569,7,FALSE)</f>
        <v>Si</v>
      </c>
      <c r="I39" s="147" t="str">
        <f>VLOOKUP(E39,VIP!$A$2:$O10534,8,FALSE)</f>
        <v>Si</v>
      </c>
      <c r="J39" s="147" t="str">
        <f>VLOOKUP(E39,VIP!$A$2:$O10484,8,FALSE)</f>
        <v>Si</v>
      </c>
      <c r="K39" s="147" t="str">
        <f>VLOOKUP(E39,VIP!$A$2:$O14058,6,0)</f>
        <v>NO</v>
      </c>
      <c r="L39" s="122" t="s">
        <v>2568</v>
      </c>
      <c r="M39" s="131" t="s">
        <v>2446</v>
      </c>
      <c r="N39" s="131" t="s">
        <v>2453</v>
      </c>
      <c r="O39" s="147" t="s">
        <v>2471</v>
      </c>
      <c r="P39" s="131"/>
      <c r="Q39" s="146" t="s">
        <v>2568</v>
      </c>
    </row>
    <row r="40" spans="1:23" ht="18" x14ac:dyDescent="0.25">
      <c r="A40" s="147" t="str">
        <f>VLOOKUP(E40,'LISTADO ATM'!$A$2:$C$898,3,0)</f>
        <v>DISTRITO NACIONAL</v>
      </c>
      <c r="B40" s="126">
        <v>3335918210</v>
      </c>
      <c r="C40" s="132">
        <v>44360.022916666669</v>
      </c>
      <c r="D40" s="132" t="s">
        <v>2449</v>
      </c>
      <c r="E40" s="121">
        <v>147</v>
      </c>
      <c r="F40" s="147" t="str">
        <f>VLOOKUP(E40,VIP!$A$2:$O13732,2,0)</f>
        <v>DRBR147</v>
      </c>
      <c r="G40" s="147" t="str">
        <f>VLOOKUP(E40,'LISTADO ATM'!$A$2:$B$897,2,0)</f>
        <v xml:space="preserve">ATM Kiosco Megacentro I </v>
      </c>
      <c r="H40" s="147" t="str">
        <f>VLOOKUP(E40,VIP!$A$2:$O18595,7,FALSE)</f>
        <v>Si</v>
      </c>
      <c r="I40" s="147" t="str">
        <f>VLOOKUP(E40,VIP!$A$2:$O10560,8,FALSE)</f>
        <v>Si</v>
      </c>
      <c r="J40" s="147" t="str">
        <f>VLOOKUP(E40,VIP!$A$2:$O10510,8,FALSE)</f>
        <v>Si</v>
      </c>
      <c r="K40" s="147" t="str">
        <f>VLOOKUP(E40,VIP!$A$2:$O14084,6,0)</f>
        <v>NO</v>
      </c>
      <c r="L40" s="122" t="s">
        <v>2442</v>
      </c>
      <c r="M40" s="131" t="s">
        <v>2446</v>
      </c>
      <c r="N40" s="131" t="s">
        <v>2453</v>
      </c>
      <c r="O40" s="147" t="s">
        <v>2454</v>
      </c>
      <c r="P40" s="147"/>
      <c r="Q40" s="146" t="s">
        <v>2442</v>
      </c>
    </row>
    <row r="41" spans="1:23" ht="18" x14ac:dyDescent="0.25">
      <c r="A41" s="147" t="str">
        <f>VLOOKUP(E41,'LISTADO ATM'!$A$2:$C$898,3,0)</f>
        <v>DISTRITO NACIONAL</v>
      </c>
      <c r="B41" s="126" t="s">
        <v>2580</v>
      </c>
      <c r="C41" s="132">
        <v>44361.408333333333</v>
      </c>
      <c r="D41" s="132" t="s">
        <v>2449</v>
      </c>
      <c r="E41" s="121">
        <v>175</v>
      </c>
      <c r="F41" s="147" t="str">
        <f>VLOOKUP(E41,VIP!$A$2:$O13733,2,0)</f>
        <v>DRBR175</v>
      </c>
      <c r="G41" s="147" t="str">
        <f>VLOOKUP(E41,'LISTADO ATM'!$A$2:$B$897,2,0)</f>
        <v xml:space="preserve">ATM Dirección de Ingeniería </v>
      </c>
      <c r="H41" s="147" t="str">
        <f>VLOOKUP(E41,VIP!$A$2:$O18596,7,FALSE)</f>
        <v>Si</v>
      </c>
      <c r="I41" s="147" t="str">
        <f>VLOOKUP(E41,VIP!$A$2:$O10561,8,FALSE)</f>
        <v>No</v>
      </c>
      <c r="J41" s="147" t="str">
        <f>VLOOKUP(E41,VIP!$A$2:$O10511,8,FALSE)</f>
        <v>No</v>
      </c>
      <c r="K41" s="147" t="str">
        <f>VLOOKUP(E41,VIP!$A$2:$O14085,6,0)</f>
        <v>NO</v>
      </c>
      <c r="L41" s="122" t="s">
        <v>2442</v>
      </c>
      <c r="M41" s="131" t="s">
        <v>2446</v>
      </c>
      <c r="N41" s="131" t="s">
        <v>2453</v>
      </c>
      <c r="O41" s="147" t="s">
        <v>2454</v>
      </c>
      <c r="P41" s="147"/>
      <c r="Q41" s="146" t="s">
        <v>2442</v>
      </c>
    </row>
    <row r="42" spans="1:23" ht="18" x14ac:dyDescent="0.25">
      <c r="A42" s="147" t="str">
        <f>VLOOKUP(E42,'LISTADO ATM'!$A$2:$C$898,3,0)</f>
        <v>ESTE</v>
      </c>
      <c r="B42" s="126" t="s">
        <v>2595</v>
      </c>
      <c r="C42" s="132">
        <v>44361.641423611109</v>
      </c>
      <c r="D42" s="132" t="s">
        <v>2449</v>
      </c>
      <c r="E42" s="121">
        <v>844</v>
      </c>
      <c r="F42" s="147" t="str">
        <f>VLOOKUP(E42,VIP!$A$2:$O13724,2,0)</f>
        <v>DRBR844</v>
      </c>
      <c r="G42" s="147" t="str">
        <f>VLOOKUP(E42,'LISTADO ATM'!$A$2:$B$897,2,0)</f>
        <v xml:space="preserve">ATM San Juan Shopping Center (Bávaro) </v>
      </c>
      <c r="H42" s="147" t="str">
        <f>VLOOKUP(E42,VIP!$A$2:$O18587,7,FALSE)</f>
        <v>Si</v>
      </c>
      <c r="I42" s="147" t="str">
        <f>VLOOKUP(E42,VIP!$A$2:$O10552,8,FALSE)</f>
        <v>Si</v>
      </c>
      <c r="J42" s="147" t="str">
        <f>VLOOKUP(E42,VIP!$A$2:$O10502,8,FALSE)</f>
        <v>Si</v>
      </c>
      <c r="K42" s="147" t="str">
        <f>VLOOKUP(E42,VIP!$A$2:$O14076,6,0)</f>
        <v>NO</v>
      </c>
      <c r="L42" s="122" t="s">
        <v>2442</v>
      </c>
      <c r="M42" s="131" t="s">
        <v>2446</v>
      </c>
      <c r="N42" s="131" t="s">
        <v>2453</v>
      </c>
      <c r="O42" s="147" t="s">
        <v>2454</v>
      </c>
      <c r="P42" s="147"/>
      <c r="Q42" s="146" t="s">
        <v>2442</v>
      </c>
    </row>
    <row r="43" spans="1:23" ht="18" x14ac:dyDescent="0.25">
      <c r="A43" s="147" t="str">
        <f>VLOOKUP(E43,'LISTADO ATM'!$A$2:$C$898,3,0)</f>
        <v>ESTE</v>
      </c>
      <c r="B43" s="126" t="s">
        <v>2593</v>
      </c>
      <c r="C43" s="132">
        <v>44361.643796296295</v>
      </c>
      <c r="D43" s="132" t="s">
        <v>2449</v>
      </c>
      <c r="E43" s="121">
        <v>912</v>
      </c>
      <c r="F43" s="147" t="str">
        <f>VLOOKUP(E43,VIP!$A$2:$O13722,2,0)</f>
        <v>DRBR973</v>
      </c>
      <c r="G43" s="147" t="str">
        <f>VLOOKUP(E43,'LISTADO ATM'!$A$2:$B$897,2,0)</f>
        <v xml:space="preserve">ATM Oficina San Pedro II </v>
      </c>
      <c r="H43" s="147" t="str">
        <f>VLOOKUP(E43,VIP!$A$2:$O18585,7,FALSE)</f>
        <v>Si</v>
      </c>
      <c r="I43" s="147" t="str">
        <f>VLOOKUP(E43,VIP!$A$2:$O10550,8,FALSE)</f>
        <v>Si</v>
      </c>
      <c r="J43" s="147" t="str">
        <f>VLOOKUP(E43,VIP!$A$2:$O10500,8,FALSE)</f>
        <v>Si</v>
      </c>
      <c r="K43" s="147" t="str">
        <f>VLOOKUP(E43,VIP!$A$2:$O14074,6,0)</f>
        <v>SI</v>
      </c>
      <c r="L43" s="122" t="s">
        <v>2442</v>
      </c>
      <c r="M43" s="131" t="s">
        <v>2446</v>
      </c>
      <c r="N43" s="131" t="s">
        <v>2453</v>
      </c>
      <c r="O43" s="147" t="s">
        <v>2454</v>
      </c>
      <c r="P43" s="147"/>
      <c r="Q43" s="146" t="s">
        <v>2442</v>
      </c>
    </row>
    <row r="44" spans="1:23" ht="18" x14ac:dyDescent="0.25">
      <c r="A44" s="147" t="str">
        <f>VLOOKUP(E44,'LISTADO ATM'!$A$2:$C$898,3,0)</f>
        <v>SUR</v>
      </c>
      <c r="B44" s="126" t="s">
        <v>2613</v>
      </c>
      <c r="C44" s="132">
        <v>44361.724872685183</v>
      </c>
      <c r="D44" s="132" t="s">
        <v>2470</v>
      </c>
      <c r="E44" s="121">
        <v>252</v>
      </c>
      <c r="F44" s="147" t="str">
        <f>VLOOKUP(E44,VIP!$A$2:$O13725,2,0)</f>
        <v>DRBR252</v>
      </c>
      <c r="G44" s="147" t="str">
        <f>VLOOKUP(E44,'LISTADO ATM'!$A$2:$B$897,2,0)</f>
        <v xml:space="preserve">ATM Banco Agrícola (Barahona) </v>
      </c>
      <c r="H44" s="147" t="str">
        <f>VLOOKUP(E44,VIP!$A$2:$O18588,7,FALSE)</f>
        <v>Si</v>
      </c>
      <c r="I44" s="147" t="str">
        <f>VLOOKUP(E44,VIP!$A$2:$O10553,8,FALSE)</f>
        <v>Si</v>
      </c>
      <c r="J44" s="147" t="str">
        <f>VLOOKUP(E44,VIP!$A$2:$O10503,8,FALSE)</f>
        <v>Si</v>
      </c>
      <c r="K44" s="147" t="str">
        <f>VLOOKUP(E44,VIP!$A$2:$O14077,6,0)</f>
        <v>NO</v>
      </c>
      <c r="L44" s="122" t="s">
        <v>2442</v>
      </c>
      <c r="M44" s="131" t="s">
        <v>2446</v>
      </c>
      <c r="N44" s="131" t="s">
        <v>2453</v>
      </c>
      <c r="O44" s="147" t="s">
        <v>2471</v>
      </c>
      <c r="P44" s="147"/>
      <c r="Q44" s="146" t="s">
        <v>2442</v>
      </c>
    </row>
    <row r="45" spans="1:23" ht="18" x14ac:dyDescent="0.25">
      <c r="A45" s="147" t="str">
        <f>VLOOKUP(E45,'LISTADO ATM'!$A$2:$C$898,3,0)</f>
        <v>SUR</v>
      </c>
      <c r="B45" s="126" t="s">
        <v>2606</v>
      </c>
      <c r="C45" s="132">
        <v>44361.777453703704</v>
      </c>
      <c r="D45" s="132" t="s">
        <v>2470</v>
      </c>
      <c r="E45" s="121">
        <v>616</v>
      </c>
      <c r="F45" s="147" t="str">
        <f>VLOOKUP(E45,VIP!$A$2:$O13717,2,0)</f>
        <v>DRBR187</v>
      </c>
      <c r="G45" s="147" t="str">
        <f>VLOOKUP(E45,'LISTADO ATM'!$A$2:$B$897,2,0)</f>
        <v xml:space="preserve">ATM 5ta. Brigada Barahona </v>
      </c>
      <c r="H45" s="147" t="str">
        <f>VLOOKUP(E45,VIP!$A$2:$O18580,7,FALSE)</f>
        <v>Si</v>
      </c>
      <c r="I45" s="147" t="str">
        <f>VLOOKUP(E45,VIP!$A$2:$O10545,8,FALSE)</f>
        <v>Si</v>
      </c>
      <c r="J45" s="147" t="str">
        <f>VLOOKUP(E45,VIP!$A$2:$O10495,8,FALSE)</f>
        <v>Si</v>
      </c>
      <c r="K45" s="147" t="str">
        <f>VLOOKUP(E45,VIP!$A$2:$O14069,6,0)</f>
        <v>NO</v>
      </c>
      <c r="L45" s="122" t="s">
        <v>2442</v>
      </c>
      <c r="M45" s="131" t="s">
        <v>2446</v>
      </c>
      <c r="N45" s="131" t="s">
        <v>2453</v>
      </c>
      <c r="O45" s="147" t="s">
        <v>2471</v>
      </c>
      <c r="P45" s="147"/>
      <c r="Q45" s="146" t="s">
        <v>2442</v>
      </c>
      <c r="R45" s="45"/>
      <c r="S45" s="87"/>
      <c r="T45" s="87"/>
      <c r="U45" s="87"/>
      <c r="V45" s="89"/>
      <c r="W45" s="75"/>
    </row>
    <row r="46" spans="1:23" ht="18" x14ac:dyDescent="0.25">
      <c r="A46" s="147" t="str">
        <f>VLOOKUP(E46,'LISTADO ATM'!$A$2:$C$898,3,0)</f>
        <v>NORTE</v>
      </c>
      <c r="B46" s="126" t="s">
        <v>2629</v>
      </c>
      <c r="C46" s="132">
        <v>44362.026354166665</v>
      </c>
      <c r="D46" s="132" t="s">
        <v>2181</v>
      </c>
      <c r="E46" s="121">
        <v>63</v>
      </c>
      <c r="F46" s="147" t="str">
        <f>VLOOKUP(E46,VIP!$A$2:$O13736,2,0)</f>
        <v>DRBR063</v>
      </c>
      <c r="G46" s="147" t="str">
        <f>VLOOKUP(E46,'LISTADO ATM'!$A$2:$B$897,2,0)</f>
        <v xml:space="preserve">ATM Oficina Villa Vásquez (Montecristi) </v>
      </c>
      <c r="H46" s="147" t="str">
        <f>VLOOKUP(E46,VIP!$A$2:$O18599,7,FALSE)</f>
        <v>Si</v>
      </c>
      <c r="I46" s="147" t="str">
        <f>VLOOKUP(E46,VIP!$A$2:$O10564,8,FALSE)</f>
        <v>Si</v>
      </c>
      <c r="J46" s="147" t="str">
        <f>VLOOKUP(E46,VIP!$A$2:$O10514,8,FALSE)</f>
        <v>Si</v>
      </c>
      <c r="K46" s="147" t="str">
        <f>VLOOKUP(E46,VIP!$A$2:$O14088,6,0)</f>
        <v>NO</v>
      </c>
      <c r="L46" s="122" t="s">
        <v>2570</v>
      </c>
      <c r="M46" s="131" t="s">
        <v>2446</v>
      </c>
      <c r="N46" s="131" t="s">
        <v>2453</v>
      </c>
      <c r="O46" s="147" t="s">
        <v>2548</v>
      </c>
      <c r="P46" s="147"/>
      <c r="Q46" s="146" t="s">
        <v>2570</v>
      </c>
      <c r="R46" s="45"/>
      <c r="S46" s="87"/>
      <c r="T46" s="87"/>
      <c r="U46" s="87"/>
      <c r="V46" s="89"/>
      <c r="W46" s="75"/>
    </row>
    <row r="47" spans="1:23" ht="18" x14ac:dyDescent="0.25">
      <c r="A47" s="147" t="str">
        <f>VLOOKUP(E47,'LISTADO ATM'!$A$2:$C$898,3,0)</f>
        <v>DISTRITO NACIONAL</v>
      </c>
      <c r="B47" s="126" t="s">
        <v>2630</v>
      </c>
      <c r="C47" s="132">
        <v>44361.994606481479</v>
      </c>
      <c r="D47" s="132" t="s">
        <v>2180</v>
      </c>
      <c r="E47" s="121">
        <v>240</v>
      </c>
      <c r="F47" s="147" t="str">
        <f>VLOOKUP(E47,VIP!$A$2:$O13737,2,0)</f>
        <v>DRBR24D</v>
      </c>
      <c r="G47" s="147" t="str">
        <f>VLOOKUP(E47,'LISTADO ATM'!$A$2:$B$897,2,0)</f>
        <v xml:space="preserve">ATM Oficina Carrefour I </v>
      </c>
      <c r="H47" s="147" t="str">
        <f>VLOOKUP(E47,VIP!$A$2:$O18600,7,FALSE)</f>
        <v>Si</v>
      </c>
      <c r="I47" s="147" t="str">
        <f>VLOOKUP(E47,VIP!$A$2:$O10565,8,FALSE)</f>
        <v>Si</v>
      </c>
      <c r="J47" s="147" t="str">
        <f>VLOOKUP(E47,VIP!$A$2:$O10515,8,FALSE)</f>
        <v>Si</v>
      </c>
      <c r="K47" s="147" t="str">
        <f>VLOOKUP(E47,VIP!$A$2:$O14089,6,0)</f>
        <v>SI</v>
      </c>
      <c r="L47" s="122" t="s">
        <v>2570</v>
      </c>
      <c r="M47" s="131" t="s">
        <v>2446</v>
      </c>
      <c r="N47" s="131" t="s">
        <v>2453</v>
      </c>
      <c r="O47" s="147" t="s">
        <v>2455</v>
      </c>
      <c r="P47" s="147"/>
      <c r="Q47" s="146" t="s">
        <v>2570</v>
      </c>
      <c r="R47" s="45"/>
      <c r="S47" s="87"/>
      <c r="T47" s="87"/>
      <c r="U47" s="87"/>
      <c r="V47" s="89"/>
      <c r="W47" s="75"/>
    </row>
    <row r="48" spans="1:23" ht="18" x14ac:dyDescent="0.25">
      <c r="A48" s="147" t="str">
        <f>VLOOKUP(E48,'LISTADO ATM'!$A$2:$C$898,3,0)</f>
        <v>SUR</v>
      </c>
      <c r="B48" s="126" t="s">
        <v>2621</v>
      </c>
      <c r="C48" s="132">
        <v>44361.901064814818</v>
      </c>
      <c r="D48" s="132" t="s">
        <v>2180</v>
      </c>
      <c r="E48" s="121">
        <v>403</v>
      </c>
      <c r="F48" s="147" t="str">
        <f>VLOOKUP(E48,VIP!$A$2:$O13733,2,0)</f>
        <v>DRBR403</v>
      </c>
      <c r="G48" s="147" t="str">
        <f>VLOOKUP(E48,'LISTADO ATM'!$A$2:$B$897,2,0)</f>
        <v xml:space="preserve">ATM Oficina Vicente Noble </v>
      </c>
      <c r="H48" s="147" t="str">
        <f>VLOOKUP(E48,VIP!$A$2:$O18596,7,FALSE)</f>
        <v>Si</v>
      </c>
      <c r="I48" s="147" t="str">
        <f>VLOOKUP(E48,VIP!$A$2:$O10561,8,FALSE)</f>
        <v>Si</v>
      </c>
      <c r="J48" s="147" t="str">
        <f>VLOOKUP(E48,VIP!$A$2:$O10511,8,FALSE)</f>
        <v>Si</v>
      </c>
      <c r="K48" s="147" t="str">
        <f>VLOOKUP(E48,VIP!$A$2:$O14085,6,0)</f>
        <v>NO</v>
      </c>
      <c r="L48" s="122" t="s">
        <v>2562</v>
      </c>
      <c r="M48" s="131" t="s">
        <v>2446</v>
      </c>
      <c r="N48" s="131" t="s">
        <v>2453</v>
      </c>
      <c r="O48" s="147" t="s">
        <v>2455</v>
      </c>
      <c r="P48" s="147"/>
      <c r="Q48" s="146" t="s">
        <v>2562</v>
      </c>
      <c r="R48" s="45"/>
      <c r="S48" s="87"/>
      <c r="T48" s="87"/>
      <c r="U48" s="87"/>
      <c r="V48" s="89"/>
      <c r="W48" s="75"/>
    </row>
    <row r="49" spans="1:23" ht="18" x14ac:dyDescent="0.25">
      <c r="A49" s="147" t="str">
        <f>VLOOKUP(E49,'LISTADO ATM'!$A$2:$C$898,3,0)</f>
        <v>SUR</v>
      </c>
      <c r="B49" s="126" t="s">
        <v>2609</v>
      </c>
      <c r="C49" s="132">
        <v>44361.738564814812</v>
      </c>
      <c r="D49" s="132" t="s">
        <v>2180</v>
      </c>
      <c r="E49" s="121">
        <v>829</v>
      </c>
      <c r="F49" s="147" t="str">
        <f>VLOOKUP(E49,VIP!$A$2:$O13721,2,0)</f>
        <v>DRBR829</v>
      </c>
      <c r="G49" s="147" t="str">
        <f>VLOOKUP(E49,'LISTADO ATM'!$A$2:$B$897,2,0)</f>
        <v xml:space="preserve">ATM UNP Multicentro Sirena Baní </v>
      </c>
      <c r="H49" s="147" t="str">
        <f>VLOOKUP(E49,VIP!$A$2:$O18584,7,FALSE)</f>
        <v>Si</v>
      </c>
      <c r="I49" s="147" t="str">
        <f>VLOOKUP(E49,VIP!$A$2:$O10549,8,FALSE)</f>
        <v>Si</v>
      </c>
      <c r="J49" s="147" t="str">
        <f>VLOOKUP(E49,VIP!$A$2:$O10499,8,FALSE)</f>
        <v>Si</v>
      </c>
      <c r="K49" s="147" t="str">
        <f>VLOOKUP(E49,VIP!$A$2:$O14073,6,0)</f>
        <v>NO</v>
      </c>
      <c r="L49" s="122" t="s">
        <v>2610</v>
      </c>
      <c r="M49" s="131" t="s">
        <v>2446</v>
      </c>
      <c r="N49" s="131" t="s">
        <v>2453</v>
      </c>
      <c r="O49" s="147" t="s">
        <v>2455</v>
      </c>
      <c r="P49" s="147"/>
      <c r="Q49" s="146" t="s">
        <v>2610</v>
      </c>
      <c r="R49" s="45"/>
      <c r="S49" s="87"/>
      <c r="T49" s="87"/>
      <c r="U49" s="87"/>
      <c r="V49" s="89"/>
      <c r="W49" s="75"/>
    </row>
    <row r="50" spans="1:23" ht="18" x14ac:dyDescent="0.25">
      <c r="A50" s="147" t="str">
        <f>VLOOKUP(E50,'LISTADO ATM'!$A$2:$C$898,3,0)</f>
        <v>DISTRITO NACIONAL</v>
      </c>
      <c r="B50" s="126" t="s">
        <v>2611</v>
      </c>
      <c r="C50" s="132">
        <v>44361.734618055554</v>
      </c>
      <c r="D50" s="132" t="s">
        <v>2180</v>
      </c>
      <c r="E50" s="121">
        <v>453</v>
      </c>
      <c r="F50" s="147" t="str">
        <f>VLOOKUP(E50,VIP!$A$2:$O13724,2,0)</f>
        <v>DRBR453</v>
      </c>
      <c r="G50" s="147" t="str">
        <f>VLOOKUP(E50,'LISTADO ATM'!$A$2:$B$897,2,0)</f>
        <v xml:space="preserve">ATM Autobanco Sarasota II </v>
      </c>
      <c r="H50" s="147" t="str">
        <f>VLOOKUP(E50,VIP!$A$2:$O18587,7,FALSE)</f>
        <v>Si</v>
      </c>
      <c r="I50" s="147" t="str">
        <f>VLOOKUP(E50,VIP!$A$2:$O10552,8,FALSE)</f>
        <v>Si</v>
      </c>
      <c r="J50" s="147" t="str">
        <f>VLOOKUP(E50,VIP!$A$2:$O10502,8,FALSE)</f>
        <v>Si</v>
      </c>
      <c r="K50" s="147" t="str">
        <f>VLOOKUP(E50,VIP!$A$2:$O14076,6,0)</f>
        <v>SI</v>
      </c>
      <c r="L50" s="122" t="s">
        <v>2612</v>
      </c>
      <c r="M50" s="131" t="s">
        <v>2446</v>
      </c>
      <c r="N50" s="131" t="s">
        <v>2453</v>
      </c>
      <c r="O50" s="147" t="s">
        <v>2455</v>
      </c>
      <c r="P50" s="147"/>
      <c r="Q50" s="146" t="s">
        <v>2612</v>
      </c>
      <c r="R50" s="45"/>
      <c r="S50" s="87"/>
      <c r="T50" s="87"/>
      <c r="U50" s="87"/>
      <c r="V50" s="89"/>
      <c r="W50" s="75"/>
    </row>
    <row r="51" spans="1:23" ht="18" x14ac:dyDescent="0.25">
      <c r="A51" s="147" t="str">
        <f>VLOOKUP(E51,'LISTADO ATM'!$A$2:$C$898,3,0)</f>
        <v>DISTRITO NACIONAL</v>
      </c>
      <c r="B51" s="126">
        <v>3335918196</v>
      </c>
      <c r="C51" s="132">
        <v>44359.791331018518</v>
      </c>
      <c r="D51" s="132" t="s">
        <v>2470</v>
      </c>
      <c r="E51" s="121">
        <v>527</v>
      </c>
      <c r="F51" s="147" t="str">
        <f>VLOOKUP(E51,VIP!$A$2:$O13699,2,0)</f>
        <v>DRBR527</v>
      </c>
      <c r="G51" s="147" t="str">
        <f>VLOOKUP(E51,'LISTADO ATM'!$A$2:$B$897,2,0)</f>
        <v>ATM Oficina Zona Oriental II</v>
      </c>
      <c r="H51" s="147" t="str">
        <f>VLOOKUP(E51,VIP!$A$2:$O18562,7,FALSE)</f>
        <v>Si</v>
      </c>
      <c r="I51" s="147" t="str">
        <f>VLOOKUP(E51,VIP!$A$2:$O10527,8,FALSE)</f>
        <v>Si</v>
      </c>
      <c r="J51" s="147" t="str">
        <f>VLOOKUP(E51,VIP!$A$2:$O10477,8,FALSE)</f>
        <v>Si</v>
      </c>
      <c r="K51" s="147" t="str">
        <f>VLOOKUP(E51,VIP!$A$2:$O14051,6,0)</f>
        <v>SI</v>
      </c>
      <c r="L51" s="122" t="s">
        <v>2418</v>
      </c>
      <c r="M51" s="131" t="s">
        <v>2446</v>
      </c>
      <c r="N51" s="131" t="s">
        <v>2453</v>
      </c>
      <c r="O51" s="147" t="s">
        <v>2471</v>
      </c>
      <c r="P51" s="131"/>
      <c r="Q51" s="146" t="s">
        <v>2418</v>
      </c>
      <c r="R51" s="45"/>
      <c r="S51" s="87"/>
      <c r="T51" s="87"/>
      <c r="U51" s="87"/>
      <c r="V51" s="89"/>
      <c r="W51" s="75"/>
    </row>
    <row r="52" spans="1:23" ht="18" x14ac:dyDescent="0.25">
      <c r="A52" s="147" t="str">
        <f>VLOOKUP(E52,'LISTADO ATM'!$A$2:$C$898,3,0)</f>
        <v>NORTE</v>
      </c>
      <c r="B52" s="126">
        <v>3335918211</v>
      </c>
      <c r="C52" s="132">
        <v>44360.024895833332</v>
      </c>
      <c r="D52" s="132" t="s">
        <v>2470</v>
      </c>
      <c r="E52" s="121">
        <v>290</v>
      </c>
      <c r="F52" s="147" t="str">
        <f>VLOOKUP(E52,VIP!$A$2:$O13702,2,0)</f>
        <v>DRBR290</v>
      </c>
      <c r="G52" s="147" t="str">
        <f>VLOOKUP(E52,'LISTADO ATM'!$A$2:$B$897,2,0)</f>
        <v xml:space="preserve">ATM Oficina San Francisco de Macorís </v>
      </c>
      <c r="H52" s="147" t="str">
        <f>VLOOKUP(E52,VIP!$A$2:$O18565,7,FALSE)</f>
        <v>Si</v>
      </c>
      <c r="I52" s="147" t="str">
        <f>VLOOKUP(E52,VIP!$A$2:$O10530,8,FALSE)</f>
        <v>Si</v>
      </c>
      <c r="J52" s="147" t="str">
        <f>VLOOKUP(E52,VIP!$A$2:$O10480,8,FALSE)</f>
        <v>Si</v>
      </c>
      <c r="K52" s="147" t="str">
        <f>VLOOKUP(E52,VIP!$A$2:$O14054,6,0)</f>
        <v>NO</v>
      </c>
      <c r="L52" s="122" t="s">
        <v>2418</v>
      </c>
      <c r="M52" s="131" t="s">
        <v>2446</v>
      </c>
      <c r="N52" s="131" t="s">
        <v>2453</v>
      </c>
      <c r="O52" s="147" t="s">
        <v>2471</v>
      </c>
      <c r="P52" s="131"/>
      <c r="Q52" s="146" t="s">
        <v>2418</v>
      </c>
      <c r="R52" s="45"/>
      <c r="S52" s="87"/>
      <c r="T52" s="87"/>
      <c r="U52" s="87"/>
      <c r="V52" s="89"/>
      <c r="W52" s="75"/>
    </row>
    <row r="53" spans="1:23" ht="18" x14ac:dyDescent="0.25">
      <c r="A53" s="147" t="str">
        <f>VLOOKUP(E53,'LISTADO ATM'!$A$2:$C$898,3,0)</f>
        <v>ESTE</v>
      </c>
      <c r="B53" s="126">
        <v>3335918215</v>
      </c>
      <c r="C53" s="132">
        <v>44360.107199074075</v>
      </c>
      <c r="D53" s="132" t="s">
        <v>2449</v>
      </c>
      <c r="E53" s="121">
        <v>429</v>
      </c>
      <c r="F53" s="147" t="str">
        <f>VLOOKUP(E53,VIP!$A$2:$O13698,2,0)</f>
        <v>DRBR429</v>
      </c>
      <c r="G53" s="147" t="str">
        <f>VLOOKUP(E53,'LISTADO ATM'!$A$2:$B$897,2,0)</f>
        <v xml:space="preserve">ATM Oficina Jumbo La Romana </v>
      </c>
      <c r="H53" s="147" t="str">
        <f>VLOOKUP(E53,VIP!$A$2:$O18561,7,FALSE)</f>
        <v>Si</v>
      </c>
      <c r="I53" s="147" t="str">
        <f>VLOOKUP(E53,VIP!$A$2:$O10526,8,FALSE)</f>
        <v>Si</v>
      </c>
      <c r="J53" s="147" t="str">
        <f>VLOOKUP(E53,VIP!$A$2:$O10476,8,FALSE)</f>
        <v>Si</v>
      </c>
      <c r="K53" s="147" t="str">
        <f>VLOOKUP(E53,VIP!$A$2:$O14050,6,0)</f>
        <v>NO</v>
      </c>
      <c r="L53" s="122" t="s">
        <v>2418</v>
      </c>
      <c r="M53" s="131" t="s">
        <v>2446</v>
      </c>
      <c r="N53" s="131" t="s">
        <v>2453</v>
      </c>
      <c r="O53" s="147" t="s">
        <v>2454</v>
      </c>
      <c r="P53" s="131"/>
      <c r="Q53" s="146" t="s">
        <v>2418</v>
      </c>
      <c r="R53" s="45"/>
      <c r="S53" s="87"/>
      <c r="T53" s="87"/>
      <c r="U53" s="87"/>
      <c r="V53" s="89"/>
      <c r="W53" s="75"/>
    </row>
    <row r="54" spans="1:23" ht="18" x14ac:dyDescent="0.25">
      <c r="A54" s="147" t="str">
        <f>VLOOKUP(E54,'LISTADO ATM'!$A$2:$C$898,3,0)</f>
        <v>DISTRITO NACIONAL</v>
      </c>
      <c r="B54" s="126" t="s">
        <v>2617</v>
      </c>
      <c r="C54" s="132">
        <v>44361.657395833332</v>
      </c>
      <c r="D54" s="132" t="s">
        <v>2449</v>
      </c>
      <c r="E54" s="121">
        <v>554</v>
      </c>
      <c r="F54" s="147" t="str">
        <f>VLOOKUP(E54,VIP!$A$2:$O13738,2,0)</f>
        <v>DRBR011</v>
      </c>
      <c r="G54" s="147" t="str">
        <f>VLOOKUP(E54,'LISTADO ATM'!$A$2:$B$897,2,0)</f>
        <v xml:space="preserve">ATM Oficina Isabel La Católica I </v>
      </c>
      <c r="H54" s="147" t="str">
        <f>VLOOKUP(E54,VIP!$A$2:$O18601,7,FALSE)</f>
        <v>Si</v>
      </c>
      <c r="I54" s="147" t="str">
        <f>VLOOKUP(E54,VIP!$A$2:$O10566,8,FALSE)</f>
        <v>Si</v>
      </c>
      <c r="J54" s="147" t="str">
        <f>VLOOKUP(E54,VIP!$A$2:$O10516,8,FALSE)</f>
        <v>Si</v>
      </c>
      <c r="K54" s="147" t="str">
        <f>VLOOKUP(E54,VIP!$A$2:$O14090,6,0)</f>
        <v>NO</v>
      </c>
      <c r="L54" s="122" t="s">
        <v>2418</v>
      </c>
      <c r="M54" s="131" t="s">
        <v>2446</v>
      </c>
      <c r="N54" s="131" t="s">
        <v>2453</v>
      </c>
      <c r="O54" s="147" t="s">
        <v>2454</v>
      </c>
      <c r="P54" s="147"/>
      <c r="Q54" s="146" t="s">
        <v>2418</v>
      </c>
      <c r="R54" s="45"/>
      <c r="S54" s="87"/>
      <c r="T54" s="87"/>
      <c r="U54" s="87"/>
      <c r="V54" s="89"/>
      <c r="W54" s="75"/>
    </row>
    <row r="55" spans="1:23" ht="18" x14ac:dyDescent="0.25">
      <c r="A55" s="147" t="str">
        <f>VLOOKUP(E55,'LISTADO ATM'!$A$2:$C$898,3,0)</f>
        <v>ESTE</v>
      </c>
      <c r="B55" s="126" t="s">
        <v>2616</v>
      </c>
      <c r="C55" s="132">
        <v>44361.702881944446</v>
      </c>
      <c r="D55" s="132" t="s">
        <v>2470</v>
      </c>
      <c r="E55" s="121">
        <v>609</v>
      </c>
      <c r="F55" s="147" t="str">
        <f>VLOOKUP(E55,VIP!$A$2:$O13730,2,0)</f>
        <v>DRBR120</v>
      </c>
      <c r="G55" s="147" t="str">
        <f>VLOOKUP(E55,'LISTADO ATM'!$A$2:$B$897,2,0)</f>
        <v xml:space="preserve">ATM S/M Jumbo (San Pedro) </v>
      </c>
      <c r="H55" s="147" t="str">
        <f>VLOOKUP(E55,VIP!$A$2:$O18593,7,FALSE)</f>
        <v>Si</v>
      </c>
      <c r="I55" s="147" t="str">
        <f>VLOOKUP(E55,VIP!$A$2:$O10558,8,FALSE)</f>
        <v>Si</v>
      </c>
      <c r="J55" s="147" t="str">
        <f>VLOOKUP(E55,VIP!$A$2:$O10508,8,FALSE)</f>
        <v>Si</v>
      </c>
      <c r="K55" s="147" t="str">
        <f>VLOOKUP(E55,VIP!$A$2:$O14082,6,0)</f>
        <v>NO</v>
      </c>
      <c r="L55" s="122" t="s">
        <v>2418</v>
      </c>
      <c r="M55" s="131" t="s">
        <v>2446</v>
      </c>
      <c r="N55" s="131" t="s">
        <v>2453</v>
      </c>
      <c r="O55" s="147" t="s">
        <v>2471</v>
      </c>
      <c r="P55" s="147"/>
      <c r="Q55" s="146" t="s">
        <v>2418</v>
      </c>
      <c r="R55" s="45"/>
      <c r="S55" s="87"/>
      <c r="T55" s="87"/>
      <c r="U55" s="87"/>
      <c r="V55" s="89"/>
      <c r="W55" s="75"/>
    </row>
    <row r="56" spans="1:23" ht="18" x14ac:dyDescent="0.25">
      <c r="A56" s="147" t="str">
        <f>VLOOKUP(E56,'LISTADO ATM'!$A$2:$C$898,3,0)</f>
        <v>DISTRITO NACIONAL</v>
      </c>
      <c r="B56" s="126" t="s">
        <v>2608</v>
      </c>
      <c r="C56" s="132">
        <v>44361.7737037037</v>
      </c>
      <c r="D56" s="132" t="s">
        <v>2449</v>
      </c>
      <c r="E56" s="121">
        <v>415</v>
      </c>
      <c r="F56" s="147" t="str">
        <f>VLOOKUP(E56,VIP!$A$2:$O13719,2,0)</f>
        <v>DRBR415</v>
      </c>
      <c r="G56" s="147" t="str">
        <f>VLOOKUP(E56,'LISTADO ATM'!$A$2:$B$897,2,0)</f>
        <v xml:space="preserve">ATM Autobanco San Martín I </v>
      </c>
      <c r="H56" s="147" t="str">
        <f>VLOOKUP(E56,VIP!$A$2:$O18582,7,FALSE)</f>
        <v>Si</v>
      </c>
      <c r="I56" s="147" t="str">
        <f>VLOOKUP(E56,VIP!$A$2:$O10547,8,FALSE)</f>
        <v>Si</v>
      </c>
      <c r="J56" s="147" t="str">
        <f>VLOOKUP(E56,VIP!$A$2:$O10497,8,FALSE)</f>
        <v>Si</v>
      </c>
      <c r="K56" s="147" t="str">
        <f>VLOOKUP(E56,VIP!$A$2:$O14071,6,0)</f>
        <v>NO</v>
      </c>
      <c r="L56" s="122" t="s">
        <v>2418</v>
      </c>
      <c r="M56" s="131" t="s">
        <v>2446</v>
      </c>
      <c r="N56" s="131" t="s">
        <v>2453</v>
      </c>
      <c r="O56" s="147" t="s">
        <v>2454</v>
      </c>
      <c r="P56" s="147"/>
      <c r="Q56" s="146" t="s">
        <v>2418</v>
      </c>
      <c r="R56" s="45"/>
      <c r="S56" s="87"/>
      <c r="T56" s="87"/>
      <c r="U56" s="87"/>
      <c r="V56" s="89"/>
      <c r="W56" s="75"/>
    </row>
    <row r="57" spans="1:23" ht="18" x14ac:dyDescent="0.25">
      <c r="A57" s="147" t="str">
        <f>VLOOKUP(E57,'LISTADO ATM'!$A$2:$C$898,3,0)</f>
        <v>DISTRITO NACIONAL</v>
      </c>
      <c r="B57" s="126" t="s">
        <v>2607</v>
      </c>
      <c r="C57" s="132">
        <v>44361.775266203702</v>
      </c>
      <c r="D57" s="132" t="s">
        <v>2449</v>
      </c>
      <c r="E57" s="121">
        <v>243</v>
      </c>
      <c r="F57" s="147" t="str">
        <f>VLOOKUP(E57,VIP!$A$2:$O13718,2,0)</f>
        <v>DRBR243</v>
      </c>
      <c r="G57" s="147" t="str">
        <f>VLOOKUP(E57,'LISTADO ATM'!$A$2:$B$897,2,0)</f>
        <v xml:space="preserve">ATM Autoservicio Plaza Central  </v>
      </c>
      <c r="H57" s="147" t="str">
        <f>VLOOKUP(E57,VIP!$A$2:$O18581,7,FALSE)</f>
        <v>Si</v>
      </c>
      <c r="I57" s="147" t="str">
        <f>VLOOKUP(E57,VIP!$A$2:$O10546,8,FALSE)</f>
        <v>Si</v>
      </c>
      <c r="J57" s="147" t="str">
        <f>VLOOKUP(E57,VIP!$A$2:$O10496,8,FALSE)</f>
        <v>Si</v>
      </c>
      <c r="K57" s="147" t="str">
        <f>VLOOKUP(E57,VIP!$A$2:$O14070,6,0)</f>
        <v>SI</v>
      </c>
      <c r="L57" s="122" t="s">
        <v>2418</v>
      </c>
      <c r="M57" s="131" t="s">
        <v>2446</v>
      </c>
      <c r="N57" s="131" t="s">
        <v>2453</v>
      </c>
      <c r="O57" s="147" t="s">
        <v>2454</v>
      </c>
      <c r="P57" s="147"/>
      <c r="Q57" s="146" t="s">
        <v>2418</v>
      </c>
    </row>
    <row r="58" spans="1:23" ht="18" x14ac:dyDescent="0.25">
      <c r="A58" s="147" t="str">
        <f>VLOOKUP(E58,'LISTADO ATM'!$A$2:$C$898,3,0)</f>
        <v>DISTRITO NACIONAL</v>
      </c>
      <c r="B58" s="128">
        <v>3335919908</v>
      </c>
      <c r="C58" s="132">
        <v>44361.963888888888</v>
      </c>
      <c r="D58" s="132" t="s">
        <v>2470</v>
      </c>
      <c r="E58" s="121">
        <v>194</v>
      </c>
      <c r="F58" s="147" t="str">
        <f>VLOOKUP(E58,VIP!$A$2:$O13731,2,0)</f>
        <v>DRBR194</v>
      </c>
      <c r="G58" s="147" t="str">
        <f>VLOOKUP(E58,'LISTADO ATM'!$A$2:$B$897,2,0)</f>
        <v xml:space="preserve">ATM UNP Pantoja </v>
      </c>
      <c r="H58" s="147" t="str">
        <f>VLOOKUP(E58,VIP!$A$2:$O18594,7,FALSE)</f>
        <v>Si</v>
      </c>
      <c r="I58" s="147" t="str">
        <f>VLOOKUP(E58,VIP!$A$2:$O10559,8,FALSE)</f>
        <v>No</v>
      </c>
      <c r="J58" s="147" t="str">
        <f>VLOOKUP(E58,VIP!$A$2:$O10509,8,FALSE)</f>
        <v>No</v>
      </c>
      <c r="K58" s="147" t="str">
        <f>VLOOKUP(E58,VIP!$A$2:$O14083,6,0)</f>
        <v>NO</v>
      </c>
      <c r="L58" s="122" t="s">
        <v>2418</v>
      </c>
      <c r="M58" s="131" t="s">
        <v>2446</v>
      </c>
      <c r="N58" s="131" t="s">
        <v>2453</v>
      </c>
      <c r="O58" s="147" t="s">
        <v>2471</v>
      </c>
      <c r="P58" s="147"/>
      <c r="Q58" s="146" t="s">
        <v>2418</v>
      </c>
    </row>
    <row r="59" spans="1:23" ht="18" x14ac:dyDescent="0.25">
      <c r="A59" s="147" t="str">
        <f>VLOOKUP(E59,'LISTADO ATM'!$A$2:$C$898,3,0)</f>
        <v>NORTE</v>
      </c>
      <c r="B59" s="128" t="s">
        <v>2631</v>
      </c>
      <c r="C59" s="132">
        <v>44361.990254629629</v>
      </c>
      <c r="D59" s="132" t="s">
        <v>2470</v>
      </c>
      <c r="E59" s="143">
        <v>151</v>
      </c>
      <c r="F59" s="147" t="str">
        <f>VLOOKUP(E59,VIP!$A$2:$O13738,2,0)</f>
        <v>DRBR151</v>
      </c>
      <c r="G59" s="147" t="str">
        <f>VLOOKUP(E59,'LISTADO ATM'!$A$2:$B$897,2,0)</f>
        <v xml:space="preserve">ATM Oficina Nagua </v>
      </c>
      <c r="H59" s="147" t="str">
        <f>VLOOKUP(E59,VIP!$A$2:$O18601,7,FALSE)</f>
        <v>Si</v>
      </c>
      <c r="I59" s="147" t="str">
        <f>VLOOKUP(E59,VIP!$A$2:$O10566,8,FALSE)</f>
        <v>Si</v>
      </c>
      <c r="J59" s="147" t="str">
        <f>VLOOKUP(E59,VIP!$A$2:$O10516,8,FALSE)</f>
        <v>Si</v>
      </c>
      <c r="K59" s="147" t="str">
        <f>VLOOKUP(E59,VIP!$A$2:$O14090,6,0)</f>
        <v>SI</v>
      </c>
      <c r="L59" s="122" t="s">
        <v>2418</v>
      </c>
      <c r="M59" s="131" t="s">
        <v>2446</v>
      </c>
      <c r="N59" s="131" t="s">
        <v>2453</v>
      </c>
      <c r="O59" s="147" t="s">
        <v>2471</v>
      </c>
      <c r="P59" s="147"/>
      <c r="Q59" s="146" t="s">
        <v>2418</v>
      </c>
    </row>
    <row r="60" spans="1:23" ht="18" x14ac:dyDescent="0.25">
      <c r="A60" s="147" t="str">
        <f>VLOOKUP(E60,'LISTADO ATM'!$A$2:$C$898,3,0)</f>
        <v>DISTRITO NACIONAL</v>
      </c>
      <c r="B60" s="128" t="s">
        <v>2583</v>
      </c>
      <c r="C60" s="132">
        <v>44361.496446759258</v>
      </c>
      <c r="D60" s="132" t="s">
        <v>2180</v>
      </c>
      <c r="E60" s="143">
        <v>836</v>
      </c>
      <c r="F60" s="147" t="str">
        <f>VLOOKUP(E60,VIP!$A$2:$O13717,2,0)</f>
        <v>DRBR836</v>
      </c>
      <c r="G60" s="147" t="str">
        <f>VLOOKUP(E60,'LISTADO ATM'!$A$2:$B$897,2,0)</f>
        <v xml:space="preserve">ATM UNP Plaza Luperón </v>
      </c>
      <c r="H60" s="147" t="str">
        <f>VLOOKUP(E60,VIP!$A$2:$O18580,7,FALSE)</f>
        <v>Si</v>
      </c>
      <c r="I60" s="147" t="str">
        <f>VLOOKUP(E60,VIP!$A$2:$O10545,8,FALSE)</f>
        <v>Si</v>
      </c>
      <c r="J60" s="147" t="str">
        <f>VLOOKUP(E60,VIP!$A$2:$O10495,8,FALSE)</f>
        <v>Si</v>
      </c>
      <c r="K60" s="147" t="str">
        <f>VLOOKUP(E60,VIP!$A$2:$O14069,6,0)</f>
        <v>NO</v>
      </c>
      <c r="L60" s="122" t="s">
        <v>2466</v>
      </c>
      <c r="M60" s="131" t="s">
        <v>2446</v>
      </c>
      <c r="N60" s="131" t="s">
        <v>2559</v>
      </c>
      <c r="O60" s="147" t="s">
        <v>2455</v>
      </c>
      <c r="P60" s="147"/>
      <c r="Q60" s="146" t="s">
        <v>2466</v>
      </c>
    </row>
    <row r="61" spans="1:23" ht="18" x14ac:dyDescent="0.25">
      <c r="A61" s="147" t="str">
        <f>VLOOKUP(E61,'LISTADO ATM'!$A$2:$C$898,3,0)</f>
        <v>SUR</v>
      </c>
      <c r="B61" s="128" t="s">
        <v>2581</v>
      </c>
      <c r="C61" s="132">
        <v>44361.536076388889</v>
      </c>
      <c r="D61" s="132" t="s">
        <v>2180</v>
      </c>
      <c r="E61" s="143">
        <v>984</v>
      </c>
      <c r="F61" s="147" t="str">
        <f>VLOOKUP(E61,VIP!$A$2:$O13714,2,0)</f>
        <v>DRBR984</v>
      </c>
      <c r="G61" s="147" t="str">
        <f>VLOOKUP(E61,'LISTADO ATM'!$A$2:$B$897,2,0)</f>
        <v xml:space="preserve">ATM Oficina Neiba II </v>
      </c>
      <c r="H61" s="147" t="str">
        <f>VLOOKUP(E61,VIP!$A$2:$O18577,7,FALSE)</f>
        <v>Si</v>
      </c>
      <c r="I61" s="147" t="str">
        <f>VLOOKUP(E61,VIP!$A$2:$O10542,8,FALSE)</f>
        <v>Si</v>
      </c>
      <c r="J61" s="147" t="str">
        <f>VLOOKUP(E61,VIP!$A$2:$O10492,8,FALSE)</f>
        <v>Si</v>
      </c>
      <c r="K61" s="147" t="str">
        <f>VLOOKUP(E61,VIP!$A$2:$O14066,6,0)</f>
        <v>NO</v>
      </c>
      <c r="L61" s="122" t="s">
        <v>2466</v>
      </c>
      <c r="M61" s="131" t="s">
        <v>2446</v>
      </c>
      <c r="N61" s="131" t="s">
        <v>2559</v>
      </c>
      <c r="O61" s="147" t="s">
        <v>2455</v>
      </c>
      <c r="P61" s="147"/>
      <c r="Q61" s="146" t="s">
        <v>2466</v>
      </c>
    </row>
    <row r="62" spans="1:23" ht="18" x14ac:dyDescent="0.25">
      <c r="A62" s="147" t="str">
        <f>VLOOKUP(E62,'LISTADO ATM'!$A$2:$C$898,3,0)</f>
        <v>ESTE</v>
      </c>
      <c r="B62" s="128" t="s">
        <v>2590</v>
      </c>
      <c r="C62" s="132">
        <v>44361.651689814818</v>
      </c>
      <c r="D62" s="132" t="s">
        <v>2180</v>
      </c>
      <c r="E62" s="143">
        <v>268</v>
      </c>
      <c r="F62" s="147" t="str">
        <f>VLOOKUP(E62,VIP!$A$2:$O13717,2,0)</f>
        <v>DRBR268</v>
      </c>
      <c r="G62" s="147" t="str">
        <f>VLOOKUP(E62,'LISTADO ATM'!$A$2:$B$897,2,0)</f>
        <v xml:space="preserve">ATM Autobanco La Altagracia (Higuey) </v>
      </c>
      <c r="H62" s="147" t="str">
        <f>VLOOKUP(E62,VIP!$A$2:$O18580,7,FALSE)</f>
        <v>Si</v>
      </c>
      <c r="I62" s="147" t="str">
        <f>VLOOKUP(E62,VIP!$A$2:$O10545,8,FALSE)</f>
        <v>Si</v>
      </c>
      <c r="J62" s="147" t="str">
        <f>VLOOKUP(E62,VIP!$A$2:$O10495,8,FALSE)</f>
        <v>Si</v>
      </c>
      <c r="K62" s="147" t="str">
        <f>VLOOKUP(E62,VIP!$A$2:$O14069,6,0)</f>
        <v>NO</v>
      </c>
      <c r="L62" s="122" t="s">
        <v>2466</v>
      </c>
      <c r="M62" s="131" t="s">
        <v>2446</v>
      </c>
      <c r="N62" s="131" t="s">
        <v>2453</v>
      </c>
      <c r="O62" s="147" t="s">
        <v>2455</v>
      </c>
      <c r="P62" s="147"/>
      <c r="Q62" s="146" t="s">
        <v>2466</v>
      </c>
    </row>
    <row r="63" spans="1:23" ht="18" x14ac:dyDescent="0.25">
      <c r="A63" s="147" t="str">
        <f>VLOOKUP(E63,'LISTADO ATM'!$A$2:$C$898,3,0)</f>
        <v>ESTE</v>
      </c>
      <c r="B63" s="128" t="s">
        <v>2589</v>
      </c>
      <c r="C63" s="132">
        <v>44361.653182870374</v>
      </c>
      <c r="D63" s="132" t="s">
        <v>2180</v>
      </c>
      <c r="E63" s="143">
        <v>158</v>
      </c>
      <c r="F63" s="147" t="str">
        <f>VLOOKUP(E63,VIP!$A$2:$O13716,2,0)</f>
        <v>DRBR158</v>
      </c>
      <c r="G63" s="147" t="str">
        <f>VLOOKUP(E63,'LISTADO ATM'!$A$2:$B$897,2,0)</f>
        <v xml:space="preserve">ATM Oficina Romana Norte </v>
      </c>
      <c r="H63" s="147" t="str">
        <f>VLOOKUP(E63,VIP!$A$2:$O18579,7,FALSE)</f>
        <v>Si</v>
      </c>
      <c r="I63" s="147" t="str">
        <f>VLOOKUP(E63,VIP!$A$2:$O10544,8,FALSE)</f>
        <v>Si</v>
      </c>
      <c r="J63" s="147" t="str">
        <f>VLOOKUP(E63,VIP!$A$2:$O10494,8,FALSE)</f>
        <v>Si</v>
      </c>
      <c r="K63" s="147" t="str">
        <f>VLOOKUP(E63,VIP!$A$2:$O14068,6,0)</f>
        <v>SI</v>
      </c>
      <c r="L63" s="122" t="s">
        <v>2466</v>
      </c>
      <c r="M63" s="131" t="s">
        <v>2446</v>
      </c>
      <c r="N63" s="131" t="s">
        <v>2453</v>
      </c>
      <c r="O63" s="147" t="s">
        <v>2455</v>
      </c>
      <c r="P63" s="147"/>
      <c r="Q63" s="146" t="s">
        <v>2466</v>
      </c>
    </row>
    <row r="64" spans="1:23" ht="18" x14ac:dyDescent="0.25">
      <c r="A64" s="147" t="str">
        <f>VLOOKUP(E64,'LISTADO ATM'!$A$2:$C$898,3,0)</f>
        <v>NORTE</v>
      </c>
      <c r="B64" s="128" t="s">
        <v>2588</v>
      </c>
      <c r="C64" s="132">
        <v>44361.655844907407</v>
      </c>
      <c r="D64" s="132" t="s">
        <v>2181</v>
      </c>
      <c r="E64" s="143">
        <v>388</v>
      </c>
      <c r="F64" s="147" t="str">
        <f>VLOOKUP(E64,VIP!$A$2:$O13715,2,0)</f>
        <v>DRBR388</v>
      </c>
      <c r="G64" s="147" t="str">
        <f>VLOOKUP(E64,'LISTADO ATM'!$A$2:$B$897,2,0)</f>
        <v xml:space="preserve">ATM Multicentro La Sirena Puerto Plata </v>
      </c>
      <c r="H64" s="147" t="str">
        <f>VLOOKUP(E64,VIP!$A$2:$O18578,7,FALSE)</f>
        <v>Si</v>
      </c>
      <c r="I64" s="147" t="str">
        <f>VLOOKUP(E64,VIP!$A$2:$O10543,8,FALSE)</f>
        <v>Si</v>
      </c>
      <c r="J64" s="147" t="str">
        <f>VLOOKUP(E64,VIP!$A$2:$O10493,8,FALSE)</f>
        <v>Si</v>
      </c>
      <c r="K64" s="147" t="str">
        <f>VLOOKUP(E64,VIP!$A$2:$O14067,6,0)</f>
        <v>NO</v>
      </c>
      <c r="L64" s="122" t="s">
        <v>2466</v>
      </c>
      <c r="M64" s="131" t="s">
        <v>2446</v>
      </c>
      <c r="N64" s="131" t="s">
        <v>2453</v>
      </c>
      <c r="O64" s="147" t="s">
        <v>2571</v>
      </c>
      <c r="P64" s="147"/>
      <c r="Q64" s="146" t="s">
        <v>2466</v>
      </c>
    </row>
    <row r="65" spans="1:17" ht="18" x14ac:dyDescent="0.25">
      <c r="A65" s="147" t="str">
        <f>VLOOKUP(E65,'LISTADO ATM'!$A$2:$C$898,3,0)</f>
        <v>DISTRITO NACIONAL</v>
      </c>
      <c r="B65" s="128" t="s">
        <v>2587</v>
      </c>
      <c r="C65" s="132">
        <v>44361.657372685186</v>
      </c>
      <c r="D65" s="132" t="s">
        <v>2180</v>
      </c>
      <c r="E65" s="143">
        <v>441</v>
      </c>
      <c r="F65" s="147" t="str">
        <f>VLOOKUP(E65,VIP!$A$2:$O13714,2,0)</f>
        <v>DRBR441</v>
      </c>
      <c r="G65" s="147" t="str">
        <f>VLOOKUP(E65,'LISTADO ATM'!$A$2:$B$897,2,0)</f>
        <v>ATM Estacion de Servicio Romulo Betancour</v>
      </c>
      <c r="H65" s="147" t="str">
        <f>VLOOKUP(E65,VIP!$A$2:$O18577,7,FALSE)</f>
        <v>NO</v>
      </c>
      <c r="I65" s="147" t="str">
        <f>VLOOKUP(E65,VIP!$A$2:$O10542,8,FALSE)</f>
        <v>NO</v>
      </c>
      <c r="J65" s="147" t="str">
        <f>VLOOKUP(E65,VIP!$A$2:$O10492,8,FALSE)</f>
        <v>NO</v>
      </c>
      <c r="K65" s="147" t="str">
        <f>VLOOKUP(E65,VIP!$A$2:$O14066,6,0)</f>
        <v>NO</v>
      </c>
      <c r="L65" s="122" t="s">
        <v>2466</v>
      </c>
      <c r="M65" s="131" t="s">
        <v>2446</v>
      </c>
      <c r="N65" s="131" t="s">
        <v>2453</v>
      </c>
      <c r="O65" s="147" t="s">
        <v>2455</v>
      </c>
      <c r="P65" s="147"/>
      <c r="Q65" s="146" t="s">
        <v>2466</v>
      </c>
    </row>
    <row r="66" spans="1:17" ht="18" x14ac:dyDescent="0.25">
      <c r="A66" s="147" t="str">
        <f>VLOOKUP(E66,'LISTADO ATM'!$A$2:$C$898,3,0)</f>
        <v>DISTRITO NACIONAL</v>
      </c>
      <c r="B66" s="128" t="s">
        <v>2615</v>
      </c>
      <c r="C66" s="132">
        <v>44361.715370370373</v>
      </c>
      <c r="D66" s="132" t="s">
        <v>2180</v>
      </c>
      <c r="E66" s="143">
        <v>988</v>
      </c>
      <c r="F66" s="147" t="str">
        <f>VLOOKUP(E66,VIP!$A$2:$O13729,2,0)</f>
        <v>DRBR988</v>
      </c>
      <c r="G66" s="147" t="str">
        <f>VLOOKUP(E66,'LISTADO ATM'!$A$2:$B$897,2,0)</f>
        <v xml:space="preserve">ATM Estación Sigma 27 de Febrero </v>
      </c>
      <c r="H66" s="147" t="str">
        <f>VLOOKUP(E66,VIP!$A$2:$O18592,7,FALSE)</f>
        <v>Si</v>
      </c>
      <c r="I66" s="147" t="str">
        <f>VLOOKUP(E66,VIP!$A$2:$O10557,8,FALSE)</f>
        <v>Si</v>
      </c>
      <c r="J66" s="147" t="str">
        <f>VLOOKUP(E66,VIP!$A$2:$O10507,8,FALSE)</f>
        <v>Si</v>
      </c>
      <c r="K66" s="147" t="str">
        <f>VLOOKUP(E66,VIP!$A$2:$O14081,6,0)</f>
        <v>NO</v>
      </c>
      <c r="L66" s="122" t="s">
        <v>2466</v>
      </c>
      <c r="M66" s="131" t="s">
        <v>2446</v>
      </c>
      <c r="N66" s="131" t="s">
        <v>2453</v>
      </c>
      <c r="O66" s="147" t="s">
        <v>2455</v>
      </c>
      <c r="P66" s="147"/>
      <c r="Q66" s="146" t="s">
        <v>2466</v>
      </c>
    </row>
  </sheetData>
  <autoFilter ref="A4:Q56">
    <sortState ref="A5:Q66">
      <sortCondition ref="L4:L5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60:E1048576 E1:E4">
    <cfRule type="duplicateValues" dxfId="80" priority="128142"/>
  </conditionalFormatting>
  <conditionalFormatting sqref="B60:B1048576 B1:B4">
    <cfRule type="duplicateValues" dxfId="79" priority="128146"/>
  </conditionalFormatting>
  <conditionalFormatting sqref="E60:E1048576">
    <cfRule type="duplicateValues" dxfId="78" priority="128149"/>
  </conditionalFormatting>
  <conditionalFormatting sqref="E60:E1048576">
    <cfRule type="duplicateValues" dxfId="77" priority="128153"/>
  </conditionalFormatting>
  <conditionalFormatting sqref="B60:B1048576">
    <cfRule type="duplicateValues" dxfId="76" priority="128157"/>
  </conditionalFormatting>
  <conditionalFormatting sqref="E60:E1048576">
    <cfRule type="duplicateValues" dxfId="75" priority="128160"/>
  </conditionalFormatting>
  <conditionalFormatting sqref="E60:E1048576 E1:E13">
    <cfRule type="duplicateValues" dxfId="74" priority="128164"/>
  </conditionalFormatting>
  <conditionalFormatting sqref="B45:B56">
    <cfRule type="duplicateValues" dxfId="73" priority="7"/>
  </conditionalFormatting>
  <conditionalFormatting sqref="E45:E56">
    <cfRule type="duplicateValues" dxfId="72" priority="6"/>
  </conditionalFormatting>
  <conditionalFormatting sqref="B14:B44">
    <cfRule type="duplicateValues" dxfId="71" priority="128336"/>
  </conditionalFormatting>
  <conditionalFormatting sqref="E57:E58">
    <cfRule type="duplicateValues" dxfId="70" priority="5"/>
  </conditionalFormatting>
  <conditionalFormatting sqref="E57:E58">
    <cfRule type="duplicateValues" dxfId="69" priority="4"/>
  </conditionalFormatting>
  <conditionalFormatting sqref="B57">
    <cfRule type="duplicateValues" dxfId="68" priority="3"/>
  </conditionalFormatting>
  <conditionalFormatting sqref="E5:E13">
    <cfRule type="duplicateValues" dxfId="67" priority="128367"/>
  </conditionalFormatting>
  <conditionalFormatting sqref="B5:B13">
    <cfRule type="duplicateValues" dxfId="66" priority="128368"/>
  </conditionalFormatting>
  <conditionalFormatting sqref="E5:E56">
    <cfRule type="duplicateValues" dxfId="65" priority="128369"/>
  </conditionalFormatting>
  <conditionalFormatting sqref="E59:E66">
    <cfRule type="duplicateValues" dxfId="64" priority="128376"/>
    <cfRule type="duplicateValues" dxfId="63" priority="128377"/>
  </conditionalFormatting>
  <hyperlinks>
    <hyperlink ref="D40" r:id="rId7" tooltip="Group ReservaC Sto. Dgo." display="javascript:showDetailWithPersid(%22cnt:D0A40B64F33FCB4EA87F5FB17EDB90DB%22)"/>
    <hyperlink ref="D41" r:id="rId8" tooltip="Group ReservaC Sto. Dgo." display="javascript:showDetailWithPersid(%22cnt:D0A40B64F33FCB4EA87F5FB17EDB90DB%22)"/>
    <hyperlink ref="O40" r:id="rId9" tooltip="Assignee Olivo Diaz, Maria Luisa" display="javascript:showDetailWithPersid(%22cnt:081E44F684A3314EB5DFC690BCA65568%22)"/>
    <hyperlink ref="O41" r:id="rId10" tooltip="Assignee Olivo Diaz, Maria Luisa" display="javascript:showDetailWithPersid(%22cnt:081E44F684A3314EB5DFC690BCA65568%22)"/>
  </hyperlinks>
  <pageMargins left="0.7" right="0.7" top="0.75" bottom="0.75" header="0.3" footer="0.3"/>
  <pageSetup scale="60" orientation="landscape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zoomScale="70" zoomScaleNormal="70" workbookViewId="0">
      <selection activeCell="E22" sqref="E22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4" t="s">
        <v>2150</v>
      </c>
      <c r="B1" s="165"/>
      <c r="C1" s="165"/>
      <c r="D1" s="165"/>
      <c r="E1" s="166"/>
      <c r="F1" s="162" t="s">
        <v>2556</v>
      </c>
      <c r="G1" s="163"/>
      <c r="H1" s="145">
        <f>COUNTIF(A:E,"2 Gavetas Vacías + 1 Fallando")</f>
        <v>0</v>
      </c>
      <c r="I1" s="145">
        <f>COUNTIF(A:E,("3 Gavetas Vacías"))</f>
        <v>2</v>
      </c>
    </row>
    <row r="2" spans="1:9" ht="25.5" customHeight="1" x14ac:dyDescent="0.25">
      <c r="A2" s="167" t="s">
        <v>2451</v>
      </c>
      <c r="B2" s="168"/>
      <c r="C2" s="168"/>
      <c r="D2" s="168"/>
      <c r="E2" s="169"/>
      <c r="F2" s="138" t="s">
        <v>2555</v>
      </c>
      <c r="G2" s="137">
        <f>G3+G4</f>
        <v>62</v>
      </c>
      <c r="H2" s="138" t="s">
        <v>2567</v>
      </c>
      <c r="I2" s="137">
        <f>COUNTIF(A:E,"Abastecido")</f>
        <v>1</v>
      </c>
    </row>
    <row r="3" spans="1:9" ht="18" x14ac:dyDescent="0.25">
      <c r="B3" s="95"/>
      <c r="C3" s="95"/>
      <c r="D3" s="95"/>
      <c r="E3" s="102"/>
      <c r="F3" s="138" t="s">
        <v>2554</v>
      </c>
      <c r="G3" s="137">
        <f>COUNTIF(REPORTE!A:Q,"fuera de Servicio")</f>
        <v>56</v>
      </c>
      <c r="H3" s="138" t="s">
        <v>2563</v>
      </c>
      <c r="I3" s="137">
        <f>COUNTIF(A:E,"Gavetas Vacías + Gavetas Fallando")</f>
        <v>6</v>
      </c>
    </row>
    <row r="4" spans="1:9" ht="18.75" thickBot="1" x14ac:dyDescent="0.3">
      <c r="A4" s="101" t="s">
        <v>2413</v>
      </c>
      <c r="B4" s="123">
        <v>44361.708333333336</v>
      </c>
      <c r="C4" s="95"/>
      <c r="D4" s="95"/>
      <c r="E4" s="103"/>
      <c r="F4" s="138" t="s">
        <v>2551</v>
      </c>
      <c r="G4" s="137">
        <f>COUNTIF(REPORTE!A:Q,"En Servicio")</f>
        <v>6</v>
      </c>
      <c r="H4" s="138" t="s">
        <v>2566</v>
      </c>
      <c r="I4" s="137">
        <f>COUNTIF(A:E,"Solucionado")</f>
        <v>1</v>
      </c>
    </row>
    <row r="5" spans="1:9" ht="18.75" thickBot="1" x14ac:dyDescent="0.3">
      <c r="A5" s="101" t="s">
        <v>2414</v>
      </c>
      <c r="B5" s="123">
        <v>44362.25</v>
      </c>
      <c r="C5" s="135"/>
      <c r="D5" s="95"/>
      <c r="E5" s="103"/>
      <c r="F5" s="138" t="s">
        <v>2552</v>
      </c>
      <c r="G5" s="137">
        <f>COUNTIF(REPORTE!A:Q,"reinicio exitoso")</f>
        <v>0</v>
      </c>
      <c r="H5" s="138" t="s">
        <v>2558</v>
      </c>
      <c r="I5" s="137">
        <f>I1+H1</f>
        <v>2</v>
      </c>
    </row>
    <row r="6" spans="1:9" ht="18" x14ac:dyDescent="0.25">
      <c r="B6" s="95"/>
      <c r="C6" s="95"/>
      <c r="D6" s="95"/>
      <c r="E6" s="104"/>
      <c r="F6" s="138" t="s">
        <v>2553</v>
      </c>
      <c r="G6" s="137">
        <f>COUNTIF(REPORTE!A:Q,"carga exitosa")</f>
        <v>0</v>
      </c>
      <c r="H6" s="138" t="s">
        <v>2564</v>
      </c>
      <c r="I6" s="137">
        <f>COUNTIF(A:E,"GAVETA DE RECHAZO LLENA")</f>
        <v>3</v>
      </c>
    </row>
    <row r="7" spans="1:9" ht="18" customHeight="1" x14ac:dyDescent="0.25">
      <c r="A7" s="170" t="s">
        <v>2415</v>
      </c>
      <c r="B7" s="171"/>
      <c r="C7" s="171"/>
      <c r="D7" s="171"/>
      <c r="E7" s="172"/>
      <c r="F7" s="138" t="s">
        <v>2557</v>
      </c>
      <c r="G7" s="137">
        <f>COUNTIF(A:E,"Sin Efectivo")</f>
        <v>9</v>
      </c>
      <c r="H7" s="138" t="s">
        <v>2565</v>
      </c>
      <c r="I7" s="137">
        <f>COUNTIF(A:E,"GAVETA DE DEPOSITO LLENA")</f>
        <v>0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8" x14ac:dyDescent="0.25">
      <c r="A9" s="139" t="e">
        <f>VLOOKUP(B9,'[1]LISTADO ATM'!$A$2:$C$822,3,0)</f>
        <v>#N/A</v>
      </c>
      <c r="B9" s="124"/>
      <c r="C9" s="126" t="e">
        <f>VLOOKUP(B9,'[1]LISTADO ATM'!$A$2:$B$822,2,0)</f>
        <v>#N/A</v>
      </c>
      <c r="D9" s="125" t="s">
        <v>2549</v>
      </c>
      <c r="E9" s="128"/>
    </row>
    <row r="10" spans="1:9" ht="18.75" thickBot="1" x14ac:dyDescent="0.3">
      <c r="A10" s="97" t="s">
        <v>2473</v>
      </c>
      <c r="B10" s="142">
        <f>COUNT(B9:B9)</f>
        <v>0</v>
      </c>
      <c r="C10" s="173"/>
      <c r="D10" s="174"/>
      <c r="E10" s="175"/>
    </row>
    <row r="11" spans="1:9" x14ac:dyDescent="0.25">
      <c r="B11" s="99"/>
      <c r="E11" s="99"/>
    </row>
    <row r="12" spans="1:9" ht="18" customHeight="1" x14ac:dyDescent="0.25">
      <c r="A12" s="170" t="s">
        <v>2474</v>
      </c>
      <c r="B12" s="171"/>
      <c r="C12" s="171"/>
      <c r="D12" s="171"/>
      <c r="E12" s="172"/>
    </row>
    <row r="13" spans="1:9" ht="18.75" customHeight="1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x14ac:dyDescent="0.25">
      <c r="A14" s="139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8"/>
    </row>
    <row r="15" spans="1:9" ht="18" customHeight="1" thickBot="1" x14ac:dyDescent="0.3">
      <c r="A15" s="97" t="s">
        <v>2473</v>
      </c>
      <c r="B15" s="142">
        <f>COUNT(B14:B14)</f>
        <v>0</v>
      </c>
      <c r="C15" s="173"/>
      <c r="D15" s="174"/>
      <c r="E15" s="175"/>
    </row>
    <row r="16" spans="1:9" ht="15.75" thickBot="1" x14ac:dyDescent="0.3">
      <c r="B16" s="99"/>
      <c r="E16" s="99"/>
    </row>
    <row r="17" spans="1:5" ht="18.75" customHeight="1" thickBot="1" x14ac:dyDescent="0.3">
      <c r="A17" s="176" t="s">
        <v>2475</v>
      </c>
      <c r="B17" s="177"/>
      <c r="C17" s="177"/>
      <c r="D17" s="177"/>
      <c r="E17" s="178"/>
    </row>
    <row r="18" spans="1:5" ht="18.75" customHeight="1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48" t="str">
        <f>VLOOKUP(B19,'[1]LISTADO ATM'!$A$2:$C$822,3,0)</f>
        <v>DISTRITO NACIONAL</v>
      </c>
      <c r="B19" s="124">
        <v>527</v>
      </c>
      <c r="C19" s="126" t="str">
        <f>VLOOKUP(B19,'[1]LISTADO ATM'!$A$2:$B$822,2,0)</f>
        <v>ATM Oficina Zona Oriental II</v>
      </c>
      <c r="D19" s="127" t="s">
        <v>2437</v>
      </c>
      <c r="E19" s="128">
        <v>3335918196</v>
      </c>
    </row>
    <row r="20" spans="1:5" ht="18" x14ac:dyDescent="0.25">
      <c r="A20" s="124" t="str">
        <f>VLOOKUP(B20,'[1]LISTADO ATM'!$A$2:$C$822,3,0)</f>
        <v>NORTE</v>
      </c>
      <c r="B20" s="124">
        <v>290</v>
      </c>
      <c r="C20" s="126" t="str">
        <f>VLOOKUP(B20,'[1]LISTADO ATM'!$A$2:$B$822,2,0)</f>
        <v xml:space="preserve">ATM Oficina San Francisco de Macorís </v>
      </c>
      <c r="D20" s="127" t="s">
        <v>2437</v>
      </c>
      <c r="E20" s="128">
        <v>3335918211</v>
      </c>
    </row>
    <row r="21" spans="1:5" ht="18" x14ac:dyDescent="0.25">
      <c r="A21" s="124" t="str">
        <f>VLOOKUP(B21,'[1]LISTADO ATM'!$A$2:$C$822,3,0)</f>
        <v>ESTE</v>
      </c>
      <c r="B21" s="124">
        <v>429</v>
      </c>
      <c r="C21" s="126" t="str">
        <f>VLOOKUP(B21,'[1]LISTADO ATM'!$A$2:$B$822,2,0)</f>
        <v xml:space="preserve">ATM Oficina Jumbo La Romana </v>
      </c>
      <c r="D21" s="127" t="s">
        <v>2437</v>
      </c>
      <c r="E21" s="128">
        <v>3335918215</v>
      </c>
    </row>
    <row r="22" spans="1:5" ht="18" customHeight="1" x14ac:dyDescent="0.25">
      <c r="A22" s="124" t="str">
        <f>VLOOKUP(B22,'[1]LISTADO ATM'!$A$2:$C$822,3,0)</f>
        <v>DISTRITO NACIONAL</v>
      </c>
      <c r="B22" s="124">
        <v>554</v>
      </c>
      <c r="C22" s="126" t="str">
        <f>VLOOKUP(B22,'[1]LISTADO ATM'!$A$2:$B$822,2,0)</f>
        <v xml:space="preserve">ATM Oficina Isabel La Católica I </v>
      </c>
      <c r="D22" s="127" t="s">
        <v>2437</v>
      </c>
      <c r="E22" s="128">
        <v>3335919604</v>
      </c>
    </row>
    <row r="23" spans="1:5" ht="18" customHeight="1" x14ac:dyDescent="0.25">
      <c r="A23" s="124" t="str">
        <f>VLOOKUP(B23,'[1]LISTADO ATM'!$A$2:$C$822,3,0)</f>
        <v>NORTE</v>
      </c>
      <c r="B23" s="124">
        <v>151</v>
      </c>
      <c r="C23" s="126" t="str">
        <f>VLOOKUP(B23,'[1]LISTADO ATM'!$A$2:$B$822,2,0)</f>
        <v xml:space="preserve">ATM Oficina Nagua </v>
      </c>
      <c r="D23" s="127" t="s">
        <v>2437</v>
      </c>
      <c r="E23" s="128">
        <v>3335919764</v>
      </c>
    </row>
    <row r="24" spans="1:5" ht="18" x14ac:dyDescent="0.25">
      <c r="A24" s="124" t="str">
        <f>VLOOKUP(B24,'[1]LISTADO ATM'!$A$2:$C$822,3,0)</f>
        <v>DISTRITO NACIONAL</v>
      </c>
      <c r="B24" s="124">
        <v>243</v>
      </c>
      <c r="C24" s="126" t="str">
        <f>VLOOKUP(B24,'[1]LISTADO ATM'!$A$2:$B$822,2,0)</f>
        <v xml:space="preserve">ATM Autoservicio Plaza Central  </v>
      </c>
      <c r="D24" s="127" t="s">
        <v>2437</v>
      </c>
      <c r="E24" s="128">
        <v>3335919875</v>
      </c>
    </row>
    <row r="25" spans="1:5" ht="18" x14ac:dyDescent="0.25">
      <c r="A25" s="124" t="str">
        <f>VLOOKUP(B25,'[1]LISTADO ATM'!$A$2:$C$822,3,0)</f>
        <v>DISTRITO NACIONAL</v>
      </c>
      <c r="B25" s="124">
        <v>415</v>
      </c>
      <c r="C25" s="126" t="str">
        <f>VLOOKUP(B25,'[1]LISTADO ATM'!$A$2:$B$822,2,0)</f>
        <v xml:space="preserve">ATM Autobanco San Martín I </v>
      </c>
      <c r="D25" s="127" t="s">
        <v>2437</v>
      </c>
      <c r="E25" s="128">
        <v>3335919874</v>
      </c>
    </row>
    <row r="26" spans="1:5" ht="18" customHeight="1" x14ac:dyDescent="0.25">
      <c r="A26" s="124" t="str">
        <f>VLOOKUP(B26,'[1]LISTADO ATM'!$A$2:$C$822,3,0)</f>
        <v>DISTRITO NACIONAL</v>
      </c>
      <c r="B26" s="124">
        <v>194</v>
      </c>
      <c r="C26" s="126" t="str">
        <f>VLOOKUP(B26,'[1]LISTADO ATM'!$A$2:$B$822,2,0)</f>
        <v xml:space="preserve">ATM UNP Pantoja </v>
      </c>
      <c r="D26" s="127" t="s">
        <v>2437</v>
      </c>
      <c r="E26" s="128">
        <v>3335919908</v>
      </c>
    </row>
    <row r="27" spans="1:5" ht="18" x14ac:dyDescent="0.25">
      <c r="A27" s="124" t="str">
        <f>VLOOKUP(B27,'[1]LISTADO ATM'!$A$2:$C$822,3,0)</f>
        <v>ESTE</v>
      </c>
      <c r="B27" s="124">
        <v>609</v>
      </c>
      <c r="C27" s="126" t="str">
        <f>VLOOKUP(B27,'[1]LISTADO ATM'!$A$2:$B$822,2,0)</f>
        <v xml:space="preserve">ATM S/M Jumbo (San Pedro) </v>
      </c>
      <c r="D27" s="127" t="s">
        <v>2437</v>
      </c>
      <c r="E27" s="128">
        <v>3335919772</v>
      </c>
    </row>
    <row r="28" spans="1:5" ht="18.75" customHeight="1" thickBot="1" x14ac:dyDescent="0.3">
      <c r="A28" s="116"/>
      <c r="B28" s="142">
        <f>COUNT(B19:B27)</f>
        <v>9</v>
      </c>
      <c r="C28" s="105"/>
      <c r="D28" s="105"/>
      <c r="E28" s="105"/>
    </row>
    <row r="29" spans="1:5" ht="15.75" thickBot="1" x14ac:dyDescent="0.3">
      <c r="B29" s="99"/>
      <c r="E29" s="99"/>
    </row>
    <row r="30" spans="1:5" ht="18.75" thickBot="1" x14ac:dyDescent="0.3">
      <c r="A30" s="176" t="s">
        <v>2535</v>
      </c>
      <c r="B30" s="177"/>
      <c r="C30" s="177"/>
      <c r="D30" s="177"/>
      <c r="E30" s="178"/>
    </row>
    <row r="31" spans="1:5" ht="18" x14ac:dyDescent="0.25">
      <c r="A31" s="96" t="s">
        <v>15</v>
      </c>
      <c r="B31" s="96" t="s">
        <v>2416</v>
      </c>
      <c r="C31" s="96" t="s">
        <v>46</v>
      </c>
      <c r="D31" s="96" t="s">
        <v>2419</v>
      </c>
      <c r="E31" s="96" t="s">
        <v>2417</v>
      </c>
    </row>
    <row r="32" spans="1:5" ht="18.75" customHeight="1" x14ac:dyDescent="0.25">
      <c r="A32" s="139" t="str">
        <f>VLOOKUP(B32,'[1]LISTADO ATM'!$A$2:$C$822,3,0)</f>
        <v>DISTRITO NACIONAL</v>
      </c>
      <c r="B32" s="143">
        <v>147</v>
      </c>
      <c r="C32" s="126" t="str">
        <f>VLOOKUP(B32,'[1]LISTADO ATM'!$A$2:$B$822,2,0)</f>
        <v xml:space="preserve">ATM Kiosco Megacentro I </v>
      </c>
      <c r="D32" s="124" t="s">
        <v>2482</v>
      </c>
      <c r="E32" s="128">
        <v>3335918210</v>
      </c>
    </row>
    <row r="33" spans="1:5" ht="18" x14ac:dyDescent="0.25">
      <c r="A33" s="139" t="e">
        <f>VLOOKUP(B33,'[2]LISTADO ATM'!$A$2:$C$822,3,0)</f>
        <v>#N/A</v>
      </c>
      <c r="B33" s="143">
        <v>175</v>
      </c>
      <c r="C33" s="126" t="str">
        <f>VLOOKUP(B33,'[1]LISTADO ATM'!$A$2:$B$822,2,0)</f>
        <v xml:space="preserve">ATM Dirección de Ingeniería </v>
      </c>
      <c r="D33" s="124" t="s">
        <v>2482</v>
      </c>
      <c r="E33" s="128" t="s">
        <v>2580</v>
      </c>
    </row>
    <row r="34" spans="1:5" ht="18" x14ac:dyDescent="0.25">
      <c r="A34" s="139" t="str">
        <f>VLOOKUP(B34,'[1]LISTADO ATM'!$A$2:$C$822,3,0)</f>
        <v>ESTE</v>
      </c>
      <c r="B34" s="143">
        <v>844</v>
      </c>
      <c r="C34" s="126" t="str">
        <f>VLOOKUP(B34,'[1]LISTADO ATM'!$A$2:$B$822,2,0)</f>
        <v xml:space="preserve">ATM San Juan Shopping Center (Bávaro) </v>
      </c>
      <c r="D34" s="124" t="s">
        <v>2482</v>
      </c>
      <c r="E34" s="128" t="s">
        <v>2600</v>
      </c>
    </row>
    <row r="35" spans="1:5" ht="18.75" customHeight="1" x14ac:dyDescent="0.25">
      <c r="A35" s="139" t="str">
        <f>VLOOKUP(B35,'[1]LISTADO ATM'!$A$2:$C$822,3,0)</f>
        <v>SUR</v>
      </c>
      <c r="B35" s="143">
        <v>252</v>
      </c>
      <c r="C35" s="126" t="str">
        <f>VLOOKUP(B35,'[1]LISTADO ATM'!$A$2:$B$822,2,0)</f>
        <v xml:space="preserve">ATM Banco Agrícola (Barahona) </v>
      </c>
      <c r="D35" s="124" t="s">
        <v>2482</v>
      </c>
      <c r="E35" s="128">
        <v>3335919822</v>
      </c>
    </row>
    <row r="36" spans="1:5" ht="18" x14ac:dyDescent="0.25">
      <c r="A36" s="139" t="str">
        <f>VLOOKUP(B36,'[1]LISTADO ATM'!$A$2:$C$822,3,0)</f>
        <v>SUR</v>
      </c>
      <c r="B36" s="143">
        <v>616</v>
      </c>
      <c r="C36" s="126" t="str">
        <f>VLOOKUP(B36,'[1]LISTADO ATM'!$A$2:$B$822,2,0)</f>
        <v xml:space="preserve">ATM 5ta. Brigada Barahona </v>
      </c>
      <c r="D36" s="124" t="s">
        <v>2482</v>
      </c>
      <c r="E36" s="128">
        <v>3335919877</v>
      </c>
    </row>
    <row r="37" spans="1:5" ht="18.75" customHeight="1" x14ac:dyDescent="0.25">
      <c r="A37" s="139" t="str">
        <f>VLOOKUP(B37,'[1]LISTADO ATM'!$A$2:$C$822,3,0)</f>
        <v>ESTE</v>
      </c>
      <c r="B37" s="143">
        <v>912</v>
      </c>
      <c r="C37" s="126" t="str">
        <f>VLOOKUP(B37,'[1]LISTADO ATM'!$A$2:$B$822,2,0)</f>
        <v xml:space="preserve">ATM Oficina San Pedro II </v>
      </c>
      <c r="D37" s="124" t="s">
        <v>2482</v>
      </c>
      <c r="E37" s="128" t="s">
        <v>2601</v>
      </c>
    </row>
    <row r="38" spans="1:5" ht="18" x14ac:dyDescent="0.25">
      <c r="A38" s="116" t="s">
        <v>2473</v>
      </c>
      <c r="B38" s="144">
        <f>COUNT(B32:B37)</f>
        <v>6</v>
      </c>
      <c r="C38" s="105"/>
      <c r="D38" s="105"/>
      <c r="E38" s="105"/>
    </row>
    <row r="39" spans="1:5" ht="15.75" thickBot="1" x14ac:dyDescent="0.3">
      <c r="B39" s="99"/>
      <c r="E39" s="99"/>
    </row>
    <row r="40" spans="1:5" ht="18.75" customHeight="1" x14ac:dyDescent="0.25">
      <c r="A40" s="179" t="s">
        <v>2476</v>
      </c>
      <c r="B40" s="180"/>
      <c r="C40" s="180"/>
      <c r="D40" s="180"/>
      <c r="E40" s="181"/>
    </row>
    <row r="41" spans="1:5" ht="18" x14ac:dyDescent="0.25">
      <c r="A41" s="96" t="s">
        <v>15</v>
      </c>
      <c r="B41" s="96" t="s">
        <v>2416</v>
      </c>
      <c r="C41" s="98" t="s">
        <v>46</v>
      </c>
      <c r="D41" s="129" t="s">
        <v>2419</v>
      </c>
      <c r="E41" s="129" t="s">
        <v>2417</v>
      </c>
    </row>
    <row r="42" spans="1:5" ht="18" x14ac:dyDescent="0.25">
      <c r="A42" s="94" t="str">
        <f>VLOOKUP(B42,'[1]LISTADO ATM'!$A$2:$C$822,3,0)</f>
        <v>NORTE</v>
      </c>
      <c r="B42" s="124">
        <v>538</v>
      </c>
      <c r="C42" s="126" t="str">
        <f>VLOOKUP(B42,'[1]LISTADO ATM'!$A$2:$B$822,2,0)</f>
        <v>ATM  Autoservicio San Fco. Macorís</v>
      </c>
      <c r="D42" s="122" t="s">
        <v>2568</v>
      </c>
      <c r="E42" s="124">
        <v>3335918178</v>
      </c>
    </row>
    <row r="43" spans="1:5" ht="18.75" customHeight="1" x14ac:dyDescent="0.25">
      <c r="A43" s="94" t="str">
        <f>VLOOKUP(B43,'[1]LISTADO ATM'!$A$2:$C$822,3,0)</f>
        <v>DISTRITO NACIONAL</v>
      </c>
      <c r="B43" s="124">
        <v>551</v>
      </c>
      <c r="C43" s="126" t="str">
        <f>VLOOKUP(B43,'[1]LISTADO ATM'!$A$2:$B$822,2,0)</f>
        <v xml:space="preserve">ATM Oficina Padre Castellanos </v>
      </c>
      <c r="D43" s="122" t="s">
        <v>2568</v>
      </c>
      <c r="E43" s="124" t="s">
        <v>2586</v>
      </c>
    </row>
    <row r="44" spans="1:5" ht="18" x14ac:dyDescent="0.25">
      <c r="A44" s="94" t="str">
        <f>VLOOKUP(B44,'[1]LISTADO ATM'!$A$2:$C$822,3,0)</f>
        <v>NORTE</v>
      </c>
      <c r="B44" s="124">
        <v>97</v>
      </c>
      <c r="C44" s="126" t="str">
        <f>VLOOKUP(B44,'[1]LISTADO ATM'!$A$2:$B$822,2,0)</f>
        <v xml:space="preserve">ATM Oficina Villa Riva </v>
      </c>
      <c r="D44" s="122" t="s">
        <v>2568</v>
      </c>
      <c r="E44" s="124" t="s">
        <v>2602</v>
      </c>
    </row>
    <row r="45" spans="1:5" ht="18" x14ac:dyDescent="0.25">
      <c r="A45" s="116" t="s">
        <v>2473</v>
      </c>
      <c r="B45" s="144">
        <f>COUNT(B42:B44)</f>
        <v>3</v>
      </c>
      <c r="C45" s="105"/>
      <c r="D45" s="130"/>
      <c r="E45" s="130"/>
    </row>
    <row r="46" spans="1:5" ht="15.75" thickBot="1" x14ac:dyDescent="0.3">
      <c r="B46" s="99"/>
      <c r="E46" s="99"/>
    </row>
    <row r="47" spans="1:5" ht="18.75" customHeight="1" thickBot="1" x14ac:dyDescent="0.3">
      <c r="A47" s="182" t="s">
        <v>2477</v>
      </c>
      <c r="B47" s="183"/>
      <c r="C47" s="93" t="s">
        <v>2412</v>
      </c>
      <c r="D47" s="99"/>
      <c r="E47" s="99"/>
    </row>
    <row r="48" spans="1:5" ht="18" customHeight="1" thickBot="1" x14ac:dyDescent="0.3">
      <c r="A48" s="140">
        <f>+B28+B38+B45</f>
        <v>18</v>
      </c>
      <c r="B48" s="141"/>
    </row>
    <row r="49" spans="1:5" ht="15.75" thickBot="1" x14ac:dyDescent="0.3">
      <c r="B49" s="99"/>
      <c r="E49" s="99"/>
    </row>
    <row r="50" spans="1:5" ht="18.75" thickBot="1" x14ac:dyDescent="0.3">
      <c r="A50" s="176" t="s">
        <v>2478</v>
      </c>
      <c r="B50" s="177"/>
      <c r="C50" s="177"/>
      <c r="D50" s="177"/>
      <c r="E50" s="178"/>
    </row>
    <row r="51" spans="1:5" ht="18.75" customHeight="1" x14ac:dyDescent="0.25">
      <c r="A51" s="100" t="s">
        <v>15</v>
      </c>
      <c r="B51" s="100" t="s">
        <v>2416</v>
      </c>
      <c r="C51" s="98" t="s">
        <v>46</v>
      </c>
      <c r="D51" s="184" t="s">
        <v>2419</v>
      </c>
      <c r="E51" s="185"/>
    </row>
    <row r="52" spans="1:5" ht="18" x14ac:dyDescent="0.25">
      <c r="A52" s="124" t="str">
        <f>VLOOKUP(B52,'[1]LISTADO ATM'!$A$2:$C$822,3,0)</f>
        <v>SUR</v>
      </c>
      <c r="B52" s="124">
        <v>873</v>
      </c>
      <c r="C52" s="124" t="str">
        <f>VLOOKUP(B52,'[1]LISTADO ATM'!$A$2:$B$822,2,0)</f>
        <v xml:space="preserve">ATM Centro de Caja San Cristóbal II </v>
      </c>
      <c r="D52" s="160" t="s">
        <v>2569</v>
      </c>
      <c r="E52" s="161"/>
    </row>
    <row r="53" spans="1:5" ht="18" x14ac:dyDescent="0.25">
      <c r="A53" s="124" t="str">
        <f>VLOOKUP(B53,'[1]LISTADO ATM'!$A$2:$C$822,3,0)</f>
        <v>DISTRITO NACIONAL</v>
      </c>
      <c r="B53" s="124">
        <v>717</v>
      </c>
      <c r="C53" s="124" t="str">
        <f>VLOOKUP(B53,'[1]LISTADO ATM'!$A$2:$B$822,2,0)</f>
        <v xml:space="preserve">ATM Oficina Los Alcarrizos </v>
      </c>
      <c r="D53" s="160" t="s">
        <v>2550</v>
      </c>
      <c r="E53" s="161"/>
    </row>
    <row r="54" spans="1:5" ht="18" x14ac:dyDescent="0.25">
      <c r="A54" s="124" t="str">
        <f>VLOOKUP(B54,'[1]LISTADO ATM'!$A$2:$C$822,3,0)</f>
        <v>DISTRITO NACIONAL</v>
      </c>
      <c r="B54" s="124">
        <v>139</v>
      </c>
      <c r="C54" s="124" t="str">
        <f>VLOOKUP(B54,'[1]LISTADO ATM'!$A$2:$B$822,2,0)</f>
        <v xml:space="preserve">ATM Oficina Plaza Lama Zona Oriental I </v>
      </c>
      <c r="D54" s="160" t="s">
        <v>2569</v>
      </c>
      <c r="E54" s="161"/>
    </row>
    <row r="55" spans="1:5" ht="18" x14ac:dyDescent="0.25">
      <c r="A55" s="124" t="str">
        <f>VLOOKUP(B55,'[1]LISTADO ATM'!$A$2:$C$822,3,0)</f>
        <v>DISTRITO NACIONAL</v>
      </c>
      <c r="B55" s="124">
        <v>811</v>
      </c>
      <c r="C55" s="124" t="str">
        <f>VLOOKUP(B55,'[1]LISTADO ATM'!$A$2:$B$822,2,0)</f>
        <v xml:space="preserve">ATM Almacenes Unidos </v>
      </c>
      <c r="D55" s="160" t="s">
        <v>2550</v>
      </c>
      <c r="E55" s="161"/>
    </row>
    <row r="56" spans="1:5" ht="18.75" thickBot="1" x14ac:dyDescent="0.3">
      <c r="A56" s="116" t="s">
        <v>2473</v>
      </c>
      <c r="B56" s="142">
        <f>COUNT(B52:B55)</f>
        <v>4</v>
      </c>
      <c r="C56" s="107"/>
      <c r="D56" s="107"/>
      <c r="E56" s="108"/>
    </row>
    <row r="57" spans="1:5" ht="18" customHeight="1" x14ac:dyDescent="0.25">
      <c r="A57"/>
      <c r="B57"/>
      <c r="C57"/>
      <c r="D57"/>
      <c r="E57"/>
    </row>
    <row r="58" spans="1:5" ht="18.75" customHeight="1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ht="18.75" customHeight="1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ht="18" customHeight="1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ht="18.75" customHeight="1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ht="18.75" customHeight="1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ht="18.75" customHeight="1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96" spans="1:5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</sheetData>
  <mergeCells count="17">
    <mergeCell ref="D51:E51"/>
    <mergeCell ref="D52:E52"/>
    <mergeCell ref="D53:E53"/>
    <mergeCell ref="D54:E54"/>
    <mergeCell ref="D55:E55"/>
    <mergeCell ref="F1:G1"/>
    <mergeCell ref="A1:E1"/>
    <mergeCell ref="A2:E2"/>
    <mergeCell ref="A7:E7"/>
    <mergeCell ref="C10:E10"/>
    <mergeCell ref="A12:E12"/>
    <mergeCell ref="C15:E15"/>
    <mergeCell ref="A17:E17"/>
    <mergeCell ref="A30:E30"/>
    <mergeCell ref="A40:E40"/>
    <mergeCell ref="A47:B47"/>
    <mergeCell ref="A50:E50"/>
  </mergeCells>
  <phoneticPr fontId="46" type="noConversion"/>
  <conditionalFormatting sqref="E108:E1048576">
    <cfRule type="duplicateValues" dxfId="62" priority="63"/>
  </conditionalFormatting>
  <conditionalFormatting sqref="B108:B267">
    <cfRule type="duplicateValues" dxfId="61" priority="127831"/>
  </conditionalFormatting>
  <conditionalFormatting sqref="B96:B107">
    <cfRule type="duplicateValues" dxfId="60" priority="13"/>
    <cfRule type="duplicateValues" dxfId="59" priority="14"/>
  </conditionalFormatting>
  <conditionalFormatting sqref="B1:B56">
    <cfRule type="duplicateValues" dxfId="58" priority="3"/>
    <cfRule type="duplicateValues" dxfId="57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2560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6" priority="3"/>
  </conditionalFormatting>
  <conditionalFormatting sqref="A827">
    <cfRule type="duplicateValues" dxfId="55" priority="2"/>
  </conditionalFormatting>
  <conditionalFormatting sqref="A828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2021-06-15T14:40:53Z</dcterms:modified>
</cp:coreProperties>
</file>