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airDuctUVGI/"/>
    </mc:Choice>
  </mc:AlternateContent>
  <xr:revisionPtr revIDLastSave="420" documentId="8_{A1D1743A-C50E-46AB-9828-0F2D9C96A5C1}" xr6:coauthVersionLast="47" xr6:coauthVersionMax="47" xr10:uidLastSave="{B333771A-714B-4F45-B67F-FBF39FA25796}"/>
  <bookViews>
    <workbookView xWindow="7095" yWindow="1815" windowWidth="21705" windowHeight="17700" tabRatio="429" xr2:uid="{88D5F20D-329B-4118-9EB7-2FFDA397257A}"/>
  </bookViews>
  <sheets>
    <sheet name="UV D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  <c r="F31" i="1"/>
  <c r="I21" i="1"/>
  <c r="I18" i="1"/>
  <c r="I28" i="1"/>
  <c r="I25" i="1"/>
  <c r="I31" i="1"/>
  <c r="H37" i="1"/>
  <c r="K37" i="1" s="1"/>
  <c r="L37" i="1" l="1"/>
  <c r="I37" i="1"/>
  <c r="J37" i="1"/>
  <c r="H15" i="1" l="1"/>
  <c r="I15" i="1" s="1"/>
  <c r="H24" i="1"/>
  <c r="I24" i="1" s="1"/>
  <c r="H27" i="1"/>
  <c r="I27" i="1" s="1"/>
  <c r="O31" i="1"/>
  <c r="H29" i="1"/>
  <c r="H26" i="1"/>
  <c r="I26" i="1" s="1"/>
  <c r="H22" i="1"/>
  <c r="H19" i="1"/>
  <c r="F19" i="1" s="1"/>
  <c r="G18" i="1"/>
  <c r="G21" i="1"/>
  <c r="G25" i="1"/>
  <c r="G28" i="1"/>
  <c r="O26" i="1" l="1"/>
  <c r="P29" i="1"/>
  <c r="I29" i="1"/>
  <c r="G26" i="1"/>
  <c r="P22" i="1"/>
  <c r="I22" i="1"/>
  <c r="M29" i="1"/>
  <c r="P19" i="1"/>
  <c r="I19" i="1"/>
  <c r="J31" i="1"/>
  <c r="M31" i="1"/>
  <c r="L31" i="1"/>
  <c r="N31" i="1"/>
  <c r="P31" i="1"/>
  <c r="K31" i="1"/>
  <c r="G29" i="1"/>
  <c r="N29" i="1"/>
  <c r="J22" i="1"/>
  <c r="O29" i="1"/>
  <c r="K22" i="1"/>
  <c r="L22" i="1"/>
  <c r="M22" i="1"/>
  <c r="M26" i="1"/>
  <c r="L19" i="1"/>
  <c r="N22" i="1"/>
  <c r="F26" i="1"/>
  <c r="P26" i="1"/>
  <c r="M19" i="1"/>
  <c r="O22" i="1"/>
  <c r="L26" i="1"/>
  <c r="F29" i="1"/>
  <c r="J29" i="1"/>
  <c r="F22" i="1"/>
  <c r="J26" i="1"/>
  <c r="K29" i="1"/>
  <c r="J19" i="1"/>
  <c r="K26" i="1"/>
  <c r="L29" i="1"/>
  <c r="K19" i="1"/>
  <c r="N19" i="1"/>
  <c r="N26" i="1"/>
  <c r="O19" i="1"/>
  <c r="P25" i="1"/>
  <c r="O25" i="1"/>
  <c r="N25" i="1"/>
  <c r="M25" i="1"/>
  <c r="L25" i="1"/>
  <c r="K25" i="1"/>
  <c r="J25" i="1"/>
  <c r="F25" i="1"/>
  <c r="O24" i="1" l="1"/>
  <c r="G24" i="1"/>
  <c r="P24" i="1"/>
  <c r="F24" i="1"/>
  <c r="J24" i="1"/>
  <c r="K24" i="1"/>
  <c r="L24" i="1"/>
  <c r="M24" i="1"/>
  <c r="N24" i="1"/>
  <c r="G27" i="1"/>
  <c r="G15" i="1"/>
  <c r="P28" i="1" l="1"/>
  <c r="O28" i="1"/>
  <c r="N28" i="1"/>
  <c r="M28" i="1"/>
  <c r="L28" i="1"/>
  <c r="K28" i="1"/>
  <c r="J28" i="1"/>
  <c r="F28" i="1"/>
  <c r="O27" i="1"/>
  <c r="P27" i="1" l="1"/>
  <c r="F27" i="1"/>
  <c r="J27" i="1"/>
  <c r="K27" i="1"/>
  <c r="L27" i="1"/>
  <c r="M27" i="1"/>
  <c r="N27" i="1"/>
  <c r="P18" i="1"/>
  <c r="O18" i="1"/>
  <c r="N18" i="1"/>
  <c r="M18" i="1"/>
  <c r="L18" i="1"/>
  <c r="P21" i="1"/>
  <c r="O21" i="1"/>
  <c r="N21" i="1"/>
  <c r="M21" i="1"/>
  <c r="L21" i="1"/>
  <c r="H5" i="1"/>
  <c r="I5" i="1" s="1"/>
  <c r="K18" i="1"/>
  <c r="K21" i="1"/>
  <c r="H17" i="1"/>
  <c r="I17" i="1" s="1"/>
  <c r="J18" i="1"/>
  <c r="F18" i="1"/>
  <c r="H20" i="1"/>
  <c r="I20" i="1" s="1"/>
  <c r="J21" i="1"/>
  <c r="F21" i="1"/>
  <c r="F20" i="1" l="1"/>
  <c r="G20" i="1"/>
  <c r="J17" i="1"/>
  <c r="G17" i="1"/>
  <c r="F5" i="1"/>
  <c r="G5" i="1"/>
  <c r="N5" i="1"/>
  <c r="O5" i="1"/>
  <c r="P5" i="1"/>
  <c r="M5" i="1"/>
  <c r="P17" i="1"/>
  <c r="K20" i="1"/>
  <c r="O17" i="1"/>
  <c r="K17" i="1"/>
  <c r="P20" i="1"/>
  <c r="L20" i="1"/>
  <c r="M20" i="1"/>
  <c r="N17" i="1"/>
  <c r="N20" i="1"/>
  <c r="L17" i="1"/>
  <c r="L5" i="1"/>
  <c r="O20" i="1"/>
  <c r="M17" i="1"/>
  <c r="F17" i="1"/>
  <c r="J20" i="1"/>
  <c r="N15" i="1" l="1"/>
  <c r="H11" i="1"/>
  <c r="H13" i="1"/>
  <c r="I13" i="1" s="1"/>
  <c r="L12" i="1"/>
  <c r="H12" i="1" s="1"/>
  <c r="J10" i="1"/>
  <c r="H10" i="1" s="1"/>
  <c r="H6" i="1"/>
  <c r="I6" i="1" s="1"/>
  <c r="H9" i="1"/>
  <c r="I9" i="1" s="1"/>
  <c r="H8" i="1"/>
  <c r="I8" i="1" s="1"/>
  <c r="H4" i="1"/>
  <c r="I4" i="1" s="1"/>
  <c r="H3" i="1"/>
  <c r="I3" i="1" s="1"/>
  <c r="H2" i="1"/>
  <c r="G12" i="1" l="1"/>
  <c r="I12" i="1"/>
  <c r="G10" i="1"/>
  <c r="I10" i="1"/>
  <c r="I2" i="1"/>
  <c r="N2" i="1"/>
  <c r="G11" i="1"/>
  <c r="I11" i="1"/>
  <c r="F8" i="1"/>
  <c r="G8" i="1"/>
  <c r="P6" i="1"/>
  <c r="G6" i="1"/>
  <c r="O9" i="1"/>
  <c r="G9" i="1"/>
  <c r="M2" i="1"/>
  <c r="G2" i="1"/>
  <c r="P13" i="1"/>
  <c r="G13" i="1"/>
  <c r="N3" i="1"/>
  <c r="G3" i="1"/>
  <c r="M4" i="1"/>
  <c r="G4" i="1"/>
  <c r="K15" i="1"/>
  <c r="J12" i="1"/>
  <c r="N12" i="1"/>
  <c r="F13" i="1"/>
  <c r="N6" i="1"/>
  <c r="L13" i="1"/>
  <c r="P9" i="1"/>
  <c r="P15" i="1"/>
  <c r="F15" i="1"/>
  <c r="O15" i="1"/>
  <c r="J15" i="1"/>
  <c r="L15" i="1"/>
  <c r="M15" i="1"/>
  <c r="O13" i="1"/>
  <c r="J13" i="1"/>
  <c r="F9" i="1"/>
  <c r="K13" i="1"/>
  <c r="J6" i="1"/>
  <c r="M13" i="1"/>
  <c r="L9" i="1"/>
  <c r="J9" i="1"/>
  <c r="N13" i="1"/>
  <c r="N9" i="1"/>
  <c r="P12" i="1"/>
  <c r="F12" i="1"/>
  <c r="M6" i="1"/>
  <c r="O12" i="1"/>
  <c r="O6" i="1"/>
  <c r="M12" i="1"/>
  <c r="F6" i="1"/>
  <c r="K12" i="1"/>
  <c r="P10" i="1"/>
  <c r="L10" i="1"/>
  <c r="J3" i="1"/>
  <c r="J4" i="1"/>
  <c r="L2" i="1"/>
  <c r="J8" i="1"/>
  <c r="L3" i="1"/>
  <c r="K8" i="1"/>
  <c r="L4" i="1"/>
  <c r="M3" i="1"/>
  <c r="L8" i="1"/>
  <c r="N4" i="1"/>
  <c r="M9" i="1"/>
  <c r="L6" i="1"/>
  <c r="P2" i="1"/>
  <c r="J2" i="1"/>
  <c r="O3" i="1"/>
  <c r="K10" i="1"/>
  <c r="P3" i="1"/>
  <c r="F10" i="1"/>
  <c r="M10" i="1"/>
  <c r="P4" i="1"/>
  <c r="N10" i="1"/>
  <c r="K4" i="1"/>
  <c r="P8" i="1"/>
  <c r="O10" i="1"/>
  <c r="O2" i="1"/>
  <c r="O4" i="1"/>
  <c r="O8" i="1"/>
  <c r="M8" i="1"/>
  <c r="K2" i="1"/>
  <c r="K3" i="1"/>
  <c r="N8" i="1"/>
  <c r="J11" i="1" l="1"/>
  <c r="O11" i="1"/>
  <c r="N11" i="1"/>
  <c r="M11" i="1"/>
  <c r="F11" i="1"/>
  <c r="K11" i="1"/>
  <c r="L11" i="1"/>
  <c r="P11" i="1"/>
  <c r="P37" i="1" l="1"/>
  <c r="F37" i="1"/>
  <c r="M37" i="1"/>
  <c r="N37" i="1"/>
  <c r="O37" i="1"/>
</calcChain>
</file>

<file path=xl/sharedStrings.xml><?xml version="1.0" encoding="utf-8"?>
<sst xmlns="http://schemas.openxmlformats.org/spreadsheetml/2006/main" count="111" uniqueCount="48">
  <si>
    <t>influenza</t>
  </si>
  <si>
    <t>Z cm^2/uJ</t>
  </si>
  <si>
    <t>D 2 log uJ/cm^2</t>
  </si>
  <si>
    <t>D 4 log uJ/cm^2</t>
  </si>
  <si>
    <t>D 6 log uJ/cm^2</t>
  </si>
  <si>
    <t>source</t>
  </si>
  <si>
    <t>pathogen</t>
  </si>
  <si>
    <t>RH %</t>
  </si>
  <si>
    <t>81-84</t>
  </si>
  <si>
    <t>50-54</t>
  </si>
  <si>
    <t>25-27</t>
  </si>
  <si>
    <t>Walker</t>
  </si>
  <si>
    <t>McDevitt</t>
  </si>
  <si>
    <t>UVDI</t>
  </si>
  <si>
    <t>D 8 log uJ/cm^2</t>
  </si>
  <si>
    <t>D 10 log uJ/cm^2</t>
  </si>
  <si>
    <t>Atlantic UV</t>
  </si>
  <si>
    <t>D 1 log uJ/cm^2</t>
  </si>
  <si>
    <t>Bianco</t>
  </si>
  <si>
    <t>Kariwa</t>
  </si>
  <si>
    <t>D 3 log uJ/cm^2</t>
  </si>
  <si>
    <t>walker</t>
  </si>
  <si>
    <t>Tseng</t>
  </si>
  <si>
    <t>Z m^2/J</t>
  </si>
  <si>
    <t>MS2 (ATCC 15597-B1)</t>
  </si>
  <si>
    <t>MHV Coronavirus (ATCC: VR-846)</t>
  </si>
  <si>
    <t>Coronavirus</t>
  </si>
  <si>
    <t>SARS CoV-2 (Italy)</t>
  </si>
  <si>
    <t>SARS CoV (China)</t>
  </si>
  <si>
    <t>liquid</t>
  </si>
  <si>
    <t>unknown</t>
  </si>
  <si>
    <t>referenced by Walker</t>
  </si>
  <si>
    <t>referenced in Walker</t>
  </si>
  <si>
    <t>referenced in Purple Sun</t>
  </si>
  <si>
    <t>Yellow shaded cells, like this one, contain published values found in the given sources. All other values have been derived from published values to show a more complete dataset for cross correlation.</t>
  </si>
  <si>
    <t>Z cm^2/mJ</t>
  </si>
  <si>
    <t>Tseng2</t>
  </si>
  <si>
    <t>missed interreflected UV</t>
  </si>
  <si>
    <t>missed reflected UV</t>
  </si>
  <si>
    <t>UV too low</t>
  </si>
  <si>
    <t>David Welch</t>
  </si>
  <si>
    <t>D 95 mJ/cm^2</t>
  </si>
  <si>
    <t>KrCl excimer lamp 222nm</t>
  </si>
  <si>
    <t>notes</t>
  </si>
  <si>
    <t>data quality</t>
  </si>
  <si>
    <t>excellent</t>
  </si>
  <si>
    <t>terrible</t>
  </si>
  <si>
    <t>Green shaded cells are adjusted values to corrected apparatus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</si>
</sst>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8">
    <xf numFmtId="0" fontId="0" fillId="0" borderId="0" xfId="0"/>
    <xf numFmtId="3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3" fontId="2" fillId="0" borderId="0" xfId="0" applyNumberFormat="1" applyFont="1"/>
    <xf numFmtId="3" fontId="2" fillId="2" borderId="1" xfId="1" applyNumberFormat="1" applyFont="1"/>
    <xf numFmtId="0" fontId="2" fillId="0" borderId="0" xfId="0" applyFont="1"/>
    <xf numFmtId="164" fontId="0" fillId="2" borderId="1" xfId="1" applyNumberFormat="1" applyFont="1"/>
    <xf numFmtId="164" fontId="0" fillId="0" borderId="0" xfId="0" applyNumberFormat="1"/>
    <xf numFmtId="165" fontId="0" fillId="0" borderId="0" xfId="0" applyNumberFormat="1"/>
    <xf numFmtId="165" fontId="0" fillId="2" borderId="1" xfId="1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3" applyAlignment="1">
      <alignment horizontal="center"/>
    </xf>
    <xf numFmtId="164" fontId="0" fillId="2" borderId="3" xfId="1" applyNumberFormat="1" applyFont="1" applyBorder="1"/>
    <xf numFmtId="0" fontId="6" fillId="0" borderId="2" xfId="2" applyBorder="1" applyAlignment="1">
      <alignment horizontal="center" vertical="center"/>
    </xf>
    <xf numFmtId="0" fontId="6" fillId="0" borderId="2" xfId="2" applyBorder="1" applyAlignment="1">
      <alignment horizontal="center" vertical="center" wrapText="1"/>
    </xf>
    <xf numFmtId="0" fontId="6" fillId="0" borderId="2" xfId="2" applyBorder="1" applyAlignment="1">
      <alignment vertical="center" wrapText="1"/>
    </xf>
    <xf numFmtId="165" fontId="8" fillId="3" borderId="0" xfId="4" applyNumberFormat="1"/>
    <xf numFmtId="165" fontId="8" fillId="3" borderId="1" xfId="4" applyNumberFormat="1" applyBorder="1"/>
    <xf numFmtId="0" fontId="8" fillId="3" borderId="0" xfId="4"/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0" fillId="2" borderId="1" xfId="1" applyFont="1" applyAlignment="1">
      <alignment horizontal="center" wrapText="1"/>
    </xf>
    <xf numFmtId="0" fontId="8" fillId="3" borderId="4" xfId="4" applyBorder="1" applyAlignment="1">
      <alignment horizontal="center" wrapText="1"/>
    </xf>
    <xf numFmtId="0" fontId="8" fillId="3" borderId="5" xfId="4" applyBorder="1" applyAlignment="1">
      <alignment horizontal="center" wrapText="1"/>
    </xf>
    <xf numFmtId="0" fontId="8" fillId="3" borderId="6" xfId="4" applyBorder="1" applyAlignment="1">
      <alignment horizontal="center" wrapText="1"/>
    </xf>
  </cellXfs>
  <cellStyles count="5">
    <cellStyle name="Explanatory Text" xfId="3" builtinId="53"/>
    <cellStyle name="Good" xfId="4" builtinId="26"/>
    <cellStyle name="Heading 4" xfId="2" builtinId="19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731E-4FE1-415B-91E0-8223D9A5041F}">
  <dimension ref="A1:P37"/>
  <sheetViews>
    <sheetView tabSelected="1" workbookViewId="0">
      <selection activeCell="D24" sqref="D24"/>
    </sheetView>
  </sheetViews>
  <sheetFormatPr defaultRowHeight="15" x14ac:dyDescent="0.25"/>
  <cols>
    <col min="1" max="1" width="25.140625" style="13" customWidth="1"/>
    <col min="2" max="2" width="11.28515625" style="13" customWidth="1"/>
    <col min="3" max="3" width="17" style="13" customWidth="1"/>
    <col min="4" max="4" width="25.140625" style="13" customWidth="1"/>
    <col min="5" max="5" width="8.85546875" style="13"/>
    <col min="10" max="12" width="8.85546875" style="7"/>
    <col min="13" max="13" width="8.85546875" style="2"/>
    <col min="14" max="16" width="8.85546875" style="4"/>
  </cols>
  <sheetData>
    <row r="1" spans="1:16" s="12" customFormat="1" ht="30" x14ac:dyDescent="0.25">
      <c r="A1" s="16" t="s">
        <v>43</v>
      </c>
      <c r="B1" s="16" t="s">
        <v>44</v>
      </c>
      <c r="C1" s="16" t="s">
        <v>5</v>
      </c>
      <c r="D1" s="16" t="s">
        <v>6</v>
      </c>
      <c r="E1" s="16" t="s">
        <v>7</v>
      </c>
      <c r="F1" s="17" t="s">
        <v>23</v>
      </c>
      <c r="G1" s="17" t="s">
        <v>35</v>
      </c>
      <c r="H1" s="17" t="s">
        <v>1</v>
      </c>
      <c r="I1" s="17" t="s">
        <v>41</v>
      </c>
      <c r="J1" s="17" t="s">
        <v>17</v>
      </c>
      <c r="K1" s="18" t="s">
        <v>2</v>
      </c>
      <c r="L1" s="18" t="s">
        <v>20</v>
      </c>
      <c r="M1" s="18" t="s">
        <v>3</v>
      </c>
      <c r="N1" s="18" t="s">
        <v>4</v>
      </c>
      <c r="O1" s="18" t="s">
        <v>14</v>
      </c>
      <c r="P1" s="18" t="s">
        <v>15</v>
      </c>
    </row>
    <row r="2" spans="1:16" x14ac:dyDescent="0.25">
      <c r="A2" s="14"/>
      <c r="B2" s="14"/>
      <c r="C2" s="14" t="s">
        <v>12</v>
      </c>
      <c r="D2" s="14" t="s">
        <v>0</v>
      </c>
      <c r="E2" s="14" t="s">
        <v>8</v>
      </c>
      <c r="F2" s="15">
        <v>0.22</v>
      </c>
      <c r="G2" s="9">
        <f>H2*1000</f>
        <v>2.2000000000000002</v>
      </c>
      <c r="H2" s="10">
        <f>F2*0.01</f>
        <v>2.2000000000000001E-3</v>
      </c>
      <c r="I2">
        <f t="shared" ref="I2:I6" si="0">-LN(5/100)/(H2*1000)</f>
        <v>1.3616964879790867</v>
      </c>
      <c r="J2" s="5">
        <f>-LN(1/10)/H2</f>
        <v>1046.6295877245661</v>
      </c>
      <c r="K2" s="5">
        <f>-LN(1/100)/H2</f>
        <v>2093.2591754491323</v>
      </c>
      <c r="L2" s="5">
        <f>-LN(1/1000)/H2</f>
        <v>3139.8887631736984</v>
      </c>
      <c r="M2" s="1">
        <f>-LN(1/10000)/H2</f>
        <v>4186.5183508982645</v>
      </c>
      <c r="N2" s="3">
        <f>-LN(1/1000000)/H2</f>
        <v>6279.7775263473968</v>
      </c>
      <c r="O2" s="3">
        <f>-LN(1/100000000)/H2</f>
        <v>8373.0367017965309</v>
      </c>
      <c r="P2" s="3">
        <f>-LN(1/10000000000)/H2</f>
        <v>10466.295877245662</v>
      </c>
    </row>
    <row r="3" spans="1:16" x14ac:dyDescent="0.25">
      <c r="A3" s="22"/>
      <c r="B3" s="22" t="s">
        <v>45</v>
      </c>
      <c r="C3" s="14" t="s">
        <v>12</v>
      </c>
      <c r="D3" s="14" t="s">
        <v>0</v>
      </c>
      <c r="E3" s="14" t="s">
        <v>9</v>
      </c>
      <c r="F3" s="8">
        <v>0.27</v>
      </c>
      <c r="G3" s="9">
        <f>H3*1000</f>
        <v>2.7</v>
      </c>
      <c r="H3" s="10">
        <f>F3*0.01</f>
        <v>2.7000000000000001E-3</v>
      </c>
      <c r="I3">
        <f t="shared" si="0"/>
        <v>1.1095304716866632</v>
      </c>
      <c r="J3" s="5">
        <f>-LN(1/10)/H3</f>
        <v>852.80929370149829</v>
      </c>
      <c r="K3" s="5">
        <f>-LN(1/100)/H3</f>
        <v>1705.6185874029966</v>
      </c>
      <c r="L3" s="5">
        <f t="shared" ref="L3:L4" si="1">-LN(1/1000)/H3</f>
        <v>2558.4278811044951</v>
      </c>
      <c r="M3" s="1">
        <f>-LN(1/10000)/H3</f>
        <v>3411.2371748059932</v>
      </c>
      <c r="N3" s="3">
        <f>-LN(1/1000000)/H3</f>
        <v>5116.8557622089902</v>
      </c>
      <c r="O3" s="3">
        <f>-LN(1/100000000)/H3</f>
        <v>6822.4743496119872</v>
      </c>
      <c r="P3" s="3">
        <f>-LN(1/10000000000)/H3</f>
        <v>8528.0929370149843</v>
      </c>
    </row>
    <row r="4" spans="1:16" x14ac:dyDescent="0.25">
      <c r="A4" s="14"/>
      <c r="B4" s="14"/>
      <c r="C4" s="14" t="s">
        <v>12</v>
      </c>
      <c r="D4" s="14" t="s">
        <v>0</v>
      </c>
      <c r="E4" s="14" t="s">
        <v>10</v>
      </c>
      <c r="F4" s="8">
        <v>0.28999999999999998</v>
      </c>
      <c r="G4" s="9">
        <f>H4*1000</f>
        <v>2.9</v>
      </c>
      <c r="H4" s="10">
        <f>F4*0.01</f>
        <v>2.8999999999999998E-3</v>
      </c>
      <c r="I4">
        <f t="shared" si="0"/>
        <v>1.033011128811721</v>
      </c>
      <c r="J4" s="5">
        <f>-LN(1/10)/H4</f>
        <v>793.99485965311919</v>
      </c>
      <c r="K4" s="5">
        <f>-LN(1/100)/H4</f>
        <v>1587.9897193062384</v>
      </c>
      <c r="L4" s="5">
        <f t="shared" si="1"/>
        <v>2381.9845789593578</v>
      </c>
      <c r="M4" s="1">
        <f>-LN(1/10000)/H4</f>
        <v>3175.9794386124768</v>
      </c>
      <c r="N4" s="3">
        <f>-LN(1/1000000)/H4</f>
        <v>4763.9691579187156</v>
      </c>
      <c r="O4" s="3">
        <f>-LN(1/100000000)/H4</f>
        <v>6351.9588772249544</v>
      </c>
      <c r="P4" s="3">
        <f>-LN(1/10000000000)/H4</f>
        <v>7939.9485965311924</v>
      </c>
    </row>
    <row r="5" spans="1:16" x14ac:dyDescent="0.25">
      <c r="A5" s="14"/>
      <c r="B5" s="23" t="s">
        <v>46</v>
      </c>
      <c r="C5" s="14" t="s">
        <v>16</v>
      </c>
      <c r="D5" s="14" t="s">
        <v>0</v>
      </c>
      <c r="E5" s="14" t="s">
        <v>30</v>
      </c>
      <c r="F5" s="9">
        <f>H5*100</f>
        <v>6.7723090970413111E-2</v>
      </c>
      <c r="G5" s="9">
        <f>H5*1000</f>
        <v>0.67723090970413102</v>
      </c>
      <c r="H5" s="10">
        <f>-LN(1/10)/J5</f>
        <v>6.7723090970413105E-4</v>
      </c>
      <c r="I5">
        <f t="shared" si="0"/>
        <v>4.4235019852575359</v>
      </c>
      <c r="J5" s="6">
        <v>3400</v>
      </c>
      <c r="K5" s="6">
        <v>6600</v>
      </c>
      <c r="L5" s="5">
        <f>-LN(1/1000)/H5</f>
        <v>10200</v>
      </c>
      <c r="M5" s="1">
        <f>-LN(1/10000)/H5</f>
        <v>13600</v>
      </c>
      <c r="N5" s="3">
        <f>-LN(1/1000000)/H5</f>
        <v>20400</v>
      </c>
      <c r="O5" s="3">
        <f>-LN(1/100000000)/H5</f>
        <v>27200.000000000004</v>
      </c>
      <c r="P5" s="3">
        <f>-LN(1/10000000000)/H5</f>
        <v>34000</v>
      </c>
    </row>
    <row r="6" spans="1:16" x14ac:dyDescent="0.25">
      <c r="A6" s="14"/>
      <c r="B6" s="23" t="s">
        <v>46</v>
      </c>
      <c r="C6" s="14" t="s">
        <v>13</v>
      </c>
      <c r="D6" s="14" t="s">
        <v>0</v>
      </c>
      <c r="E6" s="14"/>
      <c r="F6" s="9">
        <f>H6*100</f>
        <v>0.10103488780140611</v>
      </c>
      <c r="G6" s="9">
        <f>H6*1000</f>
        <v>1.010348878014061</v>
      </c>
      <c r="H6" s="10">
        <f>-LN(1/100)/K6</f>
        <v>1.0103488780140611E-3</v>
      </c>
      <c r="I6">
        <f t="shared" si="0"/>
        <v>2.9650473601182137</v>
      </c>
      <c r="J6" s="5">
        <f>-LN(1/10)/H6</f>
        <v>2279.0000000000005</v>
      </c>
      <c r="K6" s="6">
        <v>4558</v>
      </c>
      <c r="L6" s="5">
        <f>-LN(1/1000)/H6</f>
        <v>6837.0000000000009</v>
      </c>
      <c r="M6" s="1">
        <f>-LN(1/10000)/H6</f>
        <v>9116.0000000000018</v>
      </c>
      <c r="N6" s="3">
        <f>-LN(1/1000000)/H6</f>
        <v>13674.000000000002</v>
      </c>
      <c r="O6" s="3">
        <f>-LN(1/100000000)/H6</f>
        <v>18232.000000000007</v>
      </c>
      <c r="P6" s="3">
        <f>-LN(1/10000000000)/H6</f>
        <v>22790.000000000004</v>
      </c>
    </row>
    <row r="7" spans="1:16" x14ac:dyDescent="0.25">
      <c r="A7" s="14"/>
      <c r="B7" s="14"/>
      <c r="C7" s="14"/>
      <c r="D7" s="14"/>
      <c r="E7" s="14"/>
      <c r="F7" s="9"/>
      <c r="G7" s="9"/>
      <c r="H7" s="10"/>
      <c r="I7" s="10"/>
      <c r="J7" s="5"/>
      <c r="K7" s="5"/>
      <c r="L7" s="5"/>
      <c r="M7" s="1"/>
      <c r="N7" s="3"/>
      <c r="O7" s="3"/>
      <c r="P7" s="3"/>
    </row>
    <row r="8" spans="1:16" x14ac:dyDescent="0.25">
      <c r="A8" s="14"/>
      <c r="B8" s="14"/>
      <c r="C8" s="14" t="s">
        <v>11</v>
      </c>
      <c r="D8" s="14" t="s">
        <v>25</v>
      </c>
      <c r="E8" s="14">
        <v>50</v>
      </c>
      <c r="F8" s="9">
        <f t="shared" ref="F8:F15" si="2">H8*100</f>
        <v>0.37700000000000006</v>
      </c>
      <c r="G8" s="9">
        <f t="shared" ref="G8:G13" si="3">H8*1000</f>
        <v>3.7700000000000005</v>
      </c>
      <c r="H8" s="11">
        <f>37.7/10^4</f>
        <v>3.7700000000000003E-3</v>
      </c>
      <c r="I8">
        <f t="shared" ref="I8:I13" si="4">-LN(5/100)/(H8*1000)</f>
        <v>0.7946239452397853</v>
      </c>
      <c r="J8" s="5">
        <f>-LN(1/10)/H8</f>
        <v>610.76527665624542</v>
      </c>
      <c r="K8" s="5">
        <f>-LN(1/100)/H8</f>
        <v>1221.5305533124908</v>
      </c>
      <c r="L8" s="5">
        <f>-LN(1/1000)/H8</f>
        <v>1832.2958299687364</v>
      </c>
      <c r="M8" s="1">
        <f t="shared" ref="M8:M15" si="5">-LN(1/10000)/H8</f>
        <v>2443.0611066249817</v>
      </c>
      <c r="N8" s="3">
        <f t="shared" ref="N8:N15" si="6">-LN(1/1000000)/H8</f>
        <v>3664.5916599374727</v>
      </c>
      <c r="O8" s="3">
        <f t="shared" ref="O8:O15" si="7">-LN(1/100000000)/H8</f>
        <v>4886.1222132499643</v>
      </c>
      <c r="P8" s="3">
        <f t="shared" ref="P8:P15" si="8">-LN(1/10000000000)/H8</f>
        <v>6107.6527665624553</v>
      </c>
    </row>
    <row r="9" spans="1:16" x14ac:dyDescent="0.25">
      <c r="A9" s="14" t="s">
        <v>31</v>
      </c>
      <c r="B9" s="14"/>
      <c r="C9" s="14" t="s">
        <v>13</v>
      </c>
      <c r="D9" s="14" t="s">
        <v>26</v>
      </c>
      <c r="E9" s="14">
        <v>50</v>
      </c>
      <c r="F9" s="9">
        <f t="shared" si="2"/>
        <v>0.37685517070278979</v>
      </c>
      <c r="G9" s="9">
        <f t="shared" si="3"/>
        <v>3.768551707027898</v>
      </c>
      <c r="H9" s="10">
        <f>-LN(1/100)/K9</f>
        <v>3.7685517070278978E-3</v>
      </c>
      <c r="I9">
        <f t="shared" si="4"/>
        <v>0.79492932735069244</v>
      </c>
      <c r="J9" s="5">
        <f>-LN(1/10)/H9</f>
        <v>611</v>
      </c>
      <c r="K9" s="6">
        <v>1222</v>
      </c>
      <c r="L9" s="5">
        <f t="shared" ref="L9" si="9">-LN(1/1000)/H9</f>
        <v>1833</v>
      </c>
      <c r="M9" s="1">
        <f t="shared" si="5"/>
        <v>2444</v>
      </c>
      <c r="N9" s="3">
        <f t="shared" si="6"/>
        <v>3666</v>
      </c>
      <c r="O9" s="3">
        <f t="shared" si="7"/>
        <v>4888.0000000000009</v>
      </c>
      <c r="P9" s="3">
        <f t="shared" si="8"/>
        <v>6110.0000000000009</v>
      </c>
    </row>
    <row r="10" spans="1:16" x14ac:dyDescent="0.25">
      <c r="A10" s="22"/>
      <c r="B10" s="22" t="s">
        <v>45</v>
      </c>
      <c r="C10" s="14" t="s">
        <v>18</v>
      </c>
      <c r="D10" s="14" t="s">
        <v>27</v>
      </c>
      <c r="E10" s="14" t="s">
        <v>29</v>
      </c>
      <c r="F10" s="9">
        <f t="shared" si="2"/>
        <v>0.1872020400808167</v>
      </c>
      <c r="G10" s="9">
        <f t="shared" si="3"/>
        <v>1.8720204008081671</v>
      </c>
      <c r="H10" s="10">
        <f>-LN(1/10)/J10</f>
        <v>1.8720204008081671E-3</v>
      </c>
      <c r="I10">
        <f t="shared" si="4"/>
        <v>1.6002668946666969</v>
      </c>
      <c r="J10" s="6">
        <f>12.3*100</f>
        <v>1230</v>
      </c>
      <c r="K10" s="5">
        <f>-LN(1/100)/H10</f>
        <v>2460</v>
      </c>
      <c r="L10" s="5">
        <f>-LN(1/1000)/H10</f>
        <v>3690</v>
      </c>
      <c r="M10" s="1">
        <f t="shared" si="5"/>
        <v>4920</v>
      </c>
      <c r="N10" s="3">
        <f t="shared" si="6"/>
        <v>7380</v>
      </c>
      <c r="O10" s="3">
        <f t="shared" si="7"/>
        <v>9840.0000000000018</v>
      </c>
      <c r="P10" s="3">
        <f t="shared" si="8"/>
        <v>12300.000000000002</v>
      </c>
    </row>
    <row r="11" spans="1:16" x14ac:dyDescent="0.25">
      <c r="A11" s="14"/>
      <c r="B11" s="23" t="s">
        <v>46</v>
      </c>
      <c r="C11" s="14" t="s">
        <v>19</v>
      </c>
      <c r="D11" s="14" t="s">
        <v>28</v>
      </c>
      <c r="E11" s="14" t="s">
        <v>29</v>
      </c>
      <c r="F11" s="9">
        <f t="shared" si="2"/>
        <v>1.0165953455058416E-2</v>
      </c>
      <c r="G11" s="9">
        <f t="shared" si="3"/>
        <v>0.10165953455058416</v>
      </c>
      <c r="H11" s="11">
        <f>-LN(180/38000000)/(134*15*60)</f>
        <v>1.0165953455058416E-4</v>
      </c>
      <c r="I11">
        <f t="shared" si="4"/>
        <v>29.468286342225603</v>
      </c>
      <c r="J11" s="5">
        <f>-LN(1/10)/H11</f>
        <v>22649.966903481305</v>
      </c>
      <c r="K11" s="5">
        <f>-LN(1/100)/H11</f>
        <v>45299.93380696261</v>
      </c>
      <c r="L11" s="5">
        <f>-LN(1/1000)/H11</f>
        <v>67949.900710443922</v>
      </c>
      <c r="M11" s="1">
        <f t="shared" si="5"/>
        <v>90599.86761392522</v>
      </c>
      <c r="N11" s="3">
        <f t="shared" si="6"/>
        <v>135899.80142088784</v>
      </c>
      <c r="O11" s="3">
        <f t="shared" si="7"/>
        <v>181199.73522785047</v>
      </c>
      <c r="P11" s="3">
        <f t="shared" si="8"/>
        <v>226499.66903481307</v>
      </c>
    </row>
    <row r="12" spans="1:16" x14ac:dyDescent="0.25">
      <c r="A12" s="14" t="s">
        <v>33</v>
      </c>
      <c r="B12" s="23" t="s">
        <v>46</v>
      </c>
      <c r="C12" s="14" t="s">
        <v>19</v>
      </c>
      <c r="D12" s="14" t="s">
        <v>28</v>
      </c>
      <c r="E12" s="14" t="s">
        <v>29</v>
      </c>
      <c r="F12" s="9">
        <f t="shared" si="2"/>
        <v>5.1588911717566369E-2</v>
      </c>
      <c r="G12" s="9">
        <f t="shared" si="3"/>
        <v>0.51588911717566366</v>
      </c>
      <c r="H12" s="10">
        <f>-LN(1/1000)/L12</f>
        <v>5.1588911717566366E-4</v>
      </c>
      <c r="I12">
        <f t="shared" si="4"/>
        <v>5.8069305473135699</v>
      </c>
      <c r="J12" s="5">
        <f>-LN(1/10)/H12</f>
        <v>4463.333333333333</v>
      </c>
      <c r="K12" s="5">
        <f>-LN(1/100)/H12</f>
        <v>8926.6666666666661</v>
      </c>
      <c r="L12" s="6">
        <f>133.9*100</f>
        <v>13390</v>
      </c>
      <c r="M12" s="1">
        <f t="shared" si="5"/>
        <v>17853.333333333332</v>
      </c>
      <c r="N12" s="3">
        <f t="shared" si="6"/>
        <v>26780</v>
      </c>
      <c r="O12" s="3">
        <f t="shared" si="7"/>
        <v>35706.666666666672</v>
      </c>
      <c r="P12" s="3">
        <f t="shared" si="8"/>
        <v>44633.333333333336</v>
      </c>
    </row>
    <row r="13" spans="1:16" x14ac:dyDescent="0.25">
      <c r="A13" s="14" t="s">
        <v>32</v>
      </c>
      <c r="B13" s="23" t="s">
        <v>46</v>
      </c>
      <c r="C13" s="14" t="s">
        <v>19</v>
      </c>
      <c r="D13" s="14" t="s">
        <v>28</v>
      </c>
      <c r="E13" s="14" t="s">
        <v>29</v>
      </c>
      <c r="F13" s="9">
        <f t="shared" si="2"/>
        <v>4.4000000000000003E-3</v>
      </c>
      <c r="G13" s="9">
        <f t="shared" si="3"/>
        <v>4.3999999999999997E-2</v>
      </c>
      <c r="H13" s="11">
        <f>0.44/10^4</f>
        <v>4.3999999999999999E-5</v>
      </c>
      <c r="I13">
        <f t="shared" si="4"/>
        <v>68.084824398954339</v>
      </c>
      <c r="J13" s="5">
        <f>-LN(1/10)/H13</f>
        <v>52331.479386228304</v>
      </c>
      <c r="K13" s="5">
        <f>-LN(1/100)/H13</f>
        <v>104662.95877245661</v>
      </c>
      <c r="L13" s="5">
        <f>-LN(1/1000)/H13</f>
        <v>156994.43815868493</v>
      </c>
      <c r="M13" s="1">
        <f t="shared" si="5"/>
        <v>209325.91754491322</v>
      </c>
      <c r="N13" s="3">
        <f t="shared" si="6"/>
        <v>313988.87631736987</v>
      </c>
      <c r="O13" s="3">
        <f t="shared" si="7"/>
        <v>418651.83508982655</v>
      </c>
      <c r="P13" s="3">
        <f t="shared" si="8"/>
        <v>523314.79386228311</v>
      </c>
    </row>
    <row r="14" spans="1:16" x14ac:dyDescent="0.25">
      <c r="A14" s="14"/>
      <c r="B14" s="14"/>
      <c r="C14" s="14"/>
      <c r="D14" s="14"/>
      <c r="E14" s="14"/>
      <c r="F14" s="9"/>
      <c r="G14" s="9"/>
      <c r="J14" s="5"/>
      <c r="K14" s="5"/>
      <c r="L14" s="5"/>
      <c r="M14" s="1"/>
      <c r="N14" s="3"/>
      <c r="O14" s="3"/>
      <c r="P14" s="3"/>
    </row>
    <row r="15" spans="1:16" x14ac:dyDescent="0.25">
      <c r="A15" s="14" t="s">
        <v>38</v>
      </c>
      <c r="B15" s="14"/>
      <c r="C15" s="14" t="s">
        <v>11</v>
      </c>
      <c r="D15" s="14" t="s">
        <v>25</v>
      </c>
      <c r="E15" s="14">
        <v>50</v>
      </c>
      <c r="F15" s="9">
        <f t="shared" si="2"/>
        <v>0.21755266124600625</v>
      </c>
      <c r="G15" s="9">
        <f>H15*1000</f>
        <v>2.1755266124600623</v>
      </c>
      <c r="H15" s="20">
        <f>-LN(0.122)/(967)</f>
        <v>2.1755266124600624E-3</v>
      </c>
      <c r="I15">
        <f>-LN(5/100)/(H15*1000)</f>
        <v>1.3770147680089506</v>
      </c>
      <c r="J15" s="5">
        <f>-LN(1/10)/H15</f>
        <v>1058.4035514924392</v>
      </c>
      <c r="K15" s="5">
        <f>-LN(1/100)/H15</f>
        <v>2116.8071029848784</v>
      </c>
      <c r="L15" s="5">
        <f>-LN(1/1000)/H15</f>
        <v>3175.2106544773178</v>
      </c>
      <c r="M15" s="1">
        <f t="shared" si="5"/>
        <v>4233.6142059697568</v>
      </c>
      <c r="N15" s="3">
        <f t="shared" si="6"/>
        <v>6350.4213089546356</v>
      </c>
      <c r="O15" s="3">
        <f t="shared" si="7"/>
        <v>8467.2284119395154</v>
      </c>
      <c r="P15" s="3">
        <f t="shared" si="8"/>
        <v>10584.035514924393</v>
      </c>
    </row>
    <row r="16" spans="1:16" x14ac:dyDescent="0.25">
      <c r="A16" s="14"/>
      <c r="B16" s="14"/>
      <c r="C16" s="14"/>
      <c r="D16" s="14"/>
      <c r="E16" s="14"/>
      <c r="H16" s="10"/>
      <c r="I16" s="10"/>
    </row>
    <row r="17" spans="1:16" x14ac:dyDescent="0.25">
      <c r="A17" s="14"/>
      <c r="B17" s="14"/>
      <c r="C17" s="14" t="s">
        <v>21</v>
      </c>
      <c r="D17" s="14" t="s">
        <v>24</v>
      </c>
      <c r="E17" s="14">
        <v>45</v>
      </c>
      <c r="F17" s="9">
        <f t="shared" ref="F17:F22" si="10">H17*100</f>
        <v>3.7999999999999999E-2</v>
      </c>
      <c r="G17" s="9">
        <f>H17*1000</f>
        <v>0.37999999999999995</v>
      </c>
      <c r="H17" s="11">
        <f>3.8/10^4</f>
        <v>3.7999999999999997E-4</v>
      </c>
      <c r="I17">
        <f t="shared" ref="I17:I22" si="11">-LN(5/100)/(H17*1000)</f>
        <v>7.8835059830368195</v>
      </c>
      <c r="J17" s="5">
        <f t="shared" ref="J17:J22" si="12">-LN(1/10)/H17</f>
        <v>6059.4344552474886</v>
      </c>
      <c r="K17" s="5">
        <f t="shared" ref="K17:K22" si="13">-LN(1/100)/H17</f>
        <v>12118.868910494977</v>
      </c>
      <c r="L17" s="5">
        <f t="shared" ref="L17:L22" si="14">-LN(1/1000)/H17</f>
        <v>18178.303365742468</v>
      </c>
      <c r="M17" s="1">
        <f t="shared" ref="M17:M22" si="15">-LN(1/10000)/H17</f>
        <v>24237.737820989954</v>
      </c>
      <c r="N17" s="3">
        <f t="shared" ref="N17:N22" si="16">-LN(1/1000000)/H17</f>
        <v>36356.606731484935</v>
      </c>
      <c r="O17" s="3">
        <f t="shared" ref="O17:O22" si="17">-LN(1/100000000)/H17</f>
        <v>48475.475641979916</v>
      </c>
      <c r="P17" s="3">
        <f t="shared" ref="P17:P22" si="18">-LN(1/10000000000)/H17</f>
        <v>60594.344552474889</v>
      </c>
    </row>
    <row r="18" spans="1:16" x14ac:dyDescent="0.25">
      <c r="A18" s="14"/>
      <c r="B18" s="14"/>
      <c r="C18" s="14" t="s">
        <v>22</v>
      </c>
      <c r="D18" s="14" t="s">
        <v>24</v>
      </c>
      <c r="E18" s="14">
        <v>55</v>
      </c>
      <c r="F18" s="9">
        <f t="shared" si="10"/>
        <v>0.80999999999999994</v>
      </c>
      <c r="G18" s="9">
        <f>H18*1000</f>
        <v>8.1</v>
      </c>
      <c r="H18" s="11">
        <v>8.0999999999999996E-3</v>
      </c>
      <c r="I18">
        <f t="shared" si="11"/>
        <v>0.3698434905622211</v>
      </c>
      <c r="J18" s="5">
        <f t="shared" si="12"/>
        <v>284.26976456716613</v>
      </c>
      <c r="K18" s="5">
        <f t="shared" si="13"/>
        <v>568.53952913433227</v>
      </c>
      <c r="L18" s="5">
        <f t="shared" si="14"/>
        <v>852.8092937014984</v>
      </c>
      <c r="M18" s="1">
        <f t="shared" si="15"/>
        <v>1137.0790582686645</v>
      </c>
      <c r="N18" s="3">
        <f t="shared" si="16"/>
        <v>1705.6185874029968</v>
      </c>
      <c r="O18" s="3">
        <f t="shared" si="17"/>
        <v>2274.1581165373295</v>
      </c>
      <c r="P18" s="3">
        <f t="shared" si="18"/>
        <v>2842.6976456716616</v>
      </c>
    </row>
    <row r="19" spans="1:16" x14ac:dyDescent="0.25">
      <c r="A19" s="14"/>
      <c r="B19" s="14"/>
      <c r="C19" s="14" t="s">
        <v>36</v>
      </c>
      <c r="D19" s="14" t="s">
        <v>24</v>
      </c>
      <c r="E19" s="14">
        <v>55</v>
      </c>
      <c r="F19" s="9">
        <f t="shared" si="10"/>
        <v>8.5999999999999993E-2</v>
      </c>
      <c r="G19" s="8">
        <v>0.86</v>
      </c>
      <c r="H19">
        <f>G19/1000</f>
        <v>8.5999999999999998E-4</v>
      </c>
      <c r="I19">
        <f t="shared" si="11"/>
        <v>3.4834096204116172</v>
      </c>
      <c r="J19" s="5">
        <f t="shared" si="12"/>
        <v>2677.4245267372621</v>
      </c>
      <c r="K19" s="5">
        <f t="shared" si="13"/>
        <v>5354.8490534745242</v>
      </c>
      <c r="L19" s="5">
        <f t="shared" si="14"/>
        <v>8032.2735802117868</v>
      </c>
      <c r="M19" s="1">
        <f t="shared" si="15"/>
        <v>10709.698106949048</v>
      </c>
      <c r="N19" s="3">
        <f t="shared" si="16"/>
        <v>16064.547160423574</v>
      </c>
      <c r="O19" s="3">
        <f t="shared" si="17"/>
        <v>21419.396213898101</v>
      </c>
      <c r="P19" s="3">
        <f t="shared" si="18"/>
        <v>26774.245267372626</v>
      </c>
    </row>
    <row r="20" spans="1:16" x14ac:dyDescent="0.25">
      <c r="A20" s="14"/>
      <c r="B20" s="14"/>
      <c r="C20" s="14" t="s">
        <v>21</v>
      </c>
      <c r="D20" s="14" t="s">
        <v>24</v>
      </c>
      <c r="E20" s="14">
        <v>80</v>
      </c>
      <c r="F20" s="9">
        <f t="shared" si="10"/>
        <v>4.7999999999999994E-2</v>
      </c>
      <c r="G20" s="9">
        <f>H20*1000</f>
        <v>0.48</v>
      </c>
      <c r="H20" s="11">
        <f>4.8/10^4</f>
        <v>4.7999999999999996E-4</v>
      </c>
      <c r="I20">
        <f t="shared" si="11"/>
        <v>6.2411089032374809</v>
      </c>
      <c r="J20" s="5">
        <f t="shared" si="12"/>
        <v>4797.0522770709285</v>
      </c>
      <c r="K20" s="5">
        <f t="shared" si="13"/>
        <v>9594.1045541418571</v>
      </c>
      <c r="L20" s="5">
        <f t="shared" si="14"/>
        <v>14391.156831212786</v>
      </c>
      <c r="M20" s="1">
        <f t="shared" si="15"/>
        <v>19188.209108283714</v>
      </c>
      <c r="N20" s="3">
        <f t="shared" si="16"/>
        <v>28782.313662425571</v>
      </c>
      <c r="O20" s="3">
        <f t="shared" si="17"/>
        <v>38376.418216567436</v>
      </c>
      <c r="P20" s="3">
        <f t="shared" si="18"/>
        <v>47970.522770709293</v>
      </c>
    </row>
    <row r="21" spans="1:16" x14ac:dyDescent="0.25">
      <c r="A21" s="14"/>
      <c r="B21" s="14"/>
      <c r="C21" s="14" t="s">
        <v>22</v>
      </c>
      <c r="D21" s="14" t="s">
        <v>24</v>
      </c>
      <c r="E21" s="14">
        <v>85</v>
      </c>
      <c r="F21" s="9">
        <f t="shared" si="10"/>
        <v>0.64</v>
      </c>
      <c r="G21" s="9">
        <f>H21*1000</f>
        <v>6.4</v>
      </c>
      <c r="H21" s="11">
        <v>6.4000000000000003E-3</v>
      </c>
      <c r="I21">
        <f t="shared" si="11"/>
        <v>0.46808316774281106</v>
      </c>
      <c r="J21" s="5">
        <f t="shared" si="12"/>
        <v>359.77892078031959</v>
      </c>
      <c r="K21" s="5">
        <f t="shared" si="13"/>
        <v>719.55784156063919</v>
      </c>
      <c r="L21" s="5">
        <f t="shared" si="14"/>
        <v>1079.3367623409588</v>
      </c>
      <c r="M21" s="1">
        <f t="shared" si="15"/>
        <v>1439.1156831212784</v>
      </c>
      <c r="N21" s="3">
        <f t="shared" si="16"/>
        <v>2158.6735246819176</v>
      </c>
      <c r="O21" s="3">
        <f t="shared" si="17"/>
        <v>2878.2313662425572</v>
      </c>
      <c r="P21" s="3">
        <f t="shared" si="18"/>
        <v>3597.7892078031964</v>
      </c>
    </row>
    <row r="22" spans="1:16" x14ac:dyDescent="0.25">
      <c r="A22" s="14"/>
      <c r="B22" s="14"/>
      <c r="C22" s="14" t="s">
        <v>36</v>
      </c>
      <c r="D22" s="14" t="s">
        <v>24</v>
      </c>
      <c r="E22" s="14">
        <v>85</v>
      </c>
      <c r="F22" s="9">
        <f t="shared" si="10"/>
        <v>9.4E-2</v>
      </c>
      <c r="G22" s="8">
        <v>0.94</v>
      </c>
      <c r="H22">
        <f>G22/1000</f>
        <v>9.3999999999999997E-4</v>
      </c>
      <c r="I22">
        <f t="shared" si="11"/>
        <v>3.1869492271850968</v>
      </c>
      <c r="J22" s="5">
        <f t="shared" si="12"/>
        <v>2449.5586095681338</v>
      </c>
      <c r="K22" s="5">
        <f t="shared" si="13"/>
        <v>4899.1172191362675</v>
      </c>
      <c r="L22" s="5">
        <f t="shared" si="14"/>
        <v>7348.6758287044013</v>
      </c>
      <c r="M22" s="1">
        <f t="shared" si="15"/>
        <v>9798.234438272535</v>
      </c>
      <c r="N22" s="3">
        <f t="shared" si="16"/>
        <v>14697.351657408803</v>
      </c>
      <c r="O22" s="3">
        <f t="shared" si="17"/>
        <v>19596.468876545074</v>
      </c>
      <c r="P22" s="3">
        <f t="shared" si="18"/>
        <v>24495.586095681338</v>
      </c>
    </row>
    <row r="23" spans="1:16" x14ac:dyDescent="0.25">
      <c r="A23" s="14"/>
      <c r="B23" s="14"/>
      <c r="C23" s="14"/>
      <c r="D23" s="14"/>
      <c r="E23" s="14"/>
      <c r="F23" s="9"/>
      <c r="G23" s="9"/>
      <c r="H23" s="10"/>
      <c r="I23" s="10"/>
      <c r="J23" s="5"/>
      <c r="K23" s="5"/>
      <c r="L23" s="5"/>
      <c r="M23" s="1"/>
      <c r="N23" s="3"/>
      <c r="O23" s="3"/>
      <c r="P23" s="3"/>
    </row>
    <row r="24" spans="1:16" x14ac:dyDescent="0.25">
      <c r="A24" s="14" t="s">
        <v>38</v>
      </c>
      <c r="B24" s="14"/>
      <c r="C24" s="14" t="s">
        <v>21</v>
      </c>
      <c r="D24" s="14" t="s">
        <v>24</v>
      </c>
      <c r="E24" s="14">
        <v>45</v>
      </c>
      <c r="F24" s="9">
        <f t="shared" ref="F24:F29" si="19">H24*100</f>
        <v>0.12078204413680485</v>
      </c>
      <c r="G24" s="9">
        <f t="shared" ref="G24:G29" si="20">H24*1000</f>
        <v>1.2078204413680484</v>
      </c>
      <c r="H24" s="19">
        <f>-LN(0.311)/(967)</f>
        <v>1.2078204413680485E-3</v>
      </c>
      <c r="I24">
        <f t="shared" ref="I24:I29" si="21">-LN(5/100)/(H24*1000)</f>
        <v>2.4802794943268625</v>
      </c>
      <c r="J24" s="5">
        <f t="shared" ref="J24:J25" si="22">-LN(1/10)/H24</f>
        <v>1906.3968567927216</v>
      </c>
      <c r="K24" s="5">
        <f t="shared" ref="K24:K25" si="23">-LN(1/100)/H24</f>
        <v>3812.7937135854431</v>
      </c>
      <c r="L24" s="5">
        <f t="shared" ref="L24:L25" si="24">-LN(1/1000)/H24</f>
        <v>5719.1905703781649</v>
      </c>
      <c r="M24" s="1">
        <f t="shared" ref="M24:M25" si="25">-LN(1/10000)/H24</f>
        <v>7625.5874271708863</v>
      </c>
      <c r="N24" s="3">
        <f t="shared" ref="N24:N25" si="26">-LN(1/1000000)/H24</f>
        <v>11438.38114075633</v>
      </c>
      <c r="O24" s="3">
        <f t="shared" ref="O24:O25" si="27">-LN(1/100000000)/H24</f>
        <v>15251.174854341776</v>
      </c>
      <c r="P24" s="3">
        <f t="shared" ref="P24:P25" si="28">-LN(1/10000000000)/H24</f>
        <v>19063.968567927219</v>
      </c>
    </row>
    <row r="25" spans="1:16" x14ac:dyDescent="0.25">
      <c r="A25" s="14" t="s">
        <v>39</v>
      </c>
      <c r="B25" s="14"/>
      <c r="C25" s="14" t="s">
        <v>22</v>
      </c>
      <c r="D25" s="14" t="s">
        <v>24</v>
      </c>
      <c r="E25" s="14">
        <v>55</v>
      </c>
      <c r="F25" s="9">
        <f t="shared" si="19"/>
        <v>0.14599999999999999</v>
      </c>
      <c r="G25" s="9">
        <f t="shared" si="20"/>
        <v>1.46</v>
      </c>
      <c r="H25" s="19">
        <v>1.4599999999999999E-3</v>
      </c>
      <c r="I25">
        <f t="shared" si="21"/>
        <v>2.0518714202424597</v>
      </c>
      <c r="J25" s="5">
        <f t="shared" si="22"/>
        <v>1577.1130773931818</v>
      </c>
      <c r="K25" s="5">
        <f t="shared" si="23"/>
        <v>3154.2261547863636</v>
      </c>
      <c r="L25" s="5">
        <f t="shared" si="24"/>
        <v>4731.3392321795463</v>
      </c>
      <c r="M25" s="1">
        <f t="shared" si="25"/>
        <v>6308.4523095727272</v>
      </c>
      <c r="N25" s="3">
        <f t="shared" si="26"/>
        <v>9462.6784643590927</v>
      </c>
      <c r="O25" s="3">
        <f t="shared" si="27"/>
        <v>12616.904619145458</v>
      </c>
      <c r="P25" s="3">
        <f t="shared" si="28"/>
        <v>15771.13077393182</v>
      </c>
    </row>
    <row r="26" spans="1:16" x14ac:dyDescent="0.25">
      <c r="A26" s="14" t="s">
        <v>37</v>
      </c>
      <c r="B26" s="14"/>
      <c r="C26" s="14" t="s">
        <v>36</v>
      </c>
      <c r="D26" s="14" t="s">
        <v>24</v>
      </c>
      <c r="E26" s="14">
        <v>55</v>
      </c>
      <c r="F26" s="9">
        <f t="shared" si="19"/>
        <v>0.132328674060748</v>
      </c>
      <c r="G26" s="9">
        <f t="shared" si="20"/>
        <v>1.32328674060748</v>
      </c>
      <c r="H26" s="21">
        <f>-LN(1/10)/(2677*0.65)</f>
        <v>1.32328674060748E-3</v>
      </c>
      <c r="I26">
        <f t="shared" si="21"/>
        <v>2.2638572439551106</v>
      </c>
      <c r="J26" s="5">
        <f>-LN(1/10)/H26</f>
        <v>1740.05</v>
      </c>
      <c r="K26" s="5">
        <f>-LN(1/100)/H26</f>
        <v>3480.1</v>
      </c>
      <c r="L26" s="5">
        <f>-LN(1/1000)/H26</f>
        <v>5220.1500000000005</v>
      </c>
      <c r="M26" s="1">
        <f>-LN(1/10000)/H26</f>
        <v>6960.2</v>
      </c>
      <c r="N26" s="3">
        <f>-LN(1/1000000)/H26</f>
        <v>10440.300000000001</v>
      </c>
      <c r="O26" s="3">
        <f>-LN(1/100000000)/H26</f>
        <v>13920.400000000001</v>
      </c>
      <c r="P26" s="3">
        <f>-LN(1/10000000000)/H26</f>
        <v>17400.5</v>
      </c>
    </row>
    <row r="27" spans="1:16" x14ac:dyDescent="0.25">
      <c r="A27" s="14" t="s">
        <v>38</v>
      </c>
      <c r="B27" s="14"/>
      <c r="C27" s="14" t="s">
        <v>21</v>
      </c>
      <c r="D27" s="14" t="s">
        <v>24</v>
      </c>
      <c r="E27" s="14">
        <v>80</v>
      </c>
      <c r="F27" s="9">
        <f t="shared" si="19"/>
        <v>0.14502830848498183</v>
      </c>
      <c r="G27" s="9">
        <f t="shared" si="20"/>
        <v>1.4502830848498183</v>
      </c>
      <c r="H27" s="20">
        <f>-LN(0.246)/(967)</f>
        <v>1.4502830848498183E-3</v>
      </c>
      <c r="I27">
        <f t="shared" si="21"/>
        <v>2.0656189849061151</v>
      </c>
      <c r="J27" s="5">
        <f>-LN(1/10)/H27</f>
        <v>1587.6797551096627</v>
      </c>
      <c r="K27" s="5">
        <f>-LN(1/100)/H27</f>
        <v>3175.3595102193253</v>
      </c>
      <c r="L27" s="5">
        <f>-LN(1/1000)/H27</f>
        <v>4763.0392653289882</v>
      </c>
      <c r="M27" s="1">
        <f>-LN(1/10000)/H27</f>
        <v>6350.7190204386507</v>
      </c>
      <c r="N27" s="3">
        <f>-LN(1/1000000)/H27</f>
        <v>9526.0785306579764</v>
      </c>
      <c r="O27" s="3">
        <f>-LN(1/100000000)/H27</f>
        <v>12701.438040877303</v>
      </c>
      <c r="P27" s="3">
        <f>-LN(1/10000000000)/H27</f>
        <v>15876.797551096628</v>
      </c>
    </row>
    <row r="28" spans="1:16" x14ac:dyDescent="0.25">
      <c r="A28" s="14" t="s">
        <v>39</v>
      </c>
      <c r="B28" s="14"/>
      <c r="C28" s="14" t="s">
        <v>22</v>
      </c>
      <c r="D28" s="14" t="s">
        <v>24</v>
      </c>
      <c r="E28" s="14">
        <v>85</v>
      </c>
      <c r="F28" s="9">
        <f t="shared" si="19"/>
        <v>0.129</v>
      </c>
      <c r="G28" s="9">
        <f t="shared" si="20"/>
        <v>1.2899999999999998</v>
      </c>
      <c r="H28" s="20">
        <v>1.2899999999999999E-3</v>
      </c>
      <c r="I28">
        <f t="shared" si="21"/>
        <v>2.322273080274412</v>
      </c>
      <c r="J28" s="5">
        <f>-LN(1/10)/H28</f>
        <v>1784.9496844915082</v>
      </c>
      <c r="K28" s="5">
        <f>-LN(1/100)/H28</f>
        <v>3569.8993689830163</v>
      </c>
      <c r="L28" s="5">
        <f>-LN(1/1000)/H28</f>
        <v>5354.8490534745251</v>
      </c>
      <c r="M28" s="1">
        <f>-LN(1/10000)/H28</f>
        <v>7139.7987379660326</v>
      </c>
      <c r="N28" s="3">
        <f>-LN(1/1000000)/H28</f>
        <v>10709.69810694905</v>
      </c>
      <c r="O28" s="3">
        <f>-LN(1/100000000)/H28</f>
        <v>14279.597475932069</v>
      </c>
      <c r="P28" s="3">
        <f>-LN(1/10000000000)/H28</f>
        <v>17849.496844915084</v>
      </c>
    </row>
    <row r="29" spans="1:16" x14ac:dyDescent="0.25">
      <c r="A29" s="14" t="s">
        <v>37</v>
      </c>
      <c r="B29" s="14"/>
      <c r="C29" s="14" t="s">
        <v>36</v>
      </c>
      <c r="D29" s="14" t="s">
        <v>24</v>
      </c>
      <c r="E29" s="14">
        <v>85</v>
      </c>
      <c r="F29" s="9">
        <f t="shared" si="19"/>
        <v>0.14458933080025405</v>
      </c>
      <c r="G29" s="9">
        <f t="shared" si="20"/>
        <v>1.4458933080025402</v>
      </c>
      <c r="H29" s="21">
        <f>-LN(1/10)/(2450*0.65)</f>
        <v>1.4458933080025403E-3</v>
      </c>
      <c r="I29">
        <f t="shared" si="21"/>
        <v>2.0718902680948901</v>
      </c>
      <c r="J29" s="5">
        <f>-LN(1/10)/H29</f>
        <v>1592.5</v>
      </c>
      <c r="K29" s="5">
        <f>-LN(1/100)/H29</f>
        <v>3185</v>
      </c>
      <c r="L29" s="5">
        <f>-LN(1/1000)/H29</f>
        <v>4777.5</v>
      </c>
      <c r="M29" s="1">
        <f>-LN(1/10000)/H29</f>
        <v>6370</v>
      </c>
      <c r="N29" s="3">
        <f>-LN(1/1000000)/H29</f>
        <v>9555</v>
      </c>
      <c r="O29" s="3">
        <f>-LN(1/100000000)/H29</f>
        <v>12740.000000000002</v>
      </c>
      <c r="P29" s="3">
        <f>-LN(1/10000000000)/H29</f>
        <v>15925.000000000002</v>
      </c>
    </row>
    <row r="31" spans="1:16" ht="14.45" customHeight="1" x14ac:dyDescent="0.25">
      <c r="A31" s="24" t="s">
        <v>34</v>
      </c>
      <c r="B31" s="24"/>
      <c r="C31" s="24"/>
      <c r="D31" s="24"/>
      <c r="F31" s="9">
        <f t="shared" ref="F31" si="29">H31*100</f>
        <v>0.22</v>
      </c>
      <c r="G31" s="9">
        <f t="shared" ref="G31" si="30">H31*1000</f>
        <v>2.2000000000000002</v>
      </c>
      <c r="H31" s="20">
        <v>2.2000000000000001E-3</v>
      </c>
      <c r="I31">
        <f>-LN(5/100)/(H31*1000)</f>
        <v>1.3616964879790867</v>
      </c>
      <c r="J31" s="5">
        <f>-LN(1/10)/H31</f>
        <v>1046.6295877245661</v>
      </c>
      <c r="K31" s="5">
        <f>-LN(1/100)/H31</f>
        <v>2093.2591754491323</v>
      </c>
      <c r="L31" s="5">
        <f>-LN(1/1000)/H31</f>
        <v>3139.8887631736984</v>
      </c>
      <c r="M31" s="1">
        <f t="shared" ref="M31" si="31">-LN(1/10000)/H31</f>
        <v>4186.5183508982645</v>
      </c>
      <c r="N31" s="3">
        <f t="shared" ref="N31" si="32">-LN(1/1000000)/H31</f>
        <v>6279.7775263473968</v>
      </c>
      <c r="O31" s="3">
        <f t="shared" ref="O31" si="33">-LN(1/100000000)/H31</f>
        <v>8373.0367017965309</v>
      </c>
      <c r="P31" s="3">
        <f t="shared" ref="P31" si="34">-LN(1/10000000000)/H31</f>
        <v>10466.295877245662</v>
      </c>
    </row>
    <row r="32" spans="1:16" x14ac:dyDescent="0.25">
      <c r="A32" s="24"/>
      <c r="B32" s="24"/>
      <c r="C32" s="24"/>
      <c r="D32" s="24"/>
    </row>
    <row r="33" spans="1:16" x14ac:dyDescent="0.25">
      <c r="A33" s="24"/>
      <c r="B33" s="24"/>
      <c r="C33" s="24"/>
      <c r="D33" s="24"/>
    </row>
    <row r="34" spans="1:16" x14ac:dyDescent="0.25">
      <c r="A34" s="25" t="s">
        <v>47</v>
      </c>
      <c r="B34" s="26"/>
      <c r="C34" s="26"/>
      <c r="D34" s="27"/>
    </row>
    <row r="36" spans="1:16" s="12" customFormat="1" ht="30" x14ac:dyDescent="0.25">
      <c r="A36" s="16" t="s">
        <v>43</v>
      </c>
      <c r="B36" s="16" t="s">
        <v>44</v>
      </c>
      <c r="C36" s="16" t="s">
        <v>5</v>
      </c>
      <c r="D36" s="16" t="s">
        <v>6</v>
      </c>
      <c r="E36" s="16" t="s">
        <v>7</v>
      </c>
      <c r="F36" s="17" t="s">
        <v>23</v>
      </c>
      <c r="G36" s="17" t="s">
        <v>35</v>
      </c>
      <c r="H36" s="17" t="s">
        <v>1</v>
      </c>
      <c r="I36" s="17" t="s">
        <v>41</v>
      </c>
      <c r="J36" s="17" t="s">
        <v>17</v>
      </c>
      <c r="K36" s="18" t="s">
        <v>2</v>
      </c>
      <c r="L36" s="18" t="s">
        <v>20</v>
      </c>
      <c r="M36" s="18" t="s">
        <v>3</v>
      </c>
      <c r="N36" s="18" t="s">
        <v>4</v>
      </c>
      <c r="O36" s="18" t="s">
        <v>14</v>
      </c>
      <c r="P36" s="18" t="s">
        <v>15</v>
      </c>
    </row>
    <row r="37" spans="1:16" x14ac:dyDescent="0.25">
      <c r="A37" s="14" t="s">
        <v>42</v>
      </c>
      <c r="B37" s="22" t="s">
        <v>45</v>
      </c>
      <c r="C37" s="14" t="s">
        <v>40</v>
      </c>
      <c r="D37" s="14" t="s">
        <v>0</v>
      </c>
      <c r="E37" s="14">
        <v>55</v>
      </c>
      <c r="F37" s="9">
        <f t="shared" ref="F37" si="35">H37*100</f>
        <v>0.18</v>
      </c>
      <c r="G37" s="8">
        <v>1.8</v>
      </c>
      <c r="H37">
        <f>G37/1000</f>
        <v>1.8E-3</v>
      </c>
      <c r="I37">
        <f>-LN(5/100)/(H37*1000)</f>
        <v>1.6642957075299949</v>
      </c>
      <c r="J37" s="5">
        <f t="shared" ref="J37" si="36">-LN(1/10)/H37</f>
        <v>1279.2139405522475</v>
      </c>
      <c r="K37" s="5">
        <f t="shared" ref="K37" si="37">-LN(1/100)/H37</f>
        <v>2558.4278811044951</v>
      </c>
      <c r="L37" s="5">
        <f t="shared" ref="L37" si="38">-LN(1/1000)/H37</f>
        <v>3837.6418216567426</v>
      </c>
      <c r="M37" s="1">
        <f t="shared" ref="M37" si="39">-LN(1/10000)/H37</f>
        <v>5116.8557622089902</v>
      </c>
      <c r="N37" s="3">
        <f t="shared" ref="N37" si="40">-LN(1/1000000)/H37</f>
        <v>7675.2836433134853</v>
      </c>
      <c r="O37" s="3">
        <f t="shared" ref="O37" si="41">-LN(1/100000000)/H37</f>
        <v>10233.711524417982</v>
      </c>
      <c r="P37" s="3">
        <f t="shared" ref="P37" si="42">-LN(1/10000000000)/H37</f>
        <v>12792.139405522477</v>
      </c>
    </row>
  </sheetData>
  <mergeCells count="2">
    <mergeCell ref="A31:D33"/>
    <mergeCell ref="A34:D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2020-08-02T19:59:26Z</dcterms:created>
  <dcterms:modified xsi:type="dcterms:W3CDTF">2023-01-13T07:02:37Z</dcterms:modified>
</cp:coreProperties>
</file>