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OneDrive\Projects\wireCalculatorAC\"/>
    </mc:Choice>
  </mc:AlternateContent>
  <xr:revisionPtr revIDLastSave="218" documentId="8_{9605868C-FC5D-4758-8C59-2876D8DBB6D2}" xr6:coauthVersionLast="45" xr6:coauthVersionMax="45" xr10:uidLastSave="{3E3A58F0-CDA0-4A1B-8265-DEF99B19684D}"/>
  <workbookProtection workbookAlgorithmName="SHA-512" workbookHashValue="KW6H2vPv6KJWNSACT0qOCFyT/biPO/u1qGilu7NU7805tM9xeZNThy/lefsXWKY7zL84gohJbt3+HpZIcBRvTQ==" workbookSaltValue="UGfW5jXc6Bjh1Qh8H7l9JQ==" workbookSpinCount="100000" lockStructure="1"/>
  <bookViews>
    <workbookView xWindow="-120" yWindow="-120" windowWidth="29040" windowHeight="15840" tabRatio="746" xr2:uid="{BFDAD5A9-2052-4A8A-80AC-2EDD1E0046A8}"/>
  </bookViews>
  <sheets>
    <sheet name="UI" sheetId="1" r:id="rId1"/>
    <sheet name="wire calculator" sheetId="2" state="hidden" r:id="rId2"/>
    <sheet name="Trade Size" sheetId="3" state="hidden" r:id="rId3"/>
    <sheet name="310.15(b)(3)(a)" sheetId="4" state="hidden" r:id="rId4"/>
    <sheet name="250.66" sheetId="5" state="hidden" r:id="rId5"/>
    <sheet name="250.102(C)(1)" sheetId="13" state="hidden" r:id="rId6"/>
    <sheet name="250.122" sheetId="6" state="hidden" r:id="rId7"/>
    <sheet name="310.15(B)(16)" sheetId="7" state="hidden" r:id="rId8"/>
    <sheet name="310.15(B)(17)" sheetId="8" state="hidden" r:id="rId9"/>
    <sheet name="310.15(B)(18)" sheetId="11" state="hidden" r:id="rId10"/>
    <sheet name="310.15(B)(19)" sheetId="12" state="hidden" r:id="rId11"/>
    <sheet name="NOT USED chapter 9 table 8" sheetId="10" state="hidden" r:id="rId12"/>
    <sheet name="chapter 9 table 9" sheetId="9" state="hidden" r:id="rId13"/>
  </sheets>
  <definedNames>
    <definedName name="_xlnm.Print_Area" localSheetId="0">UI!$A$1:$G$40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3" l="1"/>
  <c r="E6" i="13"/>
  <c r="E5" i="13"/>
  <c r="E4" i="13"/>
  <c r="E3" i="13"/>
  <c r="E2" i="13"/>
  <c r="E1" i="13"/>
  <c r="B7" i="13"/>
  <c r="B6" i="13"/>
  <c r="B5" i="13"/>
  <c r="B4" i="13"/>
  <c r="B3" i="13"/>
  <c r="B1" i="13"/>
  <c r="E2" i="5"/>
  <c r="E7" i="5"/>
  <c r="E6" i="5"/>
  <c r="E5" i="5"/>
  <c r="E4" i="5"/>
  <c r="E3" i="5"/>
  <c r="E1" i="5"/>
  <c r="B7" i="5"/>
  <c r="B6" i="5"/>
  <c r="B5" i="5"/>
  <c r="B4" i="5"/>
  <c r="B3" i="5"/>
  <c r="B1" i="5"/>
  <c r="M17" i="9"/>
  <c r="O17" i="9"/>
  <c r="C53" i="2"/>
  <c r="L17" i="9"/>
  <c r="C49" i="2"/>
  <c r="C48" i="2"/>
  <c r="B29" i="9"/>
  <c r="B30" i="9"/>
  <c r="C50" i="2"/>
  <c r="C47" i="2"/>
  <c r="C46" i="2"/>
  <c r="C23" i="2"/>
  <c r="C16" i="2"/>
  <c r="C26" i="2" s="1"/>
  <c r="C44" i="2"/>
  <c r="C42" i="2"/>
  <c r="C41" i="2"/>
  <c r="B1" i="9"/>
  <c r="B2" i="9"/>
  <c r="B3" i="9"/>
  <c r="B4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  <c r="B1" i="10"/>
  <c r="A1" i="10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" i="12"/>
  <c r="A1" i="12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  <c r="A1" i="8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E5" i="2"/>
  <c r="A4" i="7"/>
  <c r="A3" i="7"/>
  <c r="A2" i="7"/>
  <c r="A1" i="7"/>
  <c r="E4" i="2"/>
  <c r="F4" i="2"/>
  <c r="E3" i="2"/>
  <c r="F3" i="2"/>
  <c r="E2" i="2"/>
  <c r="F2" i="2"/>
  <c r="E1" i="2"/>
  <c r="F1" i="2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C20" i="2"/>
  <c r="E30" i="2"/>
  <c r="F30" i="2"/>
  <c r="E29" i="2"/>
  <c r="F29" i="2"/>
  <c r="E28" i="2"/>
  <c r="F28" i="2"/>
  <c r="E27" i="2"/>
  <c r="F27" i="2"/>
  <c r="E26" i="2"/>
  <c r="F26" i="2"/>
  <c r="E25" i="2"/>
  <c r="F25" i="2"/>
  <c r="E24" i="2"/>
  <c r="F24" i="2"/>
  <c r="E23" i="2"/>
  <c r="F23" i="2"/>
  <c r="E22" i="2"/>
  <c r="F22" i="2"/>
  <c r="E21" i="2"/>
  <c r="F21" i="2"/>
  <c r="E20" i="2"/>
  <c r="F20" i="2"/>
  <c r="E19" i="2"/>
  <c r="F19" i="2"/>
  <c r="E18" i="2"/>
  <c r="F18" i="2"/>
  <c r="E17" i="2"/>
  <c r="F17" i="2"/>
  <c r="E16" i="2"/>
  <c r="F16" i="2"/>
  <c r="E15" i="2"/>
  <c r="F15" i="2"/>
  <c r="E14" i="2"/>
  <c r="F14" i="2"/>
  <c r="E13" i="2"/>
  <c r="F13" i="2"/>
  <c r="E12" i="2"/>
  <c r="F12" i="2"/>
  <c r="E11" i="2"/>
  <c r="F11" i="2"/>
  <c r="E10" i="2"/>
  <c r="F10" i="2"/>
  <c r="E9" i="2"/>
  <c r="F9" i="2"/>
  <c r="E8" i="2"/>
  <c r="F8" i="2"/>
  <c r="E7" i="2"/>
  <c r="F7" i="2"/>
  <c r="E6" i="2"/>
  <c r="F6" i="2"/>
  <c r="F5" i="2"/>
  <c r="C5" i="2"/>
  <c r="C2" i="2"/>
  <c r="C40" i="2"/>
  <c r="C43" i="2" s="1"/>
  <c r="C36" i="2"/>
  <c r="E20" i="1" s="1"/>
  <c r="AA11" i="2" l="1"/>
  <c r="AA4" i="2"/>
  <c r="AF2" i="2"/>
  <c r="AD21" i="2"/>
  <c r="AJ28" i="2"/>
  <c r="AB16" i="2"/>
  <c r="AG24" i="2"/>
  <c r="AA1" i="2"/>
  <c r="AD7" i="2"/>
  <c r="AE8" i="2"/>
  <c r="AF18" i="2"/>
  <c r="AE18" i="2"/>
  <c r="AE6" i="2"/>
  <c r="AI1" i="2"/>
  <c r="AB20" i="2"/>
  <c r="AB23" i="2"/>
  <c r="AE25" i="2"/>
  <c r="AC18" i="2"/>
  <c r="AG12" i="2"/>
  <c r="AE29" i="2"/>
  <c r="AJ12" i="2"/>
  <c r="AJ27" i="2"/>
  <c r="AA3" i="2"/>
  <c r="AA9" i="2"/>
  <c r="AH17" i="2"/>
  <c r="C32" i="2"/>
  <c r="C30" i="2"/>
  <c r="C24" i="2"/>
  <c r="C31" i="2"/>
  <c r="C25" i="2"/>
  <c r="C27" i="2"/>
  <c r="C33" i="2"/>
  <c r="C19" i="2"/>
  <c r="C28" i="2"/>
  <c r="C29" i="2"/>
  <c r="C18" i="2"/>
  <c r="AF8" i="2"/>
  <c r="AF26" i="2"/>
  <c r="AB19" i="2"/>
  <c r="AD20" i="2"/>
  <c r="AE11" i="2"/>
  <c r="AI4" i="2"/>
  <c r="AC6" i="2"/>
  <c r="AI10" i="2"/>
  <c r="AD5" i="2"/>
  <c r="AG16" i="2"/>
  <c r="AI11" i="2"/>
  <c r="AI21" i="2"/>
  <c r="AA30" i="2"/>
  <c r="AE2" i="2"/>
  <c r="AF20" i="2"/>
  <c r="AE22" i="2"/>
  <c r="AD29" i="2"/>
  <c r="AF28" i="2"/>
  <c r="AG28" i="2"/>
  <c r="AA28" i="2"/>
  <c r="AB8" i="2"/>
  <c r="AH8" i="2"/>
  <c r="AG22" i="2"/>
  <c r="AC24" i="2"/>
  <c r="AC15" i="2"/>
  <c r="AF25" i="2"/>
  <c r="AG27" i="2"/>
  <c r="AJ7" i="2"/>
  <c r="AB24" i="2"/>
  <c r="AG6" i="2"/>
  <c r="AC16" i="2"/>
  <c r="AI2" i="2"/>
  <c r="AB25" i="2"/>
  <c r="AH14" i="2"/>
  <c r="AF4" i="2"/>
  <c r="AD13" i="2"/>
  <c r="AB26" i="2"/>
  <c r="AA19" i="2"/>
  <c r="AD28" i="2"/>
  <c r="AD24" i="2"/>
  <c r="AD19" i="2"/>
  <c r="AF11" i="2"/>
  <c r="AG5" i="2"/>
  <c r="AD26" i="2"/>
  <c r="AE21" i="2"/>
  <c r="AD11" i="2"/>
  <c r="AF29" i="2"/>
  <c r="AG8" i="2"/>
  <c r="AE7" i="2"/>
  <c r="AC27" i="2"/>
  <c r="AI18" i="2"/>
  <c r="AD12" i="2"/>
  <c r="AJ24" i="2"/>
  <c r="AG30" i="2"/>
  <c r="AF3" i="2"/>
  <c r="AH15" i="2"/>
  <c r="AC4" i="2"/>
  <c r="AH30" i="2"/>
  <c r="AD9" i="2"/>
  <c r="AH18" i="2"/>
  <c r="AI23" i="2"/>
  <c r="AB17" i="2"/>
  <c r="AH7" i="2"/>
  <c r="AE3" i="2"/>
  <c r="AH24" i="2"/>
  <c r="AG9" i="2"/>
  <c r="AI26" i="2"/>
  <c r="AE17" i="2"/>
  <c r="AB21" i="2"/>
  <c r="AH16" i="2"/>
  <c r="AC1" i="2"/>
  <c r="AH28" i="2"/>
  <c r="AA20" i="2"/>
  <c r="AF24" i="2"/>
  <c r="AJ14" i="2"/>
  <c r="AB6" i="2"/>
  <c r="AC13" i="2"/>
  <c r="AG18" i="2"/>
  <c r="AC20" i="2"/>
  <c r="AA24" i="2"/>
  <c r="AD10" i="2"/>
  <c r="AC22" i="2"/>
  <c r="AF5" i="2"/>
  <c r="AA14" i="2"/>
  <c r="AB2" i="2"/>
  <c r="AG2" i="2"/>
  <c r="AF19" i="2"/>
  <c r="AJ10" i="2"/>
  <c r="AJ23" i="2"/>
  <c r="AI29" i="2"/>
  <c r="AE26" i="2"/>
  <c r="AJ3" i="2"/>
  <c r="AD2" i="2"/>
  <c r="AE1" i="2"/>
  <c r="AC2" i="2"/>
  <c r="AF15" i="2"/>
  <c r="AI5" i="2"/>
  <c r="AD30" i="2"/>
  <c r="AE27" i="2"/>
  <c r="AE24" i="2"/>
  <c r="AH12" i="2"/>
  <c r="AD17" i="2"/>
  <c r="AJ16" i="2"/>
  <c r="AI3" i="2"/>
  <c r="AF23" i="2"/>
  <c r="AA16" i="2"/>
  <c r="AF30" i="2"/>
  <c r="AE10" i="2"/>
  <c r="AI6" i="2"/>
  <c r="AA21" i="2"/>
  <c r="AC30" i="2"/>
  <c r="AA18" i="2"/>
  <c r="AH1" i="2"/>
  <c r="AI20" i="2"/>
  <c r="AH29" i="2"/>
  <c r="AA2" i="2"/>
  <c r="AA13" i="2"/>
  <c r="AF1" i="2"/>
  <c r="AB28" i="2"/>
  <c r="AI27" i="2"/>
  <c r="AH26" i="2"/>
  <c r="AI25" i="2"/>
  <c r="AA26" i="2"/>
  <c r="AE14" i="2"/>
  <c r="AC8" i="2"/>
  <c r="AC7" i="2"/>
  <c r="AF17" i="2"/>
  <c r="AB10" i="2"/>
  <c r="AG29" i="2"/>
  <c r="AH19" i="2"/>
  <c r="AC12" i="2"/>
  <c r="AE4" i="2"/>
  <c r="AF10" i="2"/>
  <c r="AG7" i="2"/>
  <c r="AB11" i="2"/>
  <c r="AJ11" i="2"/>
  <c r="AG21" i="2"/>
  <c r="AF12" i="2"/>
  <c r="AD1" i="2"/>
  <c r="AJ13" i="2"/>
  <c r="AD14" i="2"/>
  <c r="AH25" i="2"/>
  <c r="AA7" i="2"/>
  <c r="AJ25" i="2"/>
  <c r="AA6" i="2"/>
  <c r="AI9" i="2"/>
  <c r="AG20" i="2"/>
  <c r="AA23" i="2"/>
  <c r="AJ29" i="2"/>
  <c r="AG10" i="2"/>
  <c r="AE19" i="2"/>
  <c r="AC21" i="2"/>
  <c r="AB30" i="2"/>
  <c r="AJ26" i="2"/>
  <c r="AC3" i="2"/>
  <c r="AH20" i="2"/>
  <c r="AE23" i="2"/>
  <c r="AB4" i="2"/>
  <c r="AJ30" i="2"/>
  <c r="AH27" i="2"/>
  <c r="AA15" i="2"/>
  <c r="AC28" i="2"/>
  <c r="AC26" i="2"/>
  <c r="E31" i="1"/>
  <c r="AD4" i="2"/>
  <c r="AA10" i="2"/>
  <c r="AH22" i="2"/>
  <c r="AH5" i="2"/>
  <c r="AG26" i="2"/>
  <c r="AG23" i="2"/>
  <c r="AE12" i="2"/>
  <c r="AJ17" i="2"/>
  <c r="AG17" i="2"/>
  <c r="AG13" i="2"/>
  <c r="AG3" i="2"/>
  <c r="AE20" i="2"/>
  <c r="AJ21" i="2"/>
  <c r="AD23" i="2"/>
  <c r="AE9" i="2"/>
  <c r="AA17" i="2"/>
  <c r="AA22" i="2"/>
  <c r="AI15" i="2"/>
  <c r="AH2" i="2"/>
  <c r="AA29" i="2"/>
  <c r="AF27" i="2"/>
  <c r="AB7" i="2"/>
  <c r="AI19" i="2"/>
  <c r="AH10" i="2"/>
  <c r="AF9" i="2"/>
  <c r="AJ15" i="2"/>
  <c r="AH11" i="2"/>
  <c r="AJ1" i="2"/>
  <c r="AD15" i="2"/>
  <c r="AC23" i="2"/>
  <c r="AD27" i="2"/>
  <c r="AI7" i="2"/>
  <c r="AJ5" i="2"/>
  <c r="AD22" i="2"/>
  <c r="AG1" i="2"/>
  <c r="AA8" i="2"/>
  <c r="AJ9" i="2"/>
  <c r="AG14" i="2"/>
  <c r="AC11" i="2"/>
  <c r="AH3" i="2"/>
  <c r="AJ6" i="2"/>
  <c r="AB15" i="2"/>
  <c r="AD3" i="2"/>
  <c r="AA25" i="2"/>
  <c r="AH13" i="2"/>
  <c r="AD6" i="2"/>
  <c r="AA12" i="2"/>
  <c r="AJ4" i="2"/>
  <c r="AB9" i="2"/>
  <c r="AH21" i="2"/>
  <c r="AB27" i="2"/>
  <c r="AF21" i="2"/>
  <c r="AB12" i="2"/>
  <c r="AE15" i="2"/>
  <c r="AB14" i="2"/>
  <c r="AJ18" i="2"/>
  <c r="AD25" i="2"/>
  <c r="AH4" i="2"/>
  <c r="AD18" i="2"/>
  <c r="AB22" i="2"/>
  <c r="AJ22" i="2"/>
  <c r="AB29" i="2"/>
  <c r="AI14" i="2"/>
  <c r="AB13" i="2"/>
  <c r="AG11" i="2"/>
  <c r="AA27" i="2"/>
  <c r="AI17" i="2"/>
  <c r="AH6" i="2"/>
  <c r="AB1" i="2"/>
  <c r="AG19" i="2"/>
  <c r="AI22" i="2"/>
  <c r="AJ2" i="2"/>
  <c r="AC5" i="2"/>
  <c r="AI30" i="2"/>
  <c r="AG15" i="2"/>
  <c r="AG4" i="2"/>
  <c r="AC14" i="2"/>
  <c r="AE30" i="2"/>
  <c r="AC25" i="2"/>
  <c r="AF13" i="2"/>
  <c r="AB5" i="2"/>
  <c r="AD16" i="2"/>
  <c r="AI24" i="2"/>
  <c r="AE28" i="2"/>
  <c r="AF7" i="2"/>
  <c r="AB3" i="2"/>
  <c r="AC19" i="2"/>
  <c r="AI28" i="2"/>
  <c r="AE13" i="2"/>
  <c r="AC9" i="2"/>
  <c r="AG25" i="2"/>
  <c r="AH23" i="2"/>
  <c r="AF14" i="2"/>
  <c r="AH9" i="2"/>
  <c r="AE16" i="2"/>
  <c r="AJ19" i="2"/>
  <c r="AA5" i="2"/>
  <c r="AF16" i="2"/>
  <c r="AC10" i="2"/>
  <c r="AI13" i="2"/>
  <c r="AJ8" i="2"/>
  <c r="AE5" i="2"/>
  <c r="AI8" i="2"/>
  <c r="AC17" i="2"/>
  <c r="AB18" i="2"/>
  <c r="AJ20" i="2"/>
  <c r="AD8" i="2"/>
  <c r="AI12" i="2"/>
  <c r="AI16" i="2"/>
  <c r="AF6" i="2"/>
  <c r="AC29" i="2"/>
  <c r="AF22" i="2"/>
  <c r="AB33" i="2" l="1"/>
  <c r="V14" i="2"/>
  <c r="T13" i="2"/>
  <c r="U3" i="2"/>
  <c r="V13" i="2"/>
  <c r="T10" i="2"/>
  <c r="L12" i="2"/>
  <c r="J7" i="2"/>
  <c r="V2" i="2"/>
  <c r="T1" i="2"/>
  <c r="L15" i="2"/>
  <c r="P4" i="2"/>
  <c r="K27" i="2"/>
  <c r="J12" i="2"/>
  <c r="J6" i="2"/>
  <c r="V3" i="2"/>
  <c r="P15" i="2"/>
  <c r="J20" i="2"/>
  <c r="U1" i="2"/>
  <c r="K19" i="2"/>
  <c r="U21" i="2"/>
  <c r="V16" i="2"/>
  <c r="Z24" i="2"/>
  <c r="L9" i="2"/>
  <c r="T28" i="2"/>
  <c r="T30" i="2"/>
  <c r="K12" i="2"/>
  <c r="Z15" i="2"/>
  <c r="Z6" i="2"/>
  <c r="K28" i="2"/>
  <c r="U9" i="2"/>
  <c r="V7" i="2"/>
  <c r="P11" i="2"/>
  <c r="T3" i="2"/>
  <c r="P8" i="2"/>
  <c r="K10" i="2"/>
  <c r="L8" i="2"/>
  <c r="Z26" i="2"/>
  <c r="Z21" i="2"/>
  <c r="P18" i="2"/>
  <c r="K29" i="2"/>
  <c r="L18" i="2"/>
  <c r="J25" i="2"/>
  <c r="V28" i="2"/>
  <c r="L1" i="2"/>
  <c r="Z18" i="2"/>
  <c r="P10" i="2"/>
  <c r="L10" i="2"/>
  <c r="T18" i="2"/>
  <c r="T21" i="2"/>
  <c r="J5" i="2"/>
  <c r="V10" i="2"/>
  <c r="P16" i="2"/>
  <c r="P19" i="2"/>
  <c r="L24" i="2"/>
  <c r="U17" i="2"/>
  <c r="V8" i="2"/>
  <c r="V20" i="2"/>
  <c r="J23" i="2"/>
  <c r="T12" i="2"/>
  <c r="P29" i="2"/>
  <c r="T4" i="2"/>
  <c r="U2" i="2"/>
  <c r="L19" i="2"/>
  <c r="P9" i="2"/>
  <c r="L5" i="2"/>
  <c r="J16" i="2"/>
  <c r="J14" i="2"/>
  <c r="Z10" i="2"/>
  <c r="Z5" i="2"/>
  <c r="P2" i="2"/>
  <c r="K13" i="2"/>
  <c r="L2" i="2"/>
  <c r="J9" i="2"/>
  <c r="U7" i="2"/>
  <c r="J11" i="2"/>
  <c r="V26" i="2"/>
  <c r="U27" i="2"/>
  <c r="K8" i="2"/>
  <c r="T23" i="2"/>
  <c r="P30" i="2"/>
  <c r="K26" i="2"/>
  <c r="Z29" i="2"/>
  <c r="L7" i="2"/>
  <c r="K11" i="2"/>
  <c r="P1" i="2"/>
  <c r="V6" i="2"/>
  <c r="L27" i="2"/>
  <c r="L21" i="2"/>
  <c r="K6" i="2"/>
  <c r="Z1" i="2"/>
  <c r="U4" i="2"/>
  <c r="V23" i="2"/>
  <c r="Z30" i="2"/>
  <c r="Z25" i="2"/>
  <c r="P22" i="2"/>
  <c r="L3" i="2"/>
  <c r="L22" i="2"/>
  <c r="K3" i="2"/>
  <c r="Z16" i="2"/>
  <c r="L17" i="2"/>
  <c r="U29" i="2"/>
  <c r="V27" i="2"/>
  <c r="Z4" i="2"/>
  <c r="J27" i="2"/>
  <c r="K16" i="2"/>
  <c r="Z7" i="2"/>
  <c r="P3" i="2"/>
  <c r="L16" i="2"/>
  <c r="T16" i="2"/>
  <c r="T6" i="2"/>
  <c r="U15" i="2"/>
  <c r="J15" i="2"/>
  <c r="U19" i="2"/>
  <c r="L25" i="2"/>
  <c r="U30" i="2"/>
  <c r="K5" i="2"/>
  <c r="J1" i="2"/>
  <c r="U28" i="2"/>
  <c r="Z17" i="2"/>
  <c r="K25" i="2"/>
  <c r="J21" i="2"/>
  <c r="K15" i="2"/>
  <c r="U10" i="2"/>
  <c r="J8" i="2"/>
  <c r="T2" i="2"/>
  <c r="U25" i="2"/>
  <c r="K4" i="2"/>
  <c r="Z14" i="2"/>
  <c r="Z9" i="2"/>
  <c r="P6" i="2"/>
  <c r="K17" i="2"/>
  <c r="L6" i="2"/>
  <c r="J13" i="2"/>
  <c r="V12" i="2"/>
  <c r="J19" i="2"/>
  <c r="T24" i="2"/>
  <c r="U22" i="2"/>
  <c r="T22" i="2"/>
  <c r="Z3" i="2"/>
  <c r="J30" i="2"/>
  <c r="V9" i="2"/>
  <c r="P23" i="2"/>
  <c r="J18" i="2"/>
  <c r="U5" i="2"/>
  <c r="L23" i="2"/>
  <c r="L13" i="2"/>
  <c r="J22" i="2"/>
  <c r="L11" i="2"/>
  <c r="U12" i="2"/>
  <c r="V19" i="2"/>
  <c r="T27" i="2"/>
  <c r="P28" i="2"/>
  <c r="J2" i="2"/>
  <c r="U26" i="2"/>
  <c r="Z27" i="2"/>
  <c r="V25" i="2"/>
  <c r="K30" i="2"/>
  <c r="Z28" i="2"/>
  <c r="V24" i="2"/>
  <c r="V1" i="2"/>
  <c r="V30" i="2"/>
  <c r="T29" i="2"/>
  <c r="Z12" i="2"/>
  <c r="K1" i="2"/>
  <c r="K20" i="2"/>
  <c r="Z23" i="2"/>
  <c r="P13" i="2"/>
  <c r="T7" i="2"/>
  <c r="V18" i="2"/>
  <c r="T17" i="2"/>
  <c r="U11" i="2"/>
  <c r="V21" i="2"/>
  <c r="T26" i="2"/>
  <c r="P7" i="2"/>
  <c r="K7" i="2"/>
  <c r="Z13" i="2"/>
  <c r="K21" i="2"/>
  <c r="J17" i="2"/>
  <c r="J29" i="2"/>
  <c r="V29" i="2"/>
  <c r="J10" i="2"/>
  <c r="T9" i="2"/>
  <c r="V5" i="2"/>
  <c r="K18" i="2"/>
  <c r="V15" i="2"/>
  <c r="T19" i="2"/>
  <c r="L28" i="2"/>
  <c r="P21" i="2"/>
  <c r="P12" i="2"/>
  <c r="Z11" i="2"/>
  <c r="J28" i="2"/>
  <c r="T20" i="2"/>
  <c r="U18" i="2"/>
  <c r="T14" i="2"/>
  <c r="U24" i="2"/>
  <c r="Z8" i="2"/>
  <c r="P17" i="2"/>
  <c r="K23" i="2"/>
  <c r="T8" i="2"/>
  <c r="U6" i="2"/>
  <c r="P5" i="2"/>
  <c r="P25" i="2"/>
  <c r="L29" i="2"/>
  <c r="K2" i="2"/>
  <c r="K22" i="2"/>
  <c r="U14" i="2"/>
  <c r="U16" i="2"/>
  <c r="L20" i="2"/>
  <c r="V22" i="2"/>
  <c r="J26" i="2"/>
  <c r="Z2" i="2"/>
  <c r="Z20" i="2"/>
  <c r="K24" i="2"/>
  <c r="P24" i="2"/>
  <c r="Z22" i="2"/>
  <c r="P14" i="2"/>
  <c r="L14" i="2"/>
  <c r="U23" i="2"/>
  <c r="U8" i="2"/>
  <c r="T15" i="2"/>
  <c r="V17" i="2"/>
  <c r="L30" i="2"/>
  <c r="U20" i="2"/>
  <c r="K14" i="2"/>
  <c r="T11" i="2"/>
  <c r="J3" i="2"/>
  <c r="U13" i="2"/>
  <c r="V4" i="2"/>
  <c r="P20" i="2"/>
  <c r="V11" i="2"/>
  <c r="T25" i="2"/>
  <c r="P26" i="2"/>
  <c r="L26" i="2"/>
  <c r="P27" i="2"/>
  <c r="Z19" i="2"/>
  <c r="K9" i="2"/>
  <c r="L4" i="2"/>
  <c r="J4" i="2"/>
  <c r="J24" i="2"/>
  <c r="T5" i="2"/>
  <c r="S17" i="2"/>
  <c r="R25" i="2"/>
  <c r="S30" i="2"/>
  <c r="M17" i="2"/>
  <c r="O20" i="2"/>
  <c r="Q5" i="2"/>
  <c r="G7" i="2"/>
  <c r="I6" i="2"/>
  <c r="N29" i="2"/>
  <c r="H26" i="2"/>
  <c r="M2" i="2"/>
  <c r="Y19" i="2"/>
  <c r="X27" i="2"/>
  <c r="R7" i="2"/>
  <c r="Q24" i="2"/>
  <c r="X12" i="2"/>
  <c r="N14" i="2"/>
  <c r="M23" i="2"/>
  <c r="R20" i="2"/>
  <c r="G30" i="2"/>
  <c r="I21" i="2"/>
  <c r="R16" i="2"/>
  <c r="G20" i="2"/>
  <c r="Y1" i="2"/>
  <c r="X9" i="2"/>
  <c r="Q7" i="2"/>
  <c r="O13" i="2"/>
  <c r="R22" i="2"/>
  <c r="S3" i="2"/>
  <c r="N22" i="2"/>
  <c r="W1" i="2"/>
  <c r="M11" i="2"/>
  <c r="H6" i="2"/>
  <c r="G26" i="2"/>
  <c r="W6" i="2"/>
  <c r="I26" i="2"/>
  <c r="M10" i="2"/>
  <c r="R19" i="2"/>
  <c r="Y10" i="2"/>
  <c r="M30" i="2"/>
  <c r="R24" i="2"/>
  <c r="W11" i="2"/>
  <c r="M8" i="2"/>
  <c r="I30" i="2"/>
  <c r="R27" i="2"/>
  <c r="R4" i="2"/>
  <c r="Y29" i="2"/>
  <c r="S9" i="2"/>
  <c r="R17" i="2"/>
  <c r="S14" i="2"/>
  <c r="M1" i="2"/>
  <c r="O4" i="2"/>
  <c r="O3" i="2"/>
  <c r="X10" i="2"/>
  <c r="H20" i="2"/>
  <c r="O14" i="2"/>
  <c r="G24" i="2"/>
  <c r="H30" i="2"/>
  <c r="Y11" i="2"/>
  <c r="X19" i="2"/>
  <c r="Q27" i="2"/>
  <c r="Q2" i="2"/>
  <c r="W21" i="2"/>
  <c r="M28" i="2"/>
  <c r="I23" i="2"/>
  <c r="Q14" i="2"/>
  <c r="G14" i="2"/>
  <c r="H19" i="2"/>
  <c r="M19" i="2"/>
  <c r="W16" i="2"/>
  <c r="X1" i="2"/>
  <c r="Y24" i="2"/>
  <c r="N27" i="2"/>
  <c r="R6" i="2"/>
  <c r="W27" i="2"/>
  <c r="M20" i="2"/>
  <c r="O26" i="2"/>
  <c r="H3" i="2"/>
  <c r="S1" i="2"/>
  <c r="O25" i="2"/>
  <c r="H24" i="2"/>
  <c r="H2" i="2"/>
  <c r="Q3" i="2"/>
  <c r="Q26" i="2"/>
  <c r="I14" i="2"/>
  <c r="I12" i="2"/>
  <c r="R3" i="2"/>
  <c r="S28" i="2"/>
  <c r="H28" i="2"/>
  <c r="Q19" i="2"/>
  <c r="Y21" i="2"/>
  <c r="X29" i="2"/>
  <c r="R9" i="2"/>
  <c r="Q29" i="2"/>
  <c r="X16" i="2"/>
  <c r="N18" i="2"/>
  <c r="N1" i="2"/>
  <c r="R28" i="2"/>
  <c r="H4" i="2"/>
  <c r="I29" i="2"/>
  <c r="W9" i="2"/>
  <c r="G28" i="2"/>
  <c r="Y3" i="2"/>
  <c r="X11" i="2"/>
  <c r="Q11" i="2"/>
  <c r="O17" i="2"/>
  <c r="R26" i="2"/>
  <c r="M12" i="2"/>
  <c r="I7" i="2"/>
  <c r="O10" i="2"/>
  <c r="Y30" i="2"/>
  <c r="G17" i="2"/>
  <c r="I9" i="2"/>
  <c r="S29" i="2"/>
  <c r="W15" i="2"/>
  <c r="Y8" i="2"/>
  <c r="N11" i="2"/>
  <c r="Q17" i="2"/>
  <c r="R11" i="2"/>
  <c r="Y2" i="2"/>
  <c r="M22" i="2"/>
  <c r="Q20" i="2"/>
  <c r="I13" i="2"/>
  <c r="W5" i="2"/>
  <c r="G22" i="2"/>
  <c r="N28" i="2"/>
  <c r="S18" i="2"/>
  <c r="N17" i="2"/>
  <c r="H12" i="2"/>
  <c r="G8" i="2"/>
  <c r="Y4" i="2"/>
  <c r="O19" i="2"/>
  <c r="Y22" i="2"/>
  <c r="M21" i="2"/>
  <c r="Y16" i="2"/>
  <c r="S15" i="2"/>
  <c r="O27" i="2"/>
  <c r="Y13" i="2"/>
  <c r="X21" i="2"/>
  <c r="R1" i="2"/>
  <c r="Q8" i="2"/>
  <c r="W29" i="2"/>
  <c r="N2" i="2"/>
  <c r="I27" i="2"/>
  <c r="Q25" i="2"/>
  <c r="G18" i="2"/>
  <c r="H27" i="2"/>
  <c r="N5" i="2"/>
  <c r="W20" i="2"/>
  <c r="X3" i="2"/>
  <c r="Y28" i="2"/>
  <c r="O1" i="2"/>
  <c r="R10" i="2"/>
  <c r="Y18" i="2"/>
  <c r="H21" i="2"/>
  <c r="N8" i="2"/>
  <c r="W26" i="2"/>
  <c r="W25" i="2"/>
  <c r="H7" i="2"/>
  <c r="S21" i="2"/>
  <c r="R29" i="2"/>
  <c r="W14" i="2"/>
  <c r="M25" i="2"/>
  <c r="O29" i="2"/>
  <c r="Y20" i="2"/>
  <c r="Q16" i="2"/>
  <c r="I10" i="2"/>
  <c r="I4" i="2"/>
  <c r="M26" i="2"/>
  <c r="N6" i="2"/>
  <c r="Y14" i="2"/>
  <c r="H23" i="2"/>
  <c r="O9" i="2"/>
  <c r="I19" i="2"/>
  <c r="G10" i="2"/>
  <c r="M3" i="2"/>
  <c r="Q13" i="2"/>
  <c r="M15" i="2"/>
  <c r="X6" i="2"/>
  <c r="O24" i="2"/>
  <c r="G9" i="2"/>
  <c r="N19" i="2"/>
  <c r="M14" i="2"/>
  <c r="S16" i="2"/>
  <c r="R23" i="2"/>
  <c r="Y5" i="2"/>
  <c r="X13" i="2"/>
  <c r="Q15" i="2"/>
  <c r="O21" i="2"/>
  <c r="R30" i="2"/>
  <c r="M16" i="2"/>
  <c r="I11" i="2"/>
  <c r="O18" i="2"/>
  <c r="G2" i="2"/>
  <c r="G25" i="2"/>
  <c r="I17" i="2"/>
  <c r="W4" i="2"/>
  <c r="W19" i="2"/>
  <c r="Y12" i="2"/>
  <c r="N15" i="2"/>
  <c r="Q22" i="2"/>
  <c r="W2" i="2"/>
  <c r="H5" i="2"/>
  <c r="M6" i="2"/>
  <c r="S8" i="2"/>
  <c r="N12" i="2"/>
  <c r="G5" i="2"/>
  <c r="S13" i="2"/>
  <c r="R21" i="2"/>
  <c r="S22" i="2"/>
  <c r="M9" i="2"/>
  <c r="O12" i="2"/>
  <c r="S2" i="2"/>
  <c r="N9" i="2"/>
  <c r="H8" i="2"/>
  <c r="X22" i="2"/>
  <c r="Q9" i="2"/>
  <c r="S20" i="2"/>
  <c r="Q21" i="2"/>
  <c r="R8" i="2"/>
  <c r="M5" i="2"/>
  <c r="H17" i="2"/>
  <c r="W10" i="2"/>
  <c r="G29" i="2"/>
  <c r="N7" i="2"/>
  <c r="I3" i="2"/>
  <c r="M4" i="2"/>
  <c r="W8" i="2"/>
  <c r="W18" i="2"/>
  <c r="O6" i="2"/>
  <c r="M13" i="2"/>
  <c r="W24" i="2"/>
  <c r="X5" i="2"/>
  <c r="O28" i="2"/>
  <c r="O5" i="2"/>
  <c r="R14" i="2"/>
  <c r="Y26" i="2"/>
  <c r="H25" i="2"/>
  <c r="N16" i="2"/>
  <c r="Y6" i="2"/>
  <c r="X30" i="2"/>
  <c r="H15" i="2"/>
  <c r="S23" i="2"/>
  <c r="W3" i="2"/>
  <c r="W22" i="2"/>
  <c r="M29" i="2"/>
  <c r="Q1" i="2"/>
  <c r="S4" i="2"/>
  <c r="G19" i="2"/>
  <c r="I18" i="2"/>
  <c r="O23" i="2"/>
  <c r="I20" i="2"/>
  <c r="N20" i="2"/>
  <c r="Y25" i="2"/>
  <c r="S5" i="2"/>
  <c r="R13" i="2"/>
  <c r="S6" i="2"/>
  <c r="X24" i="2"/>
  <c r="N26" i="2"/>
  <c r="N23" i="2"/>
  <c r="I15" i="2"/>
  <c r="G6" i="2"/>
  <c r="I25" i="2"/>
  <c r="X14" i="2"/>
  <c r="M7" i="2"/>
  <c r="Q30" i="2"/>
  <c r="I8" i="2"/>
  <c r="W28" i="2"/>
  <c r="R18" i="2"/>
  <c r="G15" i="2"/>
  <c r="O15" i="2"/>
  <c r="N4" i="2"/>
  <c r="Y15" i="2"/>
  <c r="X4" i="2"/>
  <c r="H1" i="2"/>
  <c r="H10" i="2"/>
  <c r="O11" i="2"/>
  <c r="W23" i="2"/>
  <c r="H9" i="2"/>
  <c r="G13" i="2"/>
  <c r="O16" i="2"/>
  <c r="S25" i="2"/>
  <c r="W7" i="2"/>
  <c r="W30" i="2"/>
  <c r="N3" i="2"/>
  <c r="Q6" i="2"/>
  <c r="S12" i="2"/>
  <c r="G23" i="2"/>
  <c r="I22" i="2"/>
  <c r="Q10" i="2"/>
  <c r="I28" i="2"/>
  <c r="O22" i="2"/>
  <c r="Y27" i="2"/>
  <c r="S7" i="2"/>
  <c r="R15" i="2"/>
  <c r="S10" i="2"/>
  <c r="X28" i="2"/>
  <c r="N30" i="2"/>
  <c r="N25" i="2"/>
  <c r="X2" i="2"/>
  <c r="H16" i="2"/>
  <c r="N13" i="2"/>
  <c r="G16" i="2"/>
  <c r="H22" i="2"/>
  <c r="Y9" i="2"/>
  <c r="X17" i="2"/>
  <c r="Q23" i="2"/>
  <c r="O30" i="2"/>
  <c r="W13" i="2"/>
  <c r="W12" i="2"/>
  <c r="R2" i="2"/>
  <c r="G11" i="2"/>
  <c r="O7" i="2"/>
  <c r="M18" i="2"/>
  <c r="R12" i="2"/>
  <c r="X15" i="2"/>
  <c r="N24" i="2"/>
  <c r="G1" i="2"/>
  <c r="X7" i="2"/>
  <c r="M24" i="2"/>
  <c r="Q4" i="2"/>
  <c r="H11" i="2"/>
  <c r="X23" i="2"/>
  <c r="N10" i="2"/>
  <c r="O2" i="2"/>
  <c r="I16" i="2"/>
  <c r="S19" i="2"/>
  <c r="G27" i="2"/>
  <c r="Q28" i="2"/>
  <c r="S26" i="2"/>
  <c r="H18" i="2"/>
  <c r="H13" i="2"/>
  <c r="S11" i="2"/>
  <c r="S27" i="2"/>
  <c r="H29" i="2"/>
  <c r="I24" i="2"/>
  <c r="Y17" i="2"/>
  <c r="S24" i="2"/>
  <c r="Y7" i="2"/>
  <c r="O8" i="2"/>
  <c r="Q12" i="2"/>
  <c r="I2" i="2"/>
  <c r="X25" i="2"/>
  <c r="G21" i="2"/>
  <c r="X18" i="2"/>
  <c r="W17" i="2"/>
  <c r="X26" i="2"/>
  <c r="X8" i="2"/>
  <c r="R5" i="2"/>
  <c r="I5" i="2"/>
  <c r="M27" i="2"/>
  <c r="I1" i="2"/>
  <c r="Q18" i="2"/>
  <c r="G4" i="2"/>
  <c r="H14" i="2"/>
  <c r="Y23" i="2"/>
  <c r="N21" i="2"/>
  <c r="X20" i="2"/>
  <c r="G12" i="2"/>
  <c r="G3" i="2"/>
  <c r="AE33" i="2"/>
  <c r="AJ33" i="2"/>
  <c r="AC33" i="2"/>
  <c r="AF33" i="2"/>
  <c r="AD33" i="2"/>
  <c r="AH33" i="2"/>
  <c r="AA33" i="2"/>
  <c r="AI33" i="2"/>
  <c r="AG33" i="2"/>
  <c r="S33" i="2" l="1"/>
  <c r="U33" i="2"/>
  <c r="G33" i="2"/>
  <c r="Q33" i="2"/>
  <c r="I33" i="2"/>
  <c r="R33" i="2"/>
  <c r="M33" i="2"/>
  <c r="V33" i="2"/>
  <c r="N33" i="2"/>
  <c r="C37" i="2" s="1"/>
  <c r="W33" i="2"/>
  <c r="L33" i="2"/>
  <c r="P33" i="2"/>
  <c r="O33" i="2"/>
  <c r="H33" i="2"/>
  <c r="C38" i="2" s="1"/>
  <c r="Z33" i="2"/>
  <c r="Y33" i="2"/>
  <c r="T33" i="2"/>
  <c r="J33" i="2"/>
  <c r="X33" i="2"/>
  <c r="K33" i="2"/>
  <c r="C56" i="2" l="1"/>
  <c r="C55" i="2"/>
  <c r="E32" i="1" l="1"/>
  <c r="C80" i="2" s="1"/>
  <c r="E21" i="1"/>
  <c r="E26" i="1" l="1"/>
  <c r="C58" i="2" s="1"/>
  <c r="C61" i="2" s="1"/>
  <c r="C64" i="2" s="1"/>
  <c r="E28" i="1" s="1"/>
  <c r="C76" i="2"/>
  <c r="E25" i="1" s="1"/>
  <c r="F25" i="1" s="1"/>
  <c r="C79" i="2"/>
  <c r="E24" i="1" s="1"/>
  <c r="F24" i="1" s="1"/>
  <c r="C67" i="2"/>
  <c r="C70" i="2" s="1"/>
  <c r="C73" i="2" s="1"/>
  <c r="E23" i="1" s="1"/>
  <c r="F23" i="1" s="1"/>
  <c r="E35" i="1"/>
  <c r="F35" i="1" s="1"/>
  <c r="C68" i="2"/>
  <c r="C71" i="2" s="1"/>
  <c r="C74" i="2" s="1"/>
  <c r="E34" i="1" s="1"/>
  <c r="F34" i="1" s="1"/>
  <c r="C77" i="2"/>
  <c r="E36" i="1" s="1"/>
  <c r="F36" i="1" s="1"/>
  <c r="E37" i="1"/>
  <c r="E38" i="1" s="1"/>
  <c r="E33" i="1"/>
  <c r="F33" i="1" s="1"/>
  <c r="E22" i="1"/>
  <c r="F22" i="1" s="1"/>
  <c r="E27" i="1" l="1"/>
  <c r="C59" i="2"/>
  <c r="C62" i="2" s="1"/>
  <c r="C65" i="2" s="1"/>
  <c r="E39" i="1" s="1"/>
</calcChain>
</file>

<file path=xl/sharedStrings.xml><?xml version="1.0" encoding="utf-8"?>
<sst xmlns="http://schemas.openxmlformats.org/spreadsheetml/2006/main" count="244" uniqueCount="127">
  <si>
    <t>length from source to load</t>
  </si>
  <si>
    <t>ft</t>
  </si>
  <si>
    <t>V</t>
  </si>
  <si>
    <t>A</t>
  </si>
  <si>
    <t>load in power or current</t>
  </si>
  <si>
    <t>line phase</t>
  </si>
  <si>
    <t>%</t>
  </si>
  <si>
    <t>conductors per raceway or cable</t>
  </si>
  <si>
    <t>maximum voltage drop target</t>
  </si>
  <si>
    <t>2-3w L-L</t>
  </si>
  <si>
    <t>2-3w L-N</t>
  </si>
  <si>
    <t>2-4w</t>
  </si>
  <si>
    <t>source voltage</t>
  </si>
  <si>
    <t>1/0</t>
  </si>
  <si>
    <t>2/0</t>
  </si>
  <si>
    <t>3/0</t>
  </si>
  <si>
    <t>4/0</t>
  </si>
  <si>
    <t>4-6</t>
  </si>
  <si>
    <t>7-9</t>
  </si>
  <si>
    <t>10-20</t>
  </si>
  <si>
    <t>21-30</t>
  </si>
  <si>
    <t>31-40</t>
  </si>
  <si>
    <t>41+</t>
  </si>
  <si>
    <t>2-3</t>
  </si>
  <si>
    <t>ambient temperature</t>
  </si>
  <si>
    <t>F</t>
  </si>
  <si>
    <t>Aluminum Conductors</t>
  </si>
  <si>
    <t>CM</t>
  </si>
  <si>
    <t>volts at load</t>
  </si>
  <si>
    <t>voltage drop</t>
  </si>
  <si>
    <t>Copper Conductors</t>
  </si>
  <si>
    <t>conductor area</t>
  </si>
  <si>
    <t>conductor size</t>
  </si>
  <si>
    <t>equipment grounding conductor</t>
  </si>
  <si>
    <t>authored by Todd Miller</t>
  </si>
  <si>
    <t>power factor</t>
  </si>
  <si>
    <t>grounding electrode conductor</t>
  </si>
  <si>
    <t>310.15(3)</t>
  </si>
  <si>
    <t>Al90</t>
  </si>
  <si>
    <t>Al75</t>
  </si>
  <si>
    <t>Cu90</t>
  </si>
  <si>
    <t>Cu75</t>
  </si>
  <si>
    <t>no</t>
  </si>
  <si>
    <t>Cu</t>
  </si>
  <si>
    <t>Al</t>
  </si>
  <si>
    <t>#</t>
  </si>
  <si>
    <t>number of parallel conductor set(s)</t>
  </si>
  <si>
    <t>310.15(2) @40</t>
  </si>
  <si>
    <t>310.15(2) @30</t>
  </si>
  <si>
    <t>by % Voltage Drop</t>
  </si>
  <si>
    <t>Cu60</t>
  </si>
  <si>
    <t>Cu150</t>
  </si>
  <si>
    <t>Cu200</t>
  </si>
  <si>
    <t>Cu250</t>
  </si>
  <si>
    <t>Al150</t>
  </si>
  <si>
    <t>Al60</t>
  </si>
  <si>
    <t>wire sized by adjusted NEC tables 310.15(B)(17) &amp; 310.15(B)(19)</t>
  </si>
  <si>
    <t>wire sized by adjusted NEC tables 310.15(B)(16) &amp; 310.15(B)(18)</t>
  </si>
  <si>
    <t>PVC, Al</t>
  </si>
  <si>
    <t>steel</t>
  </si>
  <si>
    <t>PVC</t>
  </si>
  <si>
    <t>reactance</t>
  </si>
  <si>
    <t>Cu resistance</t>
  </si>
  <si>
    <t>Al resistance</t>
  </si>
  <si>
    <t>Amp</t>
  </si>
  <si>
    <t>trade #</t>
  </si>
  <si>
    <t>Cu trade size</t>
  </si>
  <si>
    <t>Al trade size</t>
  </si>
  <si>
    <t>Cu G</t>
  </si>
  <si>
    <t>Al G</t>
  </si>
  <si>
    <t>Neutral can be disreguarded for ballanced 4 wire feeders with no harmonic distortion or noise.</t>
  </si>
  <si>
    <t>Note!</t>
  </si>
  <si>
    <t>trade size</t>
  </si>
  <si>
    <t>polar conversion</t>
  </si>
  <si>
    <t>target voltage drop</t>
  </si>
  <si>
    <t>length to load</t>
  </si>
  <si>
    <t>length to source</t>
  </si>
  <si>
    <t>PVC conduit</t>
  </si>
  <si>
    <t>steel conduit</t>
  </si>
  <si>
    <t>conductor current</t>
  </si>
  <si>
    <t>NEC min Al</t>
  </si>
  <si>
    <t>NEC min Cu</t>
  </si>
  <si>
    <t>F [ C ]</t>
  </si>
  <si>
    <t>140 [ 60 ]</t>
  </si>
  <si>
    <t>482 [ 250 ]</t>
  </si>
  <si>
    <t>167 [ 75 ]</t>
  </si>
  <si>
    <t>194 [ 90 ]</t>
  </si>
  <si>
    <t>302 [ 150 ]</t>
  </si>
  <si>
    <t>392 [ 200 ]</t>
  </si>
  <si>
    <t>polar conversions array</t>
  </si>
  <si>
    <t>insulation temperature array</t>
  </si>
  <si>
    <t>table adjustment factors</t>
  </si>
  <si>
    <t>insul. temperature</t>
  </si>
  <si>
    <t>direct burry conduit type, open air?</t>
  </si>
  <si>
    <t>open air</t>
  </si>
  <si>
    <t>open to air?</t>
  </si>
  <si>
    <t>insulation temperature rating</t>
  </si>
  <si>
    <t>direct burry</t>
  </si>
  <si>
    <t>Al conduit</t>
  </si>
  <si>
    <t>control switch for chapter 9 table 9</t>
  </si>
  <si>
    <t>control switch for insul. Temperature</t>
  </si>
  <si>
    <t>upsize #3AWG wire to #2AWG wire</t>
  </si>
  <si>
    <t>source volts</t>
  </si>
  <si>
    <t>min Al</t>
  </si>
  <si>
    <t>min Cu</t>
  </si>
  <si>
    <t>max length Al</t>
  </si>
  <si>
    <t>max length Cu</t>
  </si>
  <si>
    <t>Al impedance</t>
  </si>
  <si>
    <t>Cu impedance</t>
  </si>
  <si>
    <t>Cu %VD</t>
  </si>
  <si>
    <t>Al %VD</t>
  </si>
  <si>
    <t>EGC Al adjusted A</t>
  </si>
  <si>
    <t>EGC Cu adjusted A</t>
  </si>
  <si>
    <t>prop. increase Al G</t>
  </si>
  <si>
    <t>prop. increase Cu G</t>
  </si>
  <si>
    <t>bonding conductor and jumper</t>
  </si>
  <si>
    <t>EGC Al size</t>
  </si>
  <si>
    <t>EGC Cu size</t>
  </si>
  <si>
    <t>jumper Cu</t>
  </si>
  <si>
    <t>jumper Al</t>
  </si>
  <si>
    <t>grounding conductor Cu</t>
  </si>
  <si>
    <t>grounding conductor Al</t>
  </si>
  <si>
    <t>maximum allowable length</t>
  </si>
  <si>
    <t>conductor A</t>
  </si>
  <si>
    <t>CALCULATOR REGISTER</t>
  </si>
  <si>
    <t>Wire Calculator for Polyphase AC Circuits</t>
  </si>
  <si>
    <t xml:space="preserve"> Not for AC circuits greater than 2,000V. This calculator does not cover every AC circuit situation. See NEC articles 250 &amp; 310. By using this calculator you agree use it at your own risk. DO NOT PRINT WITHOUT PERMISSION.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</si>
</sst>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8"/>
      <color theme="1" tint="0.34998626667073579"/>
      <name val="Arial"/>
      <family val="2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2" fontId="0" fillId="0" borderId="0" xfId="0" applyNumberFormat="1"/>
    <xf numFmtId="17" fontId="0" fillId="0" borderId="0" xfId="0" quotePrefix="1" applyNumberFormat="1" applyAlignment="1">
      <alignment horizontal="righ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2" fillId="0" borderId="6" xfId="0" applyFont="1" applyBorder="1"/>
    <xf numFmtId="0" fontId="3" fillId="0" borderId="0" xfId="0" applyFont="1"/>
    <xf numFmtId="3" fontId="2" fillId="0" borderId="0" xfId="0" quotePrefix="1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2" fillId="0" borderId="7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0" xfId="0" quotePrefix="1"/>
    <xf numFmtId="0" fontId="0" fillId="0" borderId="0" xfId="0" applyAlignment="1"/>
    <xf numFmtId="3" fontId="0" fillId="0" borderId="0" xfId="0" applyNumberFormat="1"/>
    <xf numFmtId="164" fontId="0" fillId="0" borderId="0" xfId="0" applyNumberFormat="1"/>
    <xf numFmtId="0" fontId="0" fillId="0" borderId="9" xfId="0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center"/>
    </xf>
    <xf numFmtId="3" fontId="0" fillId="0" borderId="6" xfId="0" applyNumberFormat="1" applyBorder="1"/>
    <xf numFmtId="3" fontId="0" fillId="0" borderId="8" xfId="0" applyNumberFormat="1" applyBorder="1"/>
    <xf numFmtId="3" fontId="0" fillId="0" borderId="0" xfId="0" applyNumberFormat="1" applyBorder="1"/>
    <xf numFmtId="165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6" xfId="0" quotePrefix="1" applyBorder="1" applyAlignment="1">
      <alignment horizontal="right"/>
    </xf>
    <xf numFmtId="2" fontId="0" fillId="0" borderId="6" xfId="0" applyNumberFormat="1" applyBorder="1"/>
    <xf numFmtId="2" fontId="0" fillId="0" borderId="8" xfId="0" applyNumberFormat="1" applyBorder="1"/>
    <xf numFmtId="16" fontId="0" fillId="0" borderId="6" xfId="0" quotePrefix="1" applyNumberFormat="1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6" xfId="0" applyBorder="1" applyAlignment="1"/>
    <xf numFmtId="0" fontId="0" fillId="0" borderId="8" xfId="0" applyBorder="1" applyAlignment="1"/>
    <xf numFmtId="165" fontId="0" fillId="0" borderId="6" xfId="0" applyNumberFormat="1" applyBorder="1"/>
    <xf numFmtId="165" fontId="0" fillId="0" borderId="8" xfId="0" applyNumberFormat="1" applyBorder="1"/>
    <xf numFmtId="166" fontId="0" fillId="0" borderId="0" xfId="0" applyNumberFormat="1"/>
    <xf numFmtId="166" fontId="0" fillId="0" borderId="5" xfId="0" applyNumberFormat="1" applyBorder="1"/>
    <xf numFmtId="166" fontId="0" fillId="0" borderId="6" xfId="0" applyNumberFormat="1" applyBorder="1"/>
    <xf numFmtId="166" fontId="0" fillId="0" borderId="0" xfId="0" applyNumberFormat="1" applyAlignment="1">
      <alignment horizontal="right"/>
    </xf>
    <xf numFmtId="166" fontId="0" fillId="0" borderId="0" xfId="0" applyNumberFormat="1" applyFill="1" applyBorder="1" applyAlignment="1"/>
    <xf numFmtId="166" fontId="0" fillId="0" borderId="0" xfId="0" applyNumberFormat="1" applyFill="1" applyBorder="1"/>
    <xf numFmtId="166" fontId="0" fillId="0" borderId="0" xfId="0" quotePrefix="1" applyNumberFormat="1" applyAlignment="1">
      <alignment horizontal="right"/>
    </xf>
    <xf numFmtId="166" fontId="0" fillId="0" borderId="0" xfId="0" applyNumberFormat="1" applyAlignment="1"/>
    <xf numFmtId="166" fontId="0" fillId="0" borderId="7" xfId="0" applyNumberFormat="1" applyBorder="1"/>
    <xf numFmtId="166" fontId="0" fillId="0" borderId="8" xfId="0" applyNumberFormat="1" applyBorder="1"/>
    <xf numFmtId="3" fontId="0" fillId="0" borderId="0" xfId="0" applyNumberFormat="1" applyBorder="1" applyAlignment="1">
      <alignment horizontal="right"/>
    </xf>
    <xf numFmtId="0" fontId="3" fillId="0" borderId="0" xfId="0" quotePrefix="1" applyFont="1"/>
    <xf numFmtId="2" fontId="0" fillId="0" borderId="0" xfId="0" applyNumberFormat="1" applyBorder="1"/>
    <xf numFmtId="1" fontId="0" fillId="0" borderId="0" xfId="0" applyNumberFormat="1" applyBorder="1"/>
    <xf numFmtId="165" fontId="0" fillId="0" borderId="0" xfId="0" applyNumberFormat="1" applyBorder="1"/>
    <xf numFmtId="4" fontId="0" fillId="0" borderId="0" xfId="0" applyNumberFormat="1" applyBorder="1"/>
    <xf numFmtId="0" fontId="0" fillId="0" borderId="10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1" xfId="0" applyBorder="1"/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right"/>
    </xf>
    <xf numFmtId="0" fontId="0" fillId="0" borderId="0" xfId="0" applyAlignment="1">
      <alignment horizontal="center"/>
    </xf>
    <xf numFmtId="0" fontId="6" fillId="3" borderId="1" xfId="2" applyBorder="1" applyAlignment="1">
      <alignment horizontal="center"/>
    </xf>
    <xf numFmtId="0" fontId="6" fillId="3" borderId="0" xfId="2" applyBorder="1" applyAlignment="1">
      <alignment horizontal="center"/>
    </xf>
    <xf numFmtId="0" fontId="6" fillId="3" borderId="0" xfId="2" applyBorder="1" applyAlignment="1">
      <alignment horizontal="right"/>
    </xf>
    <xf numFmtId="3" fontId="6" fillId="3" borderId="0" xfId="2" applyNumberFormat="1" applyBorder="1" applyAlignment="1">
      <alignment horizontal="right"/>
    </xf>
    <xf numFmtId="0" fontId="6" fillId="3" borderId="0" xfId="2" applyBorder="1" applyAlignment="1">
      <alignment horizontal="left"/>
    </xf>
    <xf numFmtId="0" fontId="6" fillId="3" borderId="0" xfId="2" applyBorder="1"/>
    <xf numFmtId="1" fontId="6" fillId="3" borderId="0" xfId="2" applyNumberFormat="1" applyBorder="1" applyAlignment="1">
      <alignment horizontal="right"/>
    </xf>
    <xf numFmtId="2" fontId="6" fillId="3" borderId="0" xfId="2" applyNumberFormat="1" applyBorder="1" applyAlignment="1">
      <alignment horizontal="right"/>
    </xf>
    <xf numFmtId="0" fontId="6" fillId="2" borderId="1" xfId="1" applyBorder="1" applyAlignment="1">
      <alignment horizontal="center"/>
    </xf>
    <xf numFmtId="0" fontId="6" fillId="2" borderId="0" xfId="1" applyBorder="1"/>
    <xf numFmtId="0" fontId="6" fillId="2" borderId="0" xfId="1" applyBorder="1" applyAlignment="1">
      <alignment horizontal="right"/>
    </xf>
    <xf numFmtId="3" fontId="6" fillId="2" borderId="0" xfId="1" applyNumberFormat="1" applyBorder="1" applyAlignment="1">
      <alignment horizontal="right"/>
    </xf>
    <xf numFmtId="0" fontId="6" fillId="2" borderId="0" xfId="1" applyBorder="1" applyAlignment="1">
      <alignment horizontal="left"/>
    </xf>
    <xf numFmtId="1" fontId="6" fillId="2" borderId="0" xfId="1" applyNumberFormat="1" applyBorder="1" applyAlignment="1">
      <alignment horizontal="right"/>
    </xf>
    <xf numFmtId="0" fontId="6" fillId="2" borderId="0" xfId="1" applyNumberFormat="1" applyBorder="1" applyAlignment="1">
      <alignment horizontal="right"/>
    </xf>
    <xf numFmtId="2" fontId="6" fillId="2" borderId="0" xfId="1" applyNumberFormat="1" applyBorder="1" applyAlignment="1">
      <alignment horizontal="right"/>
    </xf>
    <xf numFmtId="0" fontId="6" fillId="3" borderId="5" xfId="2" applyBorder="1"/>
    <xf numFmtId="0" fontId="6" fillId="3" borderId="6" xfId="2" applyBorder="1"/>
    <xf numFmtId="0" fontId="6" fillId="2" borderId="5" xfId="1" applyBorder="1"/>
    <xf numFmtId="0" fontId="6" fillId="2" borderId="6" xfId="1" applyBorder="1"/>
  </cellXfs>
  <cellStyles count="3">
    <cellStyle name="20% - Accent2" xfId="1" builtinId="34"/>
    <cellStyle name="20% - Accent3" xfId="2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43DD-63D7-431A-B47C-604A8FA65365}">
  <sheetPr>
    <pageSetUpPr fitToPage="1"/>
  </sheetPr>
  <dimension ref="A1:XFC74"/>
  <sheetViews>
    <sheetView showGridLines="0" showRowColHeaders="0" tabSelected="1" zoomScaleNormal="100" workbookViewId="0">
      <selection activeCell="F5" sqref="F5"/>
    </sheetView>
  </sheetViews>
  <sheetFormatPr defaultColWidth="0" defaultRowHeight="15" zeroHeight="1" x14ac:dyDescent="0.25"/>
  <cols>
    <col min="1" max="1" width="3.42578125" customWidth="1"/>
    <col min="2" max="4" width="9.140625" customWidth="1"/>
    <col min="5" max="5" width="11.7109375" style="1" customWidth="1"/>
    <col min="6" max="6" width="9.140625" customWidth="1"/>
    <col min="7" max="7" width="3.42578125" customWidth="1"/>
    <col min="8" max="9" width="0" hidden="1" customWidth="1"/>
    <col min="10" max="16383" width="9.140625" hidden="1"/>
    <col min="16384" max="16384" width="0.140625" customWidth="1"/>
  </cols>
  <sheetData>
    <row r="1" spans="1:7" ht="25.5" customHeight="1" x14ac:dyDescent="0.25">
      <c r="A1" s="74" t="s">
        <v>125</v>
      </c>
      <c r="B1" s="75"/>
      <c r="C1" s="75"/>
      <c r="D1" s="75"/>
      <c r="E1" s="75"/>
      <c r="F1" s="75"/>
      <c r="G1" s="76"/>
    </row>
    <row r="2" spans="1:7" s="10" customFormat="1" ht="12" customHeight="1" x14ac:dyDescent="0.2">
      <c r="A2" s="5"/>
      <c r="B2" s="6"/>
      <c r="C2" s="6"/>
      <c r="D2" s="7"/>
      <c r="E2" s="8"/>
      <c r="F2" s="6"/>
      <c r="G2" s="9"/>
    </row>
    <row r="3" spans="1:7" s="10" customFormat="1" ht="12" customHeight="1" x14ac:dyDescent="0.2">
      <c r="A3" s="5"/>
      <c r="B3" s="6"/>
      <c r="C3" s="6"/>
      <c r="D3" s="7" t="s">
        <v>12</v>
      </c>
      <c r="E3" s="8">
        <v>0</v>
      </c>
      <c r="F3" s="6" t="s">
        <v>2</v>
      </c>
      <c r="G3" s="9"/>
    </row>
    <row r="4" spans="1:7" s="10" customFormat="1" ht="12" customHeight="1" x14ac:dyDescent="0.2">
      <c r="A4" s="5"/>
      <c r="B4" s="6"/>
      <c r="C4" s="6"/>
      <c r="D4" s="7" t="s">
        <v>5</v>
      </c>
      <c r="E4" s="8">
        <v>3</v>
      </c>
      <c r="F4" s="6"/>
      <c r="G4" s="9"/>
    </row>
    <row r="5" spans="1:7" s="10" customFormat="1" ht="12" customHeight="1" x14ac:dyDescent="0.2">
      <c r="A5" s="5"/>
      <c r="B5" s="6"/>
      <c r="C5" s="6"/>
      <c r="D5" s="7" t="s">
        <v>4</v>
      </c>
      <c r="E5" s="8">
        <v>0</v>
      </c>
      <c r="F5" s="6" t="s">
        <v>3</v>
      </c>
      <c r="G5" s="9"/>
    </row>
    <row r="6" spans="1:7" s="10" customFormat="1" ht="12" customHeight="1" x14ac:dyDescent="0.2">
      <c r="A6" s="5"/>
      <c r="B6" s="6"/>
      <c r="C6" s="6"/>
      <c r="D6" s="7" t="s">
        <v>0</v>
      </c>
      <c r="E6" s="8">
        <v>0</v>
      </c>
      <c r="F6" s="6" t="s">
        <v>1</v>
      </c>
      <c r="G6" s="9"/>
    </row>
    <row r="7" spans="1:7" s="10" customFormat="1" ht="12" customHeight="1" x14ac:dyDescent="0.2">
      <c r="A7" s="5"/>
      <c r="B7" s="6"/>
      <c r="C7" s="6"/>
      <c r="D7" s="7" t="s">
        <v>35</v>
      </c>
      <c r="E7" s="12">
        <v>0.9</v>
      </c>
      <c r="F7" s="6"/>
      <c r="G7" s="9"/>
    </row>
    <row r="8" spans="1:7" s="10" customFormat="1" ht="12" customHeight="1" x14ac:dyDescent="0.2">
      <c r="A8" s="5"/>
      <c r="B8" s="6"/>
      <c r="C8" s="6"/>
      <c r="D8" s="7"/>
      <c r="E8" s="8"/>
      <c r="F8" s="6"/>
      <c r="G8" s="9"/>
    </row>
    <row r="9" spans="1:7" s="10" customFormat="1" ht="12" customHeight="1" x14ac:dyDescent="0.2">
      <c r="A9" s="5"/>
      <c r="B9" s="6"/>
      <c r="C9" s="6"/>
      <c r="D9" s="7" t="s">
        <v>24</v>
      </c>
      <c r="E9" s="8">
        <v>86</v>
      </c>
      <c r="F9" s="6" t="s">
        <v>25</v>
      </c>
      <c r="G9" s="9"/>
    </row>
    <row r="10" spans="1:7" s="10" customFormat="1" ht="12" customHeight="1" x14ac:dyDescent="0.2">
      <c r="A10" s="5"/>
      <c r="B10" s="6"/>
      <c r="C10" s="6"/>
      <c r="D10" s="7" t="s">
        <v>96</v>
      </c>
      <c r="E10" s="8" t="s">
        <v>85</v>
      </c>
      <c r="F10" s="6" t="s">
        <v>82</v>
      </c>
      <c r="G10" s="9"/>
    </row>
    <row r="11" spans="1:7" s="10" customFormat="1" ht="12" customHeight="1" x14ac:dyDescent="0.2">
      <c r="A11" s="5"/>
      <c r="B11" s="6"/>
      <c r="C11" s="6"/>
      <c r="D11" s="7" t="s">
        <v>93</v>
      </c>
      <c r="E11" s="8" t="s">
        <v>77</v>
      </c>
      <c r="F11" s="6"/>
      <c r="G11" s="9"/>
    </row>
    <row r="12" spans="1:7" s="10" customFormat="1" ht="12" customHeight="1" x14ac:dyDescent="0.2">
      <c r="A12" s="5"/>
      <c r="B12" s="6"/>
      <c r="C12" s="6"/>
      <c r="D12" s="7"/>
      <c r="E12" s="8"/>
      <c r="F12" s="6"/>
      <c r="G12" s="9"/>
    </row>
    <row r="13" spans="1:7" s="10" customFormat="1" ht="12" customHeight="1" x14ac:dyDescent="0.2">
      <c r="A13" s="5"/>
      <c r="B13" s="6"/>
      <c r="C13" s="6"/>
      <c r="D13" s="7" t="s">
        <v>46</v>
      </c>
      <c r="E13" s="11">
        <v>1</v>
      </c>
      <c r="F13" s="6"/>
      <c r="G13" s="9"/>
    </row>
    <row r="14" spans="1:7" s="10" customFormat="1" ht="12" customHeight="1" x14ac:dyDescent="0.2">
      <c r="A14" s="5"/>
      <c r="B14" s="6"/>
      <c r="C14" s="6"/>
      <c r="D14" s="7" t="s">
        <v>7</v>
      </c>
      <c r="E14" s="8" t="s">
        <v>23</v>
      </c>
      <c r="F14" s="6"/>
      <c r="G14" s="9"/>
    </row>
    <row r="15" spans="1:7" s="10" customFormat="1" ht="12" customHeight="1" x14ac:dyDescent="0.2">
      <c r="A15" s="5"/>
      <c r="B15" s="6"/>
      <c r="C15" s="6"/>
      <c r="D15" s="7" t="s">
        <v>8</v>
      </c>
      <c r="E15" s="12">
        <v>2</v>
      </c>
      <c r="F15" s="6" t="s">
        <v>6</v>
      </c>
      <c r="G15" s="9"/>
    </row>
    <row r="16" spans="1:7" s="10" customFormat="1" ht="12" customHeight="1" x14ac:dyDescent="0.2">
      <c r="A16" s="5"/>
      <c r="B16" s="6"/>
      <c r="C16" s="6"/>
      <c r="D16" s="7"/>
      <c r="E16" s="12"/>
      <c r="F16" s="6"/>
      <c r="G16" s="9"/>
    </row>
    <row r="17" spans="1:9" s="10" customFormat="1" ht="12" customHeight="1" x14ac:dyDescent="0.2">
      <c r="A17" s="5"/>
      <c r="B17" s="6"/>
      <c r="C17" s="6"/>
      <c r="D17" s="7" t="s">
        <v>101</v>
      </c>
      <c r="E17" s="12" t="s">
        <v>42</v>
      </c>
      <c r="F17" s="6"/>
      <c r="G17" s="9"/>
    </row>
    <row r="18" spans="1:9" s="10" customFormat="1" ht="12" customHeight="1" x14ac:dyDescent="0.2">
      <c r="A18" s="5"/>
      <c r="B18" s="6"/>
      <c r="C18" s="6"/>
      <c r="D18" s="6"/>
      <c r="E18" s="7"/>
      <c r="F18" s="6"/>
      <c r="G18" s="9"/>
    </row>
    <row r="19" spans="1:9" s="10" customFormat="1" ht="12" customHeight="1" x14ac:dyDescent="0.25">
      <c r="A19" s="104"/>
      <c r="B19" s="88" t="s">
        <v>26</v>
      </c>
      <c r="C19" s="88"/>
      <c r="D19" s="88"/>
      <c r="E19" s="88"/>
      <c r="F19" s="88"/>
      <c r="G19" s="105"/>
    </row>
    <row r="20" spans="1:9" s="10" customFormat="1" ht="12" customHeight="1" x14ac:dyDescent="0.25">
      <c r="A20" s="104"/>
      <c r="B20" s="89"/>
      <c r="C20" s="89"/>
      <c r="D20" s="90" t="s">
        <v>79</v>
      </c>
      <c r="E20" s="91">
        <f>IFERROR('wire calculator'!C36,"")</f>
        <v>0</v>
      </c>
      <c r="F20" s="92" t="s">
        <v>3</v>
      </c>
      <c r="G20" s="105"/>
    </row>
    <row r="21" spans="1:9" s="10" customFormat="1" ht="12" customHeight="1" x14ac:dyDescent="0.25">
      <c r="A21" s="104"/>
      <c r="B21" s="93"/>
      <c r="C21" s="93"/>
      <c r="D21" s="90" t="s">
        <v>31</v>
      </c>
      <c r="E21" s="94" t="str">
        <f>IFERROR(IF(AND(E17="yes",'wire calculator'!C55='Trade Size'!$B$22),'Trade Size'!$B$21,'wire calculator'!C55),"")</f>
        <v/>
      </c>
      <c r="F21" s="93" t="s">
        <v>27</v>
      </c>
      <c r="G21" s="105"/>
    </row>
    <row r="22" spans="1:9" s="10" customFormat="1" ht="12" customHeight="1" x14ac:dyDescent="0.25">
      <c r="A22" s="104"/>
      <c r="B22" s="93"/>
      <c r="C22" s="93"/>
      <c r="D22" s="90" t="s">
        <v>32</v>
      </c>
      <c r="E22" s="90" t="str">
        <f>IFERROR(INDEX('Trade Size'!A1:A30,MATCH(UI!E21,'Trade Size'!B1:B30,0)),"out of range")</f>
        <v>out of range</v>
      </c>
      <c r="F22" s="93" t="str">
        <f>IF(COUNTIF('Trade Size'!$A$16:$A$30,UI!E22),"AWG","MCM")</f>
        <v>MCM</v>
      </c>
      <c r="G22" s="105"/>
    </row>
    <row r="23" spans="1:9" s="10" customFormat="1" ht="12" customHeight="1" x14ac:dyDescent="0.25">
      <c r="A23" s="104"/>
      <c r="B23" s="93"/>
      <c r="C23" s="93"/>
      <c r="D23" s="90" t="s">
        <v>33</v>
      </c>
      <c r="E23" s="90" t="str">
        <f>IFERROR(IF(AND(UI!E17="yes",'wire calculator'!C73=3),2,'wire calculator'!C73),"out of range")</f>
        <v>out of range</v>
      </c>
      <c r="F23" s="93" t="str">
        <f>IF(COUNTIF('Trade Size'!$A$16:$A$30,UI!E23),"AWG","MCM")</f>
        <v>MCM</v>
      </c>
      <c r="G23" s="105"/>
    </row>
    <row r="24" spans="1:9" s="10" customFormat="1" ht="12" customHeight="1" x14ac:dyDescent="0.25">
      <c r="A24" s="104"/>
      <c r="B24" s="93"/>
      <c r="C24" s="93"/>
      <c r="D24" s="90" t="s">
        <v>115</v>
      </c>
      <c r="E24" s="90" t="str">
        <f>IFERROR(IF(AND(UI!E17="yes",'wire calculator'!C79=3),2,'wire calculator'!C79),"out of range")</f>
        <v>out of range</v>
      </c>
      <c r="F24" s="93" t="str">
        <f>IF(COUNTIF('Trade Size'!$A$16:$A$30,UI!E24),"AWG","MCM")</f>
        <v>MCM</v>
      </c>
      <c r="G24" s="105"/>
      <c r="I24" s="62"/>
    </row>
    <row r="25" spans="1:9" s="10" customFormat="1" ht="12" customHeight="1" x14ac:dyDescent="0.25">
      <c r="A25" s="104"/>
      <c r="B25" s="93"/>
      <c r="C25" s="93"/>
      <c r="D25" s="90" t="s">
        <v>36</v>
      </c>
      <c r="E25" s="90" t="str">
        <f>IFERROR(IF(AND(E17="yes",'wire calculator'!C76=3),2,'wire calculator'!C76),"out of range")</f>
        <v>out of range</v>
      </c>
      <c r="F25" s="93" t="str">
        <f>IF(COUNTIF('Trade Size'!$A$16:$A$30,UI!E25),"AWG","MCM")</f>
        <v>MCM</v>
      </c>
      <c r="G25" s="105"/>
      <c r="I25" s="62"/>
    </row>
    <row r="26" spans="1:9" s="10" customFormat="1" ht="12" customHeight="1" x14ac:dyDescent="0.25">
      <c r="A26" s="104"/>
      <c r="B26" s="93"/>
      <c r="C26" s="93"/>
      <c r="D26" s="90" t="s">
        <v>29</v>
      </c>
      <c r="E26" s="95" t="str">
        <f>IFERROR(VLOOKUP(UI!E21,'wire calculator'!F1:AJ30,(1+20+SUM('wire calculator'!C24:C27)),FALSE),"")</f>
        <v/>
      </c>
      <c r="F26" s="93" t="s">
        <v>6</v>
      </c>
      <c r="G26" s="105"/>
    </row>
    <row r="27" spans="1:9" s="10" customFormat="1" ht="12" customHeight="1" x14ac:dyDescent="0.25">
      <c r="A27" s="104"/>
      <c r="B27" s="93"/>
      <c r="C27" s="93"/>
      <c r="D27" s="90" t="s">
        <v>28</v>
      </c>
      <c r="E27" s="91" t="str">
        <f>IFERROR(E3-(E3*E26/100),"")</f>
        <v/>
      </c>
      <c r="F27" s="93" t="s">
        <v>2</v>
      </c>
      <c r="G27" s="105"/>
    </row>
    <row r="28" spans="1:9" s="10" customFormat="1" ht="12" customHeight="1" x14ac:dyDescent="0.25">
      <c r="A28" s="104"/>
      <c r="B28" s="93"/>
      <c r="C28" s="93"/>
      <c r="D28" s="90" t="s">
        <v>122</v>
      </c>
      <c r="E28" s="91" t="str">
        <f>IFERROR('wire calculator'!C64,"")</f>
        <v/>
      </c>
      <c r="F28" s="93" t="s">
        <v>1</v>
      </c>
      <c r="G28" s="105"/>
    </row>
    <row r="29" spans="1:9" s="10" customFormat="1" ht="12" customHeight="1" x14ac:dyDescent="0.2">
      <c r="A29" s="13"/>
      <c r="B29" s="15"/>
      <c r="C29" s="15"/>
      <c r="D29" s="16"/>
      <c r="E29" s="16"/>
      <c r="F29" s="15"/>
      <c r="G29" s="14"/>
    </row>
    <row r="30" spans="1:9" s="10" customFormat="1" ht="12" customHeight="1" x14ac:dyDescent="0.25">
      <c r="A30" s="106"/>
      <c r="B30" s="96" t="s">
        <v>30</v>
      </c>
      <c r="C30" s="96"/>
      <c r="D30" s="96"/>
      <c r="E30" s="96"/>
      <c r="F30" s="96"/>
      <c r="G30" s="107"/>
    </row>
    <row r="31" spans="1:9" s="10" customFormat="1" ht="12" customHeight="1" x14ac:dyDescent="0.25">
      <c r="A31" s="106"/>
      <c r="B31" s="97"/>
      <c r="C31" s="97"/>
      <c r="D31" s="98" t="s">
        <v>79</v>
      </c>
      <c r="E31" s="99">
        <f>IFERROR('wire calculator'!C36,"")</f>
        <v>0</v>
      </c>
      <c r="F31" s="100" t="s">
        <v>3</v>
      </c>
      <c r="G31" s="107"/>
    </row>
    <row r="32" spans="1:9" s="10" customFormat="1" ht="12" customHeight="1" x14ac:dyDescent="0.25">
      <c r="A32" s="106"/>
      <c r="B32" s="97"/>
      <c r="C32" s="97"/>
      <c r="D32" s="98" t="s">
        <v>31</v>
      </c>
      <c r="E32" s="101" t="str">
        <f>IFERROR(IF(AND(E17="yes",'wire calculator'!C56='Trade Size'!$B$22),'Trade Size'!$B$21,'wire calculator'!C56),"")</f>
        <v/>
      </c>
      <c r="F32" s="97" t="s">
        <v>27</v>
      </c>
      <c r="G32" s="107"/>
    </row>
    <row r="33" spans="1:7" s="10" customFormat="1" ht="12" customHeight="1" x14ac:dyDescent="0.25">
      <c r="A33" s="106"/>
      <c r="B33" s="97"/>
      <c r="C33" s="97"/>
      <c r="D33" s="98" t="s">
        <v>32</v>
      </c>
      <c r="E33" s="98" t="str">
        <f>IFERROR(INDEX('Trade Size'!A1:A30,MATCH(UI!E32,'Trade Size'!B1:B30,0)),"out of range")</f>
        <v>out of range</v>
      </c>
      <c r="F33" s="97" t="str">
        <f>IF(COUNTIF('Trade Size'!$A$16:$A$30,UI!E33),"AWG","MCM")</f>
        <v>MCM</v>
      </c>
      <c r="G33" s="107"/>
    </row>
    <row r="34" spans="1:7" s="10" customFormat="1" ht="12" customHeight="1" x14ac:dyDescent="0.25">
      <c r="A34" s="106"/>
      <c r="B34" s="97"/>
      <c r="C34" s="97"/>
      <c r="D34" s="98" t="s">
        <v>33</v>
      </c>
      <c r="E34" s="102" t="str">
        <f>IFERROR(IF(AND(UI!E17="yes",'wire calculator'!C74=3),2,'wire calculator'!C74),"out of range")</f>
        <v>out of range</v>
      </c>
      <c r="F34" s="97" t="str">
        <f>IF(COUNTIF('Trade Size'!$A$16:$A$30,UI!E34),"AWG","MCM")</f>
        <v>MCM</v>
      </c>
      <c r="G34" s="107"/>
    </row>
    <row r="35" spans="1:7" s="10" customFormat="1" ht="12" customHeight="1" x14ac:dyDescent="0.25">
      <c r="A35" s="106"/>
      <c r="B35" s="97"/>
      <c r="C35" s="97"/>
      <c r="D35" s="98" t="s">
        <v>115</v>
      </c>
      <c r="E35" s="102" t="str">
        <f>IFERROR(IF(AND(UI!E17="yes",'wire calculator'!C80=3),2,'wire calculator'!C80),"out of range")</f>
        <v>out of range</v>
      </c>
      <c r="F35" s="97" t="str">
        <f>IF(COUNTIF('Trade Size'!$A$16:$A$30,UI!E35),"AWG","MCM")</f>
        <v>MCM</v>
      </c>
      <c r="G35" s="107"/>
    </row>
    <row r="36" spans="1:7" s="10" customFormat="1" ht="12" customHeight="1" x14ac:dyDescent="0.25">
      <c r="A36" s="106"/>
      <c r="B36" s="97"/>
      <c r="C36" s="97"/>
      <c r="D36" s="98" t="s">
        <v>36</v>
      </c>
      <c r="E36" s="98" t="str">
        <f>IFERROR(IF(AND(E17="yes",'wire calculator'!C77=3),2,'wire calculator'!C77),"out of range")</f>
        <v>out of range</v>
      </c>
      <c r="F36" s="97" t="str">
        <f>IF(COUNTIF('Trade Size'!$A$16:$A$30,UI!E36),"AWG","MCM")</f>
        <v>MCM</v>
      </c>
      <c r="G36" s="107"/>
    </row>
    <row r="37" spans="1:7" s="10" customFormat="1" ht="12" customHeight="1" x14ac:dyDescent="0.25">
      <c r="A37" s="106"/>
      <c r="B37" s="97"/>
      <c r="C37" s="97"/>
      <c r="D37" s="98" t="s">
        <v>29</v>
      </c>
      <c r="E37" s="103" t="str">
        <f>IFERROR(VLOOKUP(UI!E32,'wire calculator'!F1:AJ30,(1+20+SUM('wire calculator'!C28:C33)),FALSE),"")</f>
        <v/>
      </c>
      <c r="F37" s="97" t="s">
        <v>6</v>
      </c>
      <c r="G37" s="107"/>
    </row>
    <row r="38" spans="1:7" s="10" customFormat="1" ht="12" customHeight="1" x14ac:dyDescent="0.25">
      <c r="A38" s="106"/>
      <c r="B38" s="97"/>
      <c r="C38" s="97"/>
      <c r="D38" s="98" t="s">
        <v>28</v>
      </c>
      <c r="E38" s="99" t="str">
        <f>IFERROR(E3-(E3*E37/100),"")</f>
        <v/>
      </c>
      <c r="F38" s="97" t="s">
        <v>2</v>
      </c>
      <c r="G38" s="107"/>
    </row>
    <row r="39" spans="1:7" s="10" customFormat="1" ht="12" customHeight="1" x14ac:dyDescent="0.25">
      <c r="A39" s="106"/>
      <c r="B39" s="97"/>
      <c r="C39" s="97"/>
      <c r="D39" s="98" t="s">
        <v>122</v>
      </c>
      <c r="E39" s="99" t="str">
        <f>IFERROR('wire calculator'!C65,"")</f>
        <v/>
      </c>
      <c r="F39" s="97" t="s">
        <v>1</v>
      </c>
      <c r="G39" s="107"/>
    </row>
    <row r="40" spans="1:7" s="10" customFormat="1" ht="12" customHeight="1" x14ac:dyDescent="0.2">
      <c r="A40" s="17"/>
      <c r="B40" s="18"/>
      <c r="C40" s="18"/>
      <c r="D40" s="28"/>
      <c r="E40" s="27"/>
      <c r="F40" s="18"/>
      <c r="G40" s="19"/>
    </row>
    <row r="41" spans="1:7" s="10" customFormat="1" ht="12" customHeight="1" x14ac:dyDescent="0.2">
      <c r="A41" s="71" t="s">
        <v>34</v>
      </c>
      <c r="B41" s="72"/>
      <c r="C41" s="72"/>
      <c r="D41" s="72"/>
      <c r="E41" s="72"/>
      <c r="F41" s="72"/>
      <c r="G41" s="73"/>
    </row>
    <row r="42" spans="1:7" s="10" customFormat="1" ht="12" customHeight="1" x14ac:dyDescent="0.2">
      <c r="A42" s="71" t="s">
        <v>126</v>
      </c>
      <c r="B42" s="72"/>
      <c r="C42" s="72"/>
      <c r="D42" s="72"/>
      <c r="E42" s="72"/>
      <c r="F42" s="72"/>
      <c r="G42" s="73"/>
    </row>
    <row r="43" spans="1:7" s="10" customFormat="1" ht="12" customHeight="1" x14ac:dyDescent="0.2">
      <c r="A43" s="71"/>
      <c r="B43" s="72"/>
      <c r="C43" s="72"/>
      <c r="D43" s="72"/>
      <c r="E43" s="72"/>
      <c r="F43" s="72"/>
      <c r="G43" s="73"/>
    </row>
    <row r="44" spans="1:7" s="10" customFormat="1" ht="12" customHeight="1" x14ac:dyDescent="0.2">
      <c r="A44" s="77"/>
      <c r="B44" s="78"/>
      <c r="C44" s="78"/>
      <c r="D44" s="78"/>
      <c r="E44" s="78"/>
      <c r="F44" s="78"/>
      <c r="G44" s="79"/>
    </row>
    <row r="45" spans="1:7" hidden="1" x14ac:dyDescent="0.25"/>
    <row r="46" spans="1:7" hidden="1" x14ac:dyDescent="0.25"/>
    <row r="47" spans="1:7" hidden="1" x14ac:dyDescent="0.25"/>
    <row r="48" spans="1:7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</sheetData>
  <sheetProtection algorithmName="SHA-512" hashValue="i6JuTvT3bDmoY8dYiMnC0q4buqNY2IOQN+8G5828FdBWZ+CekAt6dMXeioFvJlJ6Cu1ed3Ed8mR60MamGDleHA==" saltValue="6yTwyI+u7L+iXXaW8w3K2A==" spinCount="100000" sheet="1" objects="1" scenarios="1"/>
  <protectedRanges>
    <protectedRange sqref="A1" name="Header"/>
    <protectedRange sqref="E3:E7 F5 E9:E11 E13:E15 E17" name="inputs"/>
  </protectedRanges>
  <dataConsolidate/>
  <mergeCells count="5">
    <mergeCell ref="A41:G41"/>
    <mergeCell ref="A1:G1"/>
    <mergeCell ref="B19:F19"/>
    <mergeCell ref="B30:F30"/>
    <mergeCell ref="A42:G44"/>
  </mergeCells>
  <dataValidations count="3">
    <dataValidation type="list" allowBlank="1" showInputMessage="1" showErrorMessage="1" sqref="F5" xr:uid="{E26FDE8D-98B2-48CC-B182-68ABB7908921}">
      <formula1>"VA, A"</formula1>
    </dataValidation>
    <dataValidation type="list" allowBlank="1" showInputMessage="1" showErrorMessage="1" sqref="E11" xr:uid="{C9C64C60-A407-4BD9-BABC-E580E036D458}">
      <formula1>"direct burried,PVC conduit,Al conduit,steel conduit,open air,"</formula1>
    </dataValidation>
    <dataValidation type="list" allowBlank="1" showInputMessage="1" showErrorMessage="1" sqref="E17" xr:uid="{1CB44DF0-5607-44DF-B3C1-7015EFD6B4C8}">
      <formula1>"yes,no"</formula1>
    </dataValidation>
  </dataValidations>
  <printOptions horizontalCentered="1" verticalCentered="1"/>
  <pageMargins left="0.7" right="0.7" top="0.75" bottom="0.75" header="0.3" footer="0.3"/>
  <pageSetup orientation="portrait" r:id="rId1"/>
  <headerFooter>
    <oddHeader>&amp;LTodd Miller
todd@designbuild.support
661-558-7961
&amp;R&amp;G</oddHeader>
    <oddFooter>&amp;C2005 EYE Street, Suite 4 - #116, Bakersfield, CA 93301
www.designbuild.support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6C3C23-31E9-43C6-951A-14B3D7557355}">
          <x14:formula1>
            <xm:f>'wire calculator'!$B$8:$B$13</xm:f>
          </x14:formula1>
          <xm:sqref>E10</xm:sqref>
        </x14:dataValidation>
        <x14:dataValidation type="list" allowBlank="1" showInputMessage="1" showErrorMessage="1" xr:uid="{E24D958F-D295-48E9-84CD-64AC3821596A}">
          <x14:formula1>
            <xm:f>'wire calculator'!$B$1:$B$5</xm:f>
          </x14:formula1>
          <xm:sqref>E4</xm:sqref>
        </x14:dataValidation>
        <x14:dataValidation type="list" allowBlank="1" showInputMessage="1" showErrorMessage="1" xr:uid="{B7B39421-E54A-4531-B683-AA8AC3455F67}">
          <x14:formula1>
            <xm:f>'310.15(b)(3)(a)'!$A$1:$A$7</xm:f>
          </x14:formula1>
          <xm:sqref>E14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5B34-0D7E-48CF-A2AF-A9174023ED16}">
  <dimension ref="A1:F31"/>
  <sheetViews>
    <sheetView workbookViewId="0">
      <selection activeCell="A32" sqref="A32"/>
    </sheetView>
  </sheetViews>
  <sheetFormatPr defaultRowHeight="15" x14ac:dyDescent="0.25"/>
  <sheetData>
    <row r="1" spans="1:6" x14ac:dyDescent="0.25">
      <c r="A1" s="1">
        <f>'Trade Size'!A1</f>
        <v>2000</v>
      </c>
      <c r="B1" s="33">
        <f>'Trade Size'!B1</f>
        <v>2000000</v>
      </c>
      <c r="C1">
        <v>0</v>
      </c>
      <c r="D1">
        <v>0</v>
      </c>
      <c r="E1">
        <v>0</v>
      </c>
      <c r="F1" s="39">
        <v>0</v>
      </c>
    </row>
    <row r="2" spans="1:6" x14ac:dyDescent="0.25">
      <c r="A2" s="1">
        <f>'Trade Size'!A2</f>
        <v>1750</v>
      </c>
      <c r="B2" s="33">
        <f>'Trade Size'!B2</f>
        <v>1750000</v>
      </c>
      <c r="C2">
        <v>0</v>
      </c>
      <c r="D2">
        <v>0</v>
      </c>
      <c r="E2">
        <v>0</v>
      </c>
      <c r="F2" s="39">
        <v>0</v>
      </c>
    </row>
    <row r="3" spans="1:6" x14ac:dyDescent="0.25">
      <c r="A3" s="1">
        <f>'Trade Size'!A3</f>
        <v>1500</v>
      </c>
      <c r="B3" s="33">
        <f>'Trade Size'!B3</f>
        <v>1500000</v>
      </c>
      <c r="C3">
        <v>0</v>
      </c>
      <c r="D3">
        <v>0</v>
      </c>
      <c r="E3">
        <v>0</v>
      </c>
      <c r="F3" s="39">
        <v>0</v>
      </c>
    </row>
    <row r="4" spans="1:6" x14ac:dyDescent="0.25">
      <c r="A4" s="1">
        <f>'Trade Size'!A4</f>
        <v>1250</v>
      </c>
      <c r="B4" s="33">
        <f>'Trade Size'!B4</f>
        <v>1250000</v>
      </c>
      <c r="C4">
        <v>0</v>
      </c>
      <c r="D4">
        <v>0</v>
      </c>
      <c r="E4">
        <v>0</v>
      </c>
      <c r="F4" s="39">
        <v>0</v>
      </c>
    </row>
    <row r="5" spans="1:6" x14ac:dyDescent="0.25">
      <c r="A5" s="1">
        <f>'Trade Size'!A5</f>
        <v>1000</v>
      </c>
      <c r="B5" s="33">
        <f>'Trade Size'!B5</f>
        <v>1000000</v>
      </c>
      <c r="C5">
        <v>0</v>
      </c>
      <c r="D5">
        <v>0</v>
      </c>
      <c r="E5">
        <v>0</v>
      </c>
      <c r="F5" s="39">
        <v>0</v>
      </c>
    </row>
    <row r="6" spans="1:6" x14ac:dyDescent="0.25">
      <c r="A6" s="1">
        <f>'Trade Size'!A6</f>
        <v>900</v>
      </c>
      <c r="B6" s="33">
        <f>'Trade Size'!B6</f>
        <v>900000</v>
      </c>
      <c r="C6">
        <v>0</v>
      </c>
      <c r="D6">
        <v>0</v>
      </c>
      <c r="E6">
        <v>0</v>
      </c>
      <c r="F6" s="39">
        <v>0</v>
      </c>
    </row>
    <row r="7" spans="1:6" x14ac:dyDescent="0.25">
      <c r="A7" s="1">
        <f>'Trade Size'!A7</f>
        <v>800</v>
      </c>
      <c r="B7" s="33">
        <f>'Trade Size'!B7</f>
        <v>800000</v>
      </c>
      <c r="C7">
        <v>0</v>
      </c>
      <c r="D7">
        <v>0</v>
      </c>
      <c r="E7">
        <v>0</v>
      </c>
      <c r="F7" s="39">
        <v>0</v>
      </c>
    </row>
    <row r="8" spans="1:6" x14ac:dyDescent="0.25">
      <c r="A8" s="1">
        <f>'Trade Size'!A8</f>
        <v>750</v>
      </c>
      <c r="B8" s="33">
        <f>'Trade Size'!B8</f>
        <v>750000</v>
      </c>
      <c r="C8">
        <v>0</v>
      </c>
      <c r="D8">
        <v>0</v>
      </c>
      <c r="E8">
        <v>0</v>
      </c>
      <c r="F8" s="39">
        <v>0</v>
      </c>
    </row>
    <row r="9" spans="1:6" x14ac:dyDescent="0.25">
      <c r="A9" s="1">
        <f>'Trade Size'!A9</f>
        <v>700</v>
      </c>
      <c r="B9" s="33">
        <f>'Trade Size'!B9</f>
        <v>700000</v>
      </c>
      <c r="C9">
        <v>0</v>
      </c>
      <c r="D9">
        <v>0</v>
      </c>
      <c r="E9">
        <v>0</v>
      </c>
      <c r="F9" s="39">
        <v>0</v>
      </c>
    </row>
    <row r="10" spans="1:6" x14ac:dyDescent="0.25">
      <c r="A10" s="1">
        <f>'Trade Size'!A10</f>
        <v>600</v>
      </c>
      <c r="B10" s="33">
        <f>'Trade Size'!B10</f>
        <v>600000</v>
      </c>
      <c r="C10">
        <v>0</v>
      </c>
      <c r="D10">
        <v>0</v>
      </c>
      <c r="E10">
        <v>0</v>
      </c>
      <c r="F10" s="39">
        <v>0</v>
      </c>
    </row>
    <row r="11" spans="1:6" x14ac:dyDescent="0.25">
      <c r="A11" s="1">
        <f>'Trade Size'!A11</f>
        <v>500</v>
      </c>
      <c r="B11" s="33">
        <f>'Trade Size'!B11</f>
        <v>500000</v>
      </c>
      <c r="C11">
        <v>0</v>
      </c>
      <c r="D11">
        <v>0</v>
      </c>
      <c r="E11">
        <v>0</v>
      </c>
      <c r="F11" s="39">
        <v>0</v>
      </c>
    </row>
    <row r="12" spans="1:6" x14ac:dyDescent="0.25">
      <c r="A12" s="1">
        <f>'Trade Size'!A12</f>
        <v>400</v>
      </c>
      <c r="B12" s="33">
        <f>'Trade Size'!B12</f>
        <v>400000</v>
      </c>
      <c r="C12">
        <v>0</v>
      </c>
      <c r="D12">
        <v>0</v>
      </c>
      <c r="E12">
        <v>0</v>
      </c>
      <c r="F12" s="39">
        <v>0</v>
      </c>
    </row>
    <row r="13" spans="1:6" x14ac:dyDescent="0.25">
      <c r="A13" s="1">
        <f>'Trade Size'!A13</f>
        <v>350</v>
      </c>
      <c r="B13" s="33">
        <f>'Trade Size'!B13</f>
        <v>350000</v>
      </c>
      <c r="C13">
        <v>0</v>
      </c>
      <c r="D13">
        <v>0</v>
      </c>
      <c r="E13">
        <v>0</v>
      </c>
      <c r="F13" s="39">
        <v>0</v>
      </c>
    </row>
    <row r="14" spans="1:6" x14ac:dyDescent="0.25">
      <c r="A14" s="1">
        <f>'Trade Size'!A14</f>
        <v>300</v>
      </c>
      <c r="B14" s="33">
        <f>'Trade Size'!B14</f>
        <v>300000</v>
      </c>
      <c r="C14">
        <v>0</v>
      </c>
      <c r="D14">
        <v>0</v>
      </c>
      <c r="E14">
        <v>0</v>
      </c>
      <c r="F14" s="39">
        <v>0</v>
      </c>
    </row>
    <row r="15" spans="1:6" x14ac:dyDescent="0.25">
      <c r="A15" s="1">
        <f>'Trade Size'!A15</f>
        <v>250</v>
      </c>
      <c r="B15" s="33">
        <f>'Trade Size'!B15</f>
        <v>250000</v>
      </c>
      <c r="C15">
        <v>0</v>
      </c>
      <c r="D15">
        <v>0</v>
      </c>
      <c r="E15">
        <v>0</v>
      </c>
      <c r="F15" s="39">
        <v>0</v>
      </c>
    </row>
    <row r="16" spans="1:6" x14ac:dyDescent="0.25">
      <c r="A16" s="1" t="str">
        <f>'Trade Size'!A16</f>
        <v>4/0</v>
      </c>
      <c r="B16" s="33">
        <f>'Trade Size'!B16</f>
        <v>211600</v>
      </c>
      <c r="C16">
        <v>332</v>
      </c>
      <c r="D16">
        <v>346</v>
      </c>
      <c r="E16">
        <v>361</v>
      </c>
      <c r="F16" s="39">
        <v>260</v>
      </c>
    </row>
    <row r="17" spans="1:6" x14ac:dyDescent="0.25">
      <c r="A17" s="1" t="str">
        <f>'Trade Size'!A17</f>
        <v>3/0</v>
      </c>
      <c r="B17" s="33">
        <f>'Trade Size'!B17</f>
        <v>167800</v>
      </c>
      <c r="C17">
        <v>288</v>
      </c>
      <c r="D17">
        <v>297</v>
      </c>
      <c r="E17">
        <v>308</v>
      </c>
      <c r="F17" s="39">
        <v>227</v>
      </c>
    </row>
    <row r="18" spans="1:6" x14ac:dyDescent="0.25">
      <c r="A18" s="1" t="str">
        <f>'Trade Size'!A18</f>
        <v>2/0</v>
      </c>
      <c r="B18" s="33">
        <f>'Trade Size'!B18</f>
        <v>133100</v>
      </c>
      <c r="C18">
        <v>251</v>
      </c>
      <c r="D18">
        <v>260</v>
      </c>
      <c r="E18">
        <v>273</v>
      </c>
      <c r="F18" s="39">
        <v>198</v>
      </c>
    </row>
    <row r="19" spans="1:6" x14ac:dyDescent="0.25">
      <c r="A19" s="1" t="str">
        <f>'Trade Size'!A19</f>
        <v>1/0</v>
      </c>
      <c r="B19" s="33">
        <f>'Trade Size'!B19</f>
        <v>105600</v>
      </c>
      <c r="C19">
        <v>215</v>
      </c>
      <c r="D19">
        <v>229</v>
      </c>
      <c r="E19">
        <v>244</v>
      </c>
      <c r="F19" s="39">
        <v>169</v>
      </c>
    </row>
    <row r="20" spans="1:6" x14ac:dyDescent="0.25">
      <c r="A20" s="1">
        <f>'Trade Size'!A20</f>
        <v>1</v>
      </c>
      <c r="B20" s="33">
        <f>'Trade Size'!B20</f>
        <v>83690</v>
      </c>
      <c r="C20">
        <v>186</v>
      </c>
      <c r="D20">
        <v>197</v>
      </c>
      <c r="E20">
        <v>215</v>
      </c>
      <c r="F20" s="39">
        <v>145</v>
      </c>
    </row>
    <row r="21" spans="1:6" x14ac:dyDescent="0.25">
      <c r="A21" s="1">
        <f>'Trade Size'!A21</f>
        <v>2</v>
      </c>
      <c r="B21" s="33">
        <f>'Trade Size'!B21</f>
        <v>66360</v>
      </c>
      <c r="C21">
        <v>160</v>
      </c>
      <c r="D21">
        <v>171</v>
      </c>
      <c r="E21">
        <v>191</v>
      </c>
      <c r="F21" s="39">
        <v>124</v>
      </c>
    </row>
    <row r="22" spans="1:6" x14ac:dyDescent="0.25">
      <c r="A22" s="1">
        <f>'Trade Size'!A22</f>
        <v>3</v>
      </c>
      <c r="B22" s="33">
        <f>'Trade Size'!B22</f>
        <v>52620</v>
      </c>
      <c r="C22">
        <v>143</v>
      </c>
      <c r="D22">
        <v>152</v>
      </c>
      <c r="E22">
        <v>166</v>
      </c>
      <c r="F22" s="39">
        <v>109</v>
      </c>
    </row>
    <row r="23" spans="1:6" x14ac:dyDescent="0.25">
      <c r="A23" s="1">
        <f>'Trade Size'!A23</f>
        <v>4</v>
      </c>
      <c r="B23" s="33">
        <f>'Trade Size'!B23</f>
        <v>41740</v>
      </c>
      <c r="C23">
        <v>120</v>
      </c>
      <c r="D23">
        <v>125</v>
      </c>
      <c r="E23">
        <v>148</v>
      </c>
      <c r="F23" s="39">
        <v>94</v>
      </c>
    </row>
    <row r="24" spans="1:6" x14ac:dyDescent="0.25">
      <c r="A24" s="1">
        <f>'Trade Size'!A24</f>
        <v>6</v>
      </c>
      <c r="B24" s="33">
        <f>'Trade Size'!B24</f>
        <v>26240</v>
      </c>
      <c r="C24">
        <v>96</v>
      </c>
      <c r="D24">
        <v>110</v>
      </c>
      <c r="E24">
        <v>117</v>
      </c>
      <c r="F24" s="39">
        <v>75</v>
      </c>
    </row>
    <row r="25" spans="1:6" x14ac:dyDescent="0.25">
      <c r="A25" s="1">
        <f>'Trade Size'!A25</f>
        <v>8</v>
      </c>
      <c r="B25" s="33">
        <f>'Trade Size'!B25</f>
        <v>16510</v>
      </c>
      <c r="C25">
        <v>76</v>
      </c>
      <c r="D25">
        <v>83</v>
      </c>
      <c r="E25">
        <v>93</v>
      </c>
      <c r="F25" s="39">
        <v>57</v>
      </c>
    </row>
    <row r="26" spans="1:6" x14ac:dyDescent="0.25">
      <c r="A26" s="1">
        <f>'Trade Size'!A26</f>
        <v>10</v>
      </c>
      <c r="B26" s="33">
        <f>'Trade Size'!B26</f>
        <v>10380</v>
      </c>
      <c r="C26">
        <v>55</v>
      </c>
      <c r="D26">
        <v>60</v>
      </c>
      <c r="E26">
        <v>73</v>
      </c>
      <c r="F26" s="39">
        <v>44</v>
      </c>
    </row>
    <row r="27" spans="1:6" x14ac:dyDescent="0.25">
      <c r="A27" s="1">
        <f>'Trade Size'!A27</f>
        <v>12</v>
      </c>
      <c r="B27" s="33">
        <f>'Trade Size'!B27</f>
        <v>6530</v>
      </c>
      <c r="C27">
        <v>43</v>
      </c>
      <c r="D27">
        <v>45</v>
      </c>
      <c r="E27">
        <v>54</v>
      </c>
      <c r="F27" s="39">
        <v>30</v>
      </c>
    </row>
    <row r="28" spans="1:6" x14ac:dyDescent="0.25">
      <c r="A28" s="1">
        <f>'Trade Size'!A28</f>
        <v>14</v>
      </c>
      <c r="B28" s="33">
        <f>'Trade Size'!B28</f>
        <v>4110</v>
      </c>
      <c r="C28">
        <v>34</v>
      </c>
      <c r="D28">
        <v>36</v>
      </c>
      <c r="E28">
        <v>39</v>
      </c>
      <c r="F28" s="39">
        <v>0</v>
      </c>
    </row>
    <row r="29" spans="1:6" x14ac:dyDescent="0.25">
      <c r="A29" s="1">
        <f>'Trade Size'!A29</f>
        <v>16</v>
      </c>
      <c r="B29" s="33">
        <f>'Trade Size'!B29</f>
        <v>2580</v>
      </c>
      <c r="C29">
        <v>0</v>
      </c>
      <c r="D29">
        <v>0</v>
      </c>
      <c r="E29">
        <v>0</v>
      </c>
      <c r="F29" s="39">
        <v>0</v>
      </c>
    </row>
    <row r="30" spans="1:6" x14ac:dyDescent="0.25">
      <c r="A30" s="1">
        <f>'Trade Size'!A30</f>
        <v>18</v>
      </c>
      <c r="B30" s="41">
        <f>'Trade Size'!B30</f>
        <v>1620</v>
      </c>
      <c r="C30">
        <v>0</v>
      </c>
      <c r="D30">
        <v>0</v>
      </c>
      <c r="E30">
        <v>0</v>
      </c>
      <c r="F30" s="40">
        <v>0</v>
      </c>
    </row>
    <row r="31" spans="1:6" x14ac:dyDescent="0.25">
      <c r="A31" s="81" t="s">
        <v>72</v>
      </c>
      <c r="B31" s="81"/>
      <c r="C31" s="29" t="s">
        <v>51</v>
      </c>
      <c r="D31" s="29" t="s">
        <v>52</v>
      </c>
      <c r="E31" s="29" t="s">
        <v>53</v>
      </c>
      <c r="F31" s="29" t="s">
        <v>54</v>
      </c>
    </row>
  </sheetData>
  <mergeCells count="1">
    <mergeCell ref="A31:B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87D0-8259-4DC2-826A-D50916725F42}">
  <dimension ref="A1:F31"/>
  <sheetViews>
    <sheetView workbookViewId="0">
      <selection activeCell="A32" sqref="A32"/>
    </sheetView>
  </sheetViews>
  <sheetFormatPr defaultRowHeight="15" x14ac:dyDescent="0.25"/>
  <sheetData>
    <row r="1" spans="1:6" x14ac:dyDescent="0.25">
      <c r="A1" s="1">
        <f>'Trade Size'!A1</f>
        <v>2000</v>
      </c>
      <c r="B1" s="33">
        <f>'Trade Size'!B1</f>
        <v>2000000</v>
      </c>
      <c r="C1">
        <v>0</v>
      </c>
      <c r="D1">
        <v>0</v>
      </c>
      <c r="E1">
        <v>0</v>
      </c>
      <c r="F1" s="39">
        <v>0</v>
      </c>
    </row>
    <row r="2" spans="1:6" x14ac:dyDescent="0.25">
      <c r="A2" s="1">
        <f>'Trade Size'!A2</f>
        <v>1750</v>
      </c>
      <c r="B2" s="33">
        <f>'Trade Size'!B2</f>
        <v>1750000</v>
      </c>
      <c r="C2">
        <v>0</v>
      </c>
      <c r="D2">
        <v>0</v>
      </c>
      <c r="E2">
        <v>0</v>
      </c>
      <c r="F2" s="39">
        <v>0</v>
      </c>
    </row>
    <row r="3" spans="1:6" x14ac:dyDescent="0.25">
      <c r="A3" s="1">
        <f>'Trade Size'!A3</f>
        <v>1500</v>
      </c>
      <c r="B3" s="33">
        <f>'Trade Size'!B3</f>
        <v>1500000</v>
      </c>
      <c r="C3">
        <v>0</v>
      </c>
      <c r="D3">
        <v>0</v>
      </c>
      <c r="E3">
        <v>0</v>
      </c>
      <c r="F3" s="39">
        <v>0</v>
      </c>
    </row>
    <row r="4" spans="1:6" x14ac:dyDescent="0.25">
      <c r="A4" s="1">
        <f>'Trade Size'!A4</f>
        <v>1250</v>
      </c>
      <c r="B4" s="33">
        <f>'Trade Size'!B4</f>
        <v>1250000</v>
      </c>
      <c r="C4">
        <v>0</v>
      </c>
      <c r="D4">
        <v>0</v>
      </c>
      <c r="E4">
        <v>0</v>
      </c>
      <c r="F4" s="39">
        <v>0</v>
      </c>
    </row>
    <row r="5" spans="1:6" x14ac:dyDescent="0.25">
      <c r="A5" s="1">
        <f>'Trade Size'!A5</f>
        <v>1000</v>
      </c>
      <c r="B5" s="33">
        <f>'Trade Size'!B5</f>
        <v>1000000</v>
      </c>
      <c r="C5">
        <v>0</v>
      </c>
      <c r="D5">
        <v>0</v>
      </c>
      <c r="E5">
        <v>0</v>
      </c>
      <c r="F5" s="39">
        <v>0</v>
      </c>
    </row>
    <row r="6" spans="1:6" x14ac:dyDescent="0.25">
      <c r="A6" s="1">
        <f>'Trade Size'!A6</f>
        <v>900</v>
      </c>
      <c r="B6" s="33">
        <f>'Trade Size'!B6</f>
        <v>900000</v>
      </c>
      <c r="C6">
        <v>0</v>
      </c>
      <c r="D6">
        <v>0</v>
      </c>
      <c r="E6">
        <v>0</v>
      </c>
      <c r="F6" s="39">
        <v>0</v>
      </c>
    </row>
    <row r="7" spans="1:6" x14ac:dyDescent="0.25">
      <c r="A7" s="1">
        <f>'Trade Size'!A7</f>
        <v>800</v>
      </c>
      <c r="B7" s="33">
        <f>'Trade Size'!B7</f>
        <v>800000</v>
      </c>
      <c r="C7">
        <v>0</v>
      </c>
      <c r="D7">
        <v>0</v>
      </c>
      <c r="E7">
        <v>0</v>
      </c>
      <c r="F7" s="39">
        <v>0</v>
      </c>
    </row>
    <row r="8" spans="1:6" x14ac:dyDescent="0.25">
      <c r="A8" s="1">
        <f>'Trade Size'!A8</f>
        <v>750</v>
      </c>
      <c r="B8" s="33">
        <f>'Trade Size'!B8</f>
        <v>750000</v>
      </c>
      <c r="C8">
        <v>0</v>
      </c>
      <c r="D8">
        <v>0</v>
      </c>
      <c r="E8">
        <v>0</v>
      </c>
      <c r="F8" s="39">
        <v>0</v>
      </c>
    </row>
    <row r="9" spans="1:6" x14ac:dyDescent="0.25">
      <c r="A9" s="1">
        <f>'Trade Size'!A9</f>
        <v>700</v>
      </c>
      <c r="B9" s="33">
        <f>'Trade Size'!B9</f>
        <v>700000</v>
      </c>
      <c r="C9">
        <v>0</v>
      </c>
      <c r="D9">
        <v>0</v>
      </c>
      <c r="E9">
        <v>0</v>
      </c>
      <c r="F9" s="39">
        <v>0</v>
      </c>
    </row>
    <row r="10" spans="1:6" x14ac:dyDescent="0.25">
      <c r="A10" s="1">
        <f>'Trade Size'!A10</f>
        <v>600</v>
      </c>
      <c r="B10" s="33">
        <f>'Trade Size'!B10</f>
        <v>600000</v>
      </c>
      <c r="C10">
        <v>0</v>
      </c>
      <c r="D10">
        <v>0</v>
      </c>
      <c r="E10">
        <v>0</v>
      </c>
      <c r="F10" s="39">
        <v>0</v>
      </c>
    </row>
    <row r="11" spans="1:6" x14ac:dyDescent="0.25">
      <c r="A11" s="1">
        <f>'Trade Size'!A11</f>
        <v>500</v>
      </c>
      <c r="B11" s="33">
        <f>'Trade Size'!B11</f>
        <v>500000</v>
      </c>
      <c r="C11">
        <v>0</v>
      </c>
      <c r="D11">
        <v>0</v>
      </c>
      <c r="E11">
        <v>0</v>
      </c>
      <c r="F11" s="39">
        <v>0</v>
      </c>
    </row>
    <row r="12" spans="1:6" x14ac:dyDescent="0.25">
      <c r="A12" s="1">
        <f>'Trade Size'!A12</f>
        <v>400</v>
      </c>
      <c r="B12" s="33">
        <f>'Trade Size'!B12</f>
        <v>400000</v>
      </c>
      <c r="C12">
        <v>0</v>
      </c>
      <c r="D12">
        <v>0</v>
      </c>
      <c r="E12">
        <v>0</v>
      </c>
      <c r="F12" s="39">
        <v>0</v>
      </c>
    </row>
    <row r="13" spans="1:6" x14ac:dyDescent="0.25">
      <c r="A13" s="1">
        <f>'Trade Size'!A13</f>
        <v>350</v>
      </c>
      <c r="B13" s="33">
        <f>'Trade Size'!B13</f>
        <v>350000</v>
      </c>
      <c r="C13">
        <v>0</v>
      </c>
      <c r="D13">
        <v>0</v>
      </c>
      <c r="E13">
        <v>0</v>
      </c>
      <c r="F13" s="39">
        <v>0</v>
      </c>
    </row>
    <row r="14" spans="1:6" x14ac:dyDescent="0.25">
      <c r="A14" s="1">
        <f>'Trade Size'!A14</f>
        <v>300</v>
      </c>
      <c r="B14" s="33">
        <f>'Trade Size'!B14</f>
        <v>300000</v>
      </c>
      <c r="C14">
        <v>0</v>
      </c>
      <c r="D14">
        <v>0</v>
      </c>
      <c r="E14">
        <v>0</v>
      </c>
      <c r="F14" s="39">
        <v>0</v>
      </c>
    </row>
    <row r="15" spans="1:6" x14ac:dyDescent="0.25">
      <c r="A15" s="1">
        <f>'Trade Size'!A15</f>
        <v>250</v>
      </c>
      <c r="B15" s="33">
        <f>'Trade Size'!B15</f>
        <v>250000</v>
      </c>
      <c r="C15">
        <v>0</v>
      </c>
      <c r="D15">
        <v>0</v>
      </c>
      <c r="E15">
        <v>0</v>
      </c>
      <c r="F15" s="39">
        <v>0</v>
      </c>
    </row>
    <row r="16" spans="1:6" x14ac:dyDescent="0.25">
      <c r="A16" s="1" t="str">
        <f>'Trade Size'!A16</f>
        <v>4/0</v>
      </c>
      <c r="B16" s="33">
        <f>'Trade Size'!B16</f>
        <v>211600</v>
      </c>
      <c r="C16">
        <v>529</v>
      </c>
      <c r="D16">
        <v>629</v>
      </c>
      <c r="E16">
        <v>830</v>
      </c>
      <c r="F16" s="39">
        <v>411</v>
      </c>
    </row>
    <row r="17" spans="1:6" x14ac:dyDescent="0.25">
      <c r="A17" s="1" t="str">
        <f>'Trade Size'!A17</f>
        <v>3/0</v>
      </c>
      <c r="B17" s="33">
        <f>'Trade Size'!B17</f>
        <v>167800</v>
      </c>
      <c r="C17">
        <v>451</v>
      </c>
      <c r="D17">
        <v>546</v>
      </c>
      <c r="E17">
        <v>708</v>
      </c>
      <c r="F17" s="39">
        <v>351</v>
      </c>
    </row>
    <row r="18" spans="1:6" x14ac:dyDescent="0.25">
      <c r="A18" s="1" t="str">
        <f>'Trade Size'!A18</f>
        <v>2/0</v>
      </c>
      <c r="B18" s="33">
        <f>'Trade Size'!B18</f>
        <v>133100</v>
      </c>
      <c r="C18">
        <v>390</v>
      </c>
      <c r="D18">
        <v>467</v>
      </c>
      <c r="E18">
        <v>591</v>
      </c>
      <c r="F18" s="39">
        <v>305</v>
      </c>
    </row>
    <row r="19" spans="1:6" x14ac:dyDescent="0.25">
      <c r="A19" s="1" t="str">
        <f>'Trade Size'!A19</f>
        <v>1/0</v>
      </c>
      <c r="B19" s="33">
        <f>'Trade Size'!B19</f>
        <v>105600</v>
      </c>
      <c r="C19">
        <v>339</v>
      </c>
      <c r="D19">
        <v>399</v>
      </c>
      <c r="E19">
        <v>532</v>
      </c>
      <c r="F19" s="39">
        <v>263</v>
      </c>
    </row>
    <row r="20" spans="1:6" x14ac:dyDescent="0.25">
      <c r="A20" s="1">
        <f>'Trade Size'!A20</f>
        <v>1</v>
      </c>
      <c r="B20" s="33">
        <f>'Trade Size'!B20</f>
        <v>83690</v>
      </c>
      <c r="C20">
        <v>293</v>
      </c>
      <c r="D20">
        <v>344</v>
      </c>
      <c r="E20">
        <v>440</v>
      </c>
      <c r="F20" s="39">
        <v>228</v>
      </c>
    </row>
    <row r="21" spans="1:6" x14ac:dyDescent="0.25">
      <c r="A21" s="1">
        <f>'Trade Size'!A21</f>
        <v>2</v>
      </c>
      <c r="B21" s="33">
        <f>'Trade Size'!B21</f>
        <v>66360</v>
      </c>
      <c r="C21">
        <v>255</v>
      </c>
      <c r="D21">
        <v>293</v>
      </c>
      <c r="E21">
        <v>381</v>
      </c>
      <c r="F21" s="39">
        <v>198</v>
      </c>
    </row>
    <row r="22" spans="1:6" x14ac:dyDescent="0.25">
      <c r="A22" s="1">
        <f>'Trade Size'!A22</f>
        <v>3</v>
      </c>
      <c r="B22" s="33">
        <f>'Trade Size'!B22</f>
        <v>52620</v>
      </c>
      <c r="C22">
        <v>214</v>
      </c>
      <c r="D22">
        <v>252</v>
      </c>
      <c r="E22">
        <v>327</v>
      </c>
      <c r="F22" s="39">
        <v>170</v>
      </c>
    </row>
    <row r="23" spans="1:6" x14ac:dyDescent="0.25">
      <c r="A23" s="1">
        <f>'Trade Size'!A23</f>
        <v>4</v>
      </c>
      <c r="B23" s="33">
        <f>'Trade Size'!B23</f>
        <v>41740</v>
      </c>
      <c r="C23">
        <v>190</v>
      </c>
      <c r="D23">
        <v>220</v>
      </c>
      <c r="E23">
        <v>278</v>
      </c>
      <c r="F23" s="39">
        <v>148</v>
      </c>
    </row>
    <row r="24" spans="1:6" x14ac:dyDescent="0.25">
      <c r="A24" s="1">
        <f>'Trade Size'!A24</f>
        <v>6</v>
      </c>
      <c r="B24" s="33">
        <f>'Trade Size'!B24</f>
        <v>26240</v>
      </c>
      <c r="C24">
        <v>155</v>
      </c>
      <c r="D24">
        <v>165</v>
      </c>
      <c r="E24">
        <v>205</v>
      </c>
      <c r="F24" s="39">
        <v>112</v>
      </c>
    </row>
    <row r="25" spans="1:6" x14ac:dyDescent="0.25">
      <c r="A25" s="1">
        <f>'Trade Size'!A25</f>
        <v>8</v>
      </c>
      <c r="B25" s="33">
        <f>'Trade Size'!B25</f>
        <v>16510</v>
      </c>
      <c r="C25">
        <v>106</v>
      </c>
      <c r="D25">
        <v>124</v>
      </c>
      <c r="E25">
        <v>142</v>
      </c>
      <c r="F25" s="39">
        <v>83</v>
      </c>
    </row>
    <row r="26" spans="1:6" x14ac:dyDescent="0.25">
      <c r="A26" s="1">
        <f>'Trade Size'!A26</f>
        <v>10</v>
      </c>
      <c r="B26" s="33">
        <f>'Trade Size'!B26</f>
        <v>10380</v>
      </c>
      <c r="C26">
        <v>80</v>
      </c>
      <c r="D26">
        <v>90</v>
      </c>
      <c r="E26">
        <v>107</v>
      </c>
      <c r="F26" s="39">
        <v>63</v>
      </c>
    </row>
    <row r="27" spans="1:6" x14ac:dyDescent="0.25">
      <c r="A27" s="1">
        <f>'Trade Size'!A27</f>
        <v>12</v>
      </c>
      <c r="B27" s="33">
        <f>'Trade Size'!B27</f>
        <v>6530</v>
      </c>
      <c r="C27">
        <v>60</v>
      </c>
      <c r="D27">
        <v>68</v>
      </c>
      <c r="E27">
        <v>78</v>
      </c>
      <c r="F27" s="39">
        <v>47</v>
      </c>
    </row>
    <row r="28" spans="1:6" x14ac:dyDescent="0.25">
      <c r="A28" s="1">
        <f>'Trade Size'!A28</f>
        <v>14</v>
      </c>
      <c r="B28" s="33">
        <f>'Trade Size'!B28</f>
        <v>4110</v>
      </c>
      <c r="C28">
        <v>46</v>
      </c>
      <c r="D28">
        <v>54</v>
      </c>
      <c r="E28">
        <v>59</v>
      </c>
      <c r="F28" s="39">
        <v>0</v>
      </c>
    </row>
    <row r="29" spans="1:6" x14ac:dyDescent="0.25">
      <c r="A29" s="1">
        <f>'Trade Size'!A29</f>
        <v>16</v>
      </c>
      <c r="B29" s="33">
        <f>'Trade Size'!B29</f>
        <v>2580</v>
      </c>
      <c r="C29">
        <v>0</v>
      </c>
      <c r="D29">
        <v>0</v>
      </c>
      <c r="E29">
        <v>0</v>
      </c>
      <c r="F29" s="39">
        <v>0</v>
      </c>
    </row>
    <row r="30" spans="1:6" x14ac:dyDescent="0.25">
      <c r="A30" s="1">
        <f>'Trade Size'!A30</f>
        <v>18</v>
      </c>
      <c r="B30" s="41">
        <f>'Trade Size'!B30</f>
        <v>1620</v>
      </c>
      <c r="C30">
        <v>0</v>
      </c>
      <c r="D30">
        <v>0</v>
      </c>
      <c r="E30">
        <v>0</v>
      </c>
      <c r="F30" s="40">
        <v>0</v>
      </c>
    </row>
    <row r="31" spans="1:6" x14ac:dyDescent="0.25">
      <c r="A31" s="81" t="s">
        <v>72</v>
      </c>
      <c r="B31" s="81"/>
      <c r="C31" s="29" t="s">
        <v>51</v>
      </c>
      <c r="D31" s="29" t="s">
        <v>52</v>
      </c>
      <c r="E31" s="29" t="s">
        <v>53</v>
      </c>
      <c r="F31" s="29" t="s">
        <v>54</v>
      </c>
    </row>
  </sheetData>
  <mergeCells count="1">
    <mergeCell ref="A31:B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5DE4-AE3D-4B46-B3D9-CC336B379856}">
  <dimension ref="A1:D31"/>
  <sheetViews>
    <sheetView workbookViewId="0">
      <selection activeCell="S23" sqref="S23"/>
    </sheetView>
  </sheetViews>
  <sheetFormatPr defaultRowHeight="15" x14ac:dyDescent="0.25"/>
  <sheetData>
    <row r="1" spans="1:4" x14ac:dyDescent="0.25">
      <c r="A1" s="1">
        <f>'Trade Size'!A1</f>
        <v>2000</v>
      </c>
      <c r="B1" s="33">
        <f>'Trade Size'!B1</f>
        <v>2000000</v>
      </c>
      <c r="C1" s="38">
        <v>6.43E-3</v>
      </c>
      <c r="D1" s="49">
        <v>1.06E-2</v>
      </c>
    </row>
    <row r="2" spans="1:4" x14ac:dyDescent="0.25">
      <c r="A2" s="1">
        <f>'Trade Size'!A2</f>
        <v>1750</v>
      </c>
      <c r="B2" s="33">
        <f>'Trade Size'!B2</f>
        <v>1750000</v>
      </c>
      <c r="C2" s="38">
        <v>7.3499999999999998E-3</v>
      </c>
      <c r="D2" s="49">
        <v>1.21E-2</v>
      </c>
    </row>
    <row r="3" spans="1:4" x14ac:dyDescent="0.25">
      <c r="A3" s="1">
        <f>'Trade Size'!A3</f>
        <v>1500</v>
      </c>
      <c r="B3" s="33">
        <f>'Trade Size'!B3</f>
        <v>1500000</v>
      </c>
      <c r="C3" s="38">
        <v>8.5800000000000008E-3</v>
      </c>
      <c r="D3" s="49">
        <v>1.41E-2</v>
      </c>
    </row>
    <row r="4" spans="1:4" x14ac:dyDescent="0.25">
      <c r="A4" s="1">
        <f>'Trade Size'!A4</f>
        <v>1250</v>
      </c>
      <c r="B4" s="33">
        <f>'Trade Size'!B4</f>
        <v>1250000</v>
      </c>
      <c r="C4" s="38">
        <v>1.03E-2</v>
      </c>
      <c r="D4" s="49">
        <v>1.6899999999999998E-2</v>
      </c>
    </row>
    <row r="5" spans="1:4" x14ac:dyDescent="0.25">
      <c r="A5" s="1">
        <f>'Trade Size'!A5</f>
        <v>1000</v>
      </c>
      <c r="B5" s="33">
        <f>'Trade Size'!B5</f>
        <v>1000000</v>
      </c>
      <c r="C5" s="38">
        <v>1.29E-2</v>
      </c>
      <c r="D5" s="49">
        <v>2.12E-2</v>
      </c>
    </row>
    <row r="6" spans="1:4" x14ac:dyDescent="0.25">
      <c r="A6" s="1">
        <f>'Trade Size'!A6</f>
        <v>900</v>
      </c>
      <c r="B6" s="33">
        <f>'Trade Size'!B6</f>
        <v>900000</v>
      </c>
      <c r="C6" s="38">
        <v>1.43E-2</v>
      </c>
      <c r="D6" s="49">
        <v>2.35E-2</v>
      </c>
    </row>
    <row r="7" spans="1:4" x14ac:dyDescent="0.25">
      <c r="A7" s="1">
        <f>'Trade Size'!A7</f>
        <v>800</v>
      </c>
      <c r="B7" s="33">
        <f>'Trade Size'!B7</f>
        <v>800000</v>
      </c>
      <c r="C7" s="38">
        <v>1.61E-2</v>
      </c>
      <c r="D7" s="49">
        <v>2.6499999999999999E-2</v>
      </c>
    </row>
    <row r="8" spans="1:4" x14ac:dyDescent="0.25">
      <c r="A8" s="1">
        <f>'Trade Size'!A8</f>
        <v>750</v>
      </c>
      <c r="B8" s="33">
        <f>'Trade Size'!B8</f>
        <v>750000</v>
      </c>
      <c r="C8" s="38">
        <v>1.7100000000000001E-2</v>
      </c>
      <c r="D8" s="49">
        <v>2.8199999999999999E-2</v>
      </c>
    </row>
    <row r="9" spans="1:4" x14ac:dyDescent="0.25">
      <c r="A9" s="1">
        <f>'Trade Size'!A9</f>
        <v>700</v>
      </c>
      <c r="B9" s="33">
        <f>'Trade Size'!B9</f>
        <v>700000</v>
      </c>
      <c r="C9" s="38">
        <v>1.84E-2</v>
      </c>
      <c r="D9" s="49">
        <v>3.0300000000000001E-2</v>
      </c>
    </row>
    <row r="10" spans="1:4" x14ac:dyDescent="0.25">
      <c r="A10" s="1">
        <f>'Trade Size'!A10</f>
        <v>600</v>
      </c>
      <c r="B10" s="33">
        <f>'Trade Size'!B10</f>
        <v>600000</v>
      </c>
      <c r="C10" s="38">
        <v>2.1399999999999999E-2</v>
      </c>
      <c r="D10" s="49">
        <v>3.5299999999999998E-2</v>
      </c>
    </row>
    <row r="11" spans="1:4" x14ac:dyDescent="0.25">
      <c r="A11" s="1">
        <f>'Trade Size'!A11</f>
        <v>500</v>
      </c>
      <c r="B11" s="33">
        <f>'Trade Size'!B11</f>
        <v>500000</v>
      </c>
      <c r="C11" s="38">
        <v>2.58E-2</v>
      </c>
      <c r="D11" s="49">
        <v>4.24E-2</v>
      </c>
    </row>
    <row r="12" spans="1:4" x14ac:dyDescent="0.25">
      <c r="A12" s="1">
        <f>'Trade Size'!A12</f>
        <v>400</v>
      </c>
      <c r="B12" s="33">
        <f>'Trade Size'!B12</f>
        <v>400000</v>
      </c>
      <c r="C12" s="38">
        <v>3.2099999999999997E-2</v>
      </c>
      <c r="D12" s="49">
        <v>5.2900000000000003E-2</v>
      </c>
    </row>
    <row r="13" spans="1:4" x14ac:dyDescent="0.25">
      <c r="A13" s="1">
        <f>'Trade Size'!A13</f>
        <v>350</v>
      </c>
      <c r="B13" s="33">
        <f>'Trade Size'!B13</f>
        <v>350000</v>
      </c>
      <c r="C13" s="38">
        <v>3.6700000000000003E-2</v>
      </c>
      <c r="D13" s="49">
        <v>6.0499999999999998E-2</v>
      </c>
    </row>
    <row r="14" spans="1:4" x14ac:dyDescent="0.25">
      <c r="A14" s="1">
        <f>'Trade Size'!A14</f>
        <v>300</v>
      </c>
      <c r="B14" s="33">
        <f>'Trade Size'!B14</f>
        <v>300000</v>
      </c>
      <c r="C14" s="38">
        <v>4.2900000000000001E-2</v>
      </c>
      <c r="D14" s="49">
        <v>7.0699999999999999E-2</v>
      </c>
    </row>
    <row r="15" spans="1:4" x14ac:dyDescent="0.25">
      <c r="A15" s="1">
        <f>'Trade Size'!A15</f>
        <v>250</v>
      </c>
      <c r="B15" s="33">
        <f>'Trade Size'!B15</f>
        <v>250000</v>
      </c>
      <c r="C15" s="38">
        <v>5.1499999999999997E-2</v>
      </c>
      <c r="D15" s="49">
        <v>8.4699999999999998E-2</v>
      </c>
    </row>
    <row r="16" spans="1:4" x14ac:dyDescent="0.25">
      <c r="A16" s="1" t="str">
        <f>'Trade Size'!A16</f>
        <v>4/0</v>
      </c>
      <c r="B16" s="33">
        <f>'Trade Size'!B16</f>
        <v>211600</v>
      </c>
      <c r="C16" s="38">
        <v>6.08E-2</v>
      </c>
      <c r="D16" s="49">
        <v>0.1</v>
      </c>
    </row>
    <row r="17" spans="1:4" x14ac:dyDescent="0.25">
      <c r="A17" s="1" t="str">
        <f>'Trade Size'!A17</f>
        <v>3/0</v>
      </c>
      <c r="B17" s="33">
        <f>'Trade Size'!B17</f>
        <v>167800</v>
      </c>
      <c r="C17" s="38">
        <v>7.6600000000000001E-2</v>
      </c>
      <c r="D17" s="49">
        <v>0.126</v>
      </c>
    </row>
    <row r="18" spans="1:4" x14ac:dyDescent="0.25">
      <c r="A18" s="1" t="str">
        <f>'Trade Size'!A18</f>
        <v>2/0</v>
      </c>
      <c r="B18" s="33">
        <f>'Trade Size'!B18</f>
        <v>133100</v>
      </c>
      <c r="C18" s="38">
        <v>9.6699999999999994E-2</v>
      </c>
      <c r="D18" s="49">
        <v>0.159</v>
      </c>
    </row>
    <row r="19" spans="1:4" x14ac:dyDescent="0.25">
      <c r="A19" s="1" t="str">
        <f>'Trade Size'!A19</f>
        <v>1/0</v>
      </c>
      <c r="B19" s="33">
        <f>'Trade Size'!B19</f>
        <v>105600</v>
      </c>
      <c r="C19" s="38">
        <v>0.122</v>
      </c>
      <c r="D19" s="49">
        <v>0.20100000000000001</v>
      </c>
    </row>
    <row r="20" spans="1:4" x14ac:dyDescent="0.25">
      <c r="A20" s="1">
        <f>'Trade Size'!A20</f>
        <v>1</v>
      </c>
      <c r="B20" s="33">
        <f>'Trade Size'!B20</f>
        <v>83690</v>
      </c>
      <c r="C20" s="38">
        <v>0.154</v>
      </c>
      <c r="D20" s="49">
        <v>0.253</v>
      </c>
    </row>
    <row r="21" spans="1:4" x14ac:dyDescent="0.25">
      <c r="A21" s="1">
        <f>'Trade Size'!A21</f>
        <v>2</v>
      </c>
      <c r="B21" s="33">
        <f>'Trade Size'!B21</f>
        <v>66360</v>
      </c>
      <c r="C21" s="38">
        <v>0.19400000000000001</v>
      </c>
      <c r="D21" s="49">
        <v>0.31900000000000001</v>
      </c>
    </row>
    <row r="22" spans="1:4" x14ac:dyDescent="0.25">
      <c r="A22" s="1">
        <f>'Trade Size'!A22</f>
        <v>3</v>
      </c>
      <c r="B22" s="33">
        <f>'Trade Size'!B22</f>
        <v>52620</v>
      </c>
      <c r="C22" s="38">
        <v>0.245</v>
      </c>
      <c r="D22" s="49">
        <v>0.40300000000000002</v>
      </c>
    </row>
    <row r="23" spans="1:4" x14ac:dyDescent="0.25">
      <c r="A23" s="1">
        <f>'Trade Size'!A23</f>
        <v>4</v>
      </c>
      <c r="B23" s="33">
        <f>'Trade Size'!B23</f>
        <v>41740</v>
      </c>
      <c r="C23" s="38">
        <v>0.308</v>
      </c>
      <c r="D23" s="49">
        <v>0.50800000000000001</v>
      </c>
    </row>
    <row r="24" spans="1:4" x14ac:dyDescent="0.25">
      <c r="A24" s="1">
        <f>'Trade Size'!A24</f>
        <v>6</v>
      </c>
      <c r="B24" s="33">
        <f>'Trade Size'!B24</f>
        <v>26240</v>
      </c>
      <c r="C24" s="38">
        <v>0.49099999999999999</v>
      </c>
      <c r="D24" s="49">
        <v>0.80800000000000005</v>
      </c>
    </row>
    <row r="25" spans="1:4" x14ac:dyDescent="0.25">
      <c r="A25" s="1">
        <f>'Trade Size'!A25</f>
        <v>8</v>
      </c>
      <c r="B25" s="33">
        <f>'Trade Size'!B25</f>
        <v>16510</v>
      </c>
      <c r="C25" s="38">
        <v>0.76400000000000001</v>
      </c>
      <c r="D25" s="49">
        <v>1.26</v>
      </c>
    </row>
    <row r="26" spans="1:4" x14ac:dyDescent="0.25">
      <c r="A26" s="1">
        <f>'Trade Size'!A26</f>
        <v>10</v>
      </c>
      <c r="B26" s="33">
        <f>'Trade Size'!B26</f>
        <v>10380</v>
      </c>
      <c r="C26" s="38">
        <v>1.21</v>
      </c>
      <c r="D26" s="49">
        <v>2</v>
      </c>
    </row>
    <row r="27" spans="1:4" x14ac:dyDescent="0.25">
      <c r="A27" s="1">
        <f>'Trade Size'!A27</f>
        <v>12</v>
      </c>
      <c r="B27" s="33">
        <f>'Trade Size'!B27</f>
        <v>6530</v>
      </c>
      <c r="C27" s="38">
        <v>1.93</v>
      </c>
      <c r="D27" s="49">
        <v>3.18</v>
      </c>
    </row>
    <row r="28" spans="1:4" x14ac:dyDescent="0.25">
      <c r="A28" s="1">
        <f>'Trade Size'!A28</f>
        <v>14</v>
      </c>
      <c r="B28" s="33">
        <f>'Trade Size'!B28</f>
        <v>4110</v>
      </c>
      <c r="C28" s="38">
        <v>3.07</v>
      </c>
      <c r="D28" s="49">
        <v>5.0599999999999996</v>
      </c>
    </row>
    <row r="29" spans="1:4" x14ac:dyDescent="0.25">
      <c r="A29" s="1">
        <f>'Trade Size'!A29</f>
        <v>16</v>
      </c>
      <c r="B29" s="33">
        <f>'Trade Size'!B29</f>
        <v>2580</v>
      </c>
      <c r="C29" s="38">
        <v>4.8899999999999997</v>
      </c>
      <c r="D29" s="49">
        <v>8.0500000000000007</v>
      </c>
    </row>
    <row r="30" spans="1:4" x14ac:dyDescent="0.25">
      <c r="A30" s="1">
        <f>'Trade Size'!A30</f>
        <v>18</v>
      </c>
      <c r="B30" s="41">
        <f>'Trade Size'!B30</f>
        <v>1620</v>
      </c>
      <c r="C30" s="38">
        <v>7.77</v>
      </c>
      <c r="D30" s="50">
        <v>12.8</v>
      </c>
    </row>
    <row r="31" spans="1:4" x14ac:dyDescent="0.25">
      <c r="A31" s="81" t="s">
        <v>72</v>
      </c>
      <c r="B31" s="81"/>
      <c r="C31" s="24" t="s">
        <v>43</v>
      </c>
      <c r="D31" s="24" t="s">
        <v>44</v>
      </c>
    </row>
  </sheetData>
  <mergeCells count="1">
    <mergeCell ref="A31:B31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4A74D-D5B2-4B0E-8BB2-A69B3DF1D0F2}">
  <dimension ref="A1:O33"/>
  <sheetViews>
    <sheetView workbookViewId="0">
      <selection activeCell="A15" sqref="A15:XFD15"/>
    </sheetView>
  </sheetViews>
  <sheetFormatPr defaultRowHeight="15" x14ac:dyDescent="0.25"/>
  <sheetData>
    <row r="1" spans="1:10" x14ac:dyDescent="0.25">
      <c r="A1">
        <f>'Trade Size'!A1</f>
        <v>2000</v>
      </c>
      <c r="B1" s="33">
        <f>VLOOKUP(A1,'Trade Size'!$A$1:$B$30,2,FALSE)</f>
        <v>2000000</v>
      </c>
      <c r="C1" s="51"/>
      <c r="D1" s="51"/>
      <c r="E1" s="52"/>
      <c r="F1" s="51"/>
      <c r="G1" s="51"/>
      <c r="H1" s="51"/>
      <c r="I1" s="51"/>
      <c r="J1" s="53"/>
    </row>
    <row r="2" spans="1:10" x14ac:dyDescent="0.25">
      <c r="A2">
        <f>'Trade Size'!A2</f>
        <v>1750</v>
      </c>
      <c r="B2" s="33">
        <f>VLOOKUP(A2,'Trade Size'!$A$1:$B$30,2,FALSE)</f>
        <v>1750000</v>
      </c>
      <c r="C2" s="51"/>
      <c r="D2" s="51"/>
      <c r="E2" s="52"/>
      <c r="F2" s="51"/>
      <c r="G2" s="51"/>
      <c r="H2" s="51"/>
      <c r="I2" s="51"/>
      <c r="J2" s="53"/>
    </row>
    <row r="3" spans="1:10" x14ac:dyDescent="0.25">
      <c r="A3">
        <f>'Trade Size'!A3</f>
        <v>1500</v>
      </c>
      <c r="B3" s="33">
        <f>VLOOKUP(A3,'Trade Size'!$A$1:$B$30,2,FALSE)</f>
        <v>1500000</v>
      </c>
      <c r="C3" s="51"/>
      <c r="D3" s="51"/>
      <c r="E3" s="52"/>
      <c r="F3" s="51"/>
      <c r="G3" s="51"/>
      <c r="H3" s="51"/>
      <c r="I3" s="51"/>
      <c r="J3" s="53"/>
    </row>
    <row r="4" spans="1:10" x14ac:dyDescent="0.25">
      <c r="A4">
        <f>'Trade Size'!A4</f>
        <v>1250</v>
      </c>
      <c r="B4" s="33">
        <f>VLOOKUP(A4,'Trade Size'!$A$1:$B$30,2,FALSE)</f>
        <v>1250000</v>
      </c>
      <c r="C4" s="51"/>
      <c r="D4" s="51"/>
      <c r="E4" s="52"/>
      <c r="F4" s="51"/>
      <c r="G4" s="51"/>
      <c r="H4" s="51"/>
      <c r="I4" s="51"/>
      <c r="J4" s="53"/>
    </row>
    <row r="5" spans="1:10" x14ac:dyDescent="0.25">
      <c r="A5">
        <f>'Trade Size'!A5</f>
        <v>1000</v>
      </c>
      <c r="B5" s="33">
        <f>VLOOKUP(A5,'Trade Size'!$A$1:$B$30,2,FALSE)</f>
        <v>1000000</v>
      </c>
      <c r="C5" s="51">
        <v>3.6999999999999998E-2</v>
      </c>
      <c r="D5" s="51">
        <v>4.5999999999999999E-2</v>
      </c>
      <c r="E5" s="52">
        <v>1.4999999999999999E-2</v>
      </c>
      <c r="F5" s="54">
        <v>1.9E-2</v>
      </c>
      <c r="G5" s="55">
        <v>1.7999999999999999E-2</v>
      </c>
      <c r="H5" s="55">
        <v>2.3E-2</v>
      </c>
      <c r="I5" s="55">
        <v>2.7E-2</v>
      </c>
      <c r="J5" s="53">
        <v>2.5000000000000001E-2</v>
      </c>
    </row>
    <row r="6" spans="1:10" x14ac:dyDescent="0.25">
      <c r="A6">
        <f>'Trade Size'!A6</f>
        <v>900</v>
      </c>
      <c r="B6" s="33">
        <f>VLOOKUP(A6,'Trade Size'!$A$1:$B$30,2,FALSE)</f>
        <v>900000</v>
      </c>
      <c r="C6" s="51">
        <v>3.7999999999999999E-2</v>
      </c>
      <c r="D6" s="51">
        <v>4.8000000000000001E-2</v>
      </c>
      <c r="E6" s="52">
        <v>1.9E-2</v>
      </c>
      <c r="F6" s="56">
        <v>2.4E-2</v>
      </c>
      <c r="G6" s="56">
        <v>2.1000000000000001E-2</v>
      </c>
      <c r="H6" s="56">
        <v>2.9000000000000001E-2</v>
      </c>
      <c r="I6" s="56">
        <v>3.4000000000000002E-2</v>
      </c>
      <c r="J6" s="53">
        <v>3.1E-2</v>
      </c>
    </row>
    <row r="7" spans="1:10" x14ac:dyDescent="0.25">
      <c r="A7">
        <f>'Trade Size'!A7</f>
        <v>800</v>
      </c>
      <c r="B7" s="33">
        <f>VLOOKUP(A7,'Trade Size'!$A$1:$B$30,2,FALSE)</f>
        <v>800000</v>
      </c>
      <c r="C7" s="51">
        <v>3.7999999999999999E-2</v>
      </c>
      <c r="D7" s="51">
        <v>4.8000000000000001E-2</v>
      </c>
      <c r="E7" s="52">
        <v>1.9E-2</v>
      </c>
      <c r="F7" s="56">
        <v>2.4E-2</v>
      </c>
      <c r="G7" s="56">
        <v>2.1000000000000001E-2</v>
      </c>
      <c r="H7" s="56">
        <v>2.9000000000000001E-2</v>
      </c>
      <c r="I7" s="56">
        <v>3.4000000000000002E-2</v>
      </c>
      <c r="J7" s="53">
        <v>3.1E-2</v>
      </c>
    </row>
    <row r="8" spans="1:10" x14ac:dyDescent="0.25">
      <c r="A8">
        <f>'Trade Size'!A8</f>
        <v>750</v>
      </c>
      <c r="B8" s="33">
        <f>VLOOKUP(A8,'Trade Size'!$A$1:$B$30,2,FALSE)</f>
        <v>750000</v>
      </c>
      <c r="C8" s="51">
        <v>3.7999999999999999E-2</v>
      </c>
      <c r="D8" s="51">
        <v>4.8000000000000001E-2</v>
      </c>
      <c r="E8" s="52">
        <v>1.9E-2</v>
      </c>
      <c r="F8" s="56">
        <v>2.4E-2</v>
      </c>
      <c r="G8" s="56">
        <v>2.1000000000000001E-2</v>
      </c>
      <c r="H8" s="56">
        <v>2.9000000000000001E-2</v>
      </c>
      <c r="I8" s="56">
        <v>3.4000000000000002E-2</v>
      </c>
      <c r="J8" s="53">
        <v>3.1E-2</v>
      </c>
    </row>
    <row r="9" spans="1:10" x14ac:dyDescent="0.25">
      <c r="A9">
        <f>'Trade Size'!A9</f>
        <v>700</v>
      </c>
      <c r="B9" s="33">
        <f>VLOOKUP(A9,'Trade Size'!$A$1:$B$30,2,FALSE)</f>
        <v>700000</v>
      </c>
      <c r="C9" s="51">
        <v>3.9E-2</v>
      </c>
      <c r="D9" s="51">
        <v>4.8000000000000001E-2</v>
      </c>
      <c r="E9" s="52">
        <v>2.3E-2</v>
      </c>
      <c r="F9" s="56">
        <v>2.8000000000000001E-2</v>
      </c>
      <c r="G9" s="56">
        <v>2.5000000000000001E-2</v>
      </c>
      <c r="H9" s="56">
        <v>3.5999999999999997E-2</v>
      </c>
      <c r="I9" s="56">
        <v>4.1000000000000002E-2</v>
      </c>
      <c r="J9" s="53">
        <v>3.7999999999999999E-2</v>
      </c>
    </row>
    <row r="10" spans="1:10" x14ac:dyDescent="0.25">
      <c r="A10">
        <f>'Trade Size'!A10</f>
        <v>600</v>
      </c>
      <c r="B10" s="33">
        <f>VLOOKUP(A10,'Trade Size'!$A$1:$B$30,2,FALSE)</f>
        <v>600000</v>
      </c>
      <c r="C10" s="51">
        <v>3.9E-2</v>
      </c>
      <c r="D10" s="51">
        <v>4.8000000000000001E-2</v>
      </c>
      <c r="E10" s="52">
        <v>2.3E-2</v>
      </c>
      <c r="F10" s="56">
        <v>2.8000000000000001E-2</v>
      </c>
      <c r="G10" s="56">
        <v>2.5000000000000001E-2</v>
      </c>
      <c r="H10" s="56">
        <v>3.5999999999999997E-2</v>
      </c>
      <c r="I10" s="56">
        <v>4.1000000000000002E-2</v>
      </c>
      <c r="J10" s="53">
        <v>3.7999999999999999E-2</v>
      </c>
    </row>
    <row r="11" spans="1:10" x14ac:dyDescent="0.25">
      <c r="A11">
        <f>'Trade Size'!A11</f>
        <v>500</v>
      </c>
      <c r="B11" s="33">
        <f>VLOOKUP(A11,'Trade Size'!$A$1:$B$30,2,FALSE)</f>
        <v>500000</v>
      </c>
      <c r="C11" s="51">
        <v>3.9E-2</v>
      </c>
      <c r="D11" s="51">
        <v>4.8000000000000001E-2</v>
      </c>
      <c r="E11" s="52">
        <v>2.7E-2</v>
      </c>
      <c r="F11" s="54">
        <v>3.2000000000000001E-2</v>
      </c>
      <c r="G11" s="55">
        <v>2.9000000000000001E-2</v>
      </c>
      <c r="H11" s="55">
        <v>4.2999999999999997E-2</v>
      </c>
      <c r="I11" s="55">
        <v>4.8000000000000001E-2</v>
      </c>
      <c r="J11" s="53">
        <v>4.4999999999999998E-2</v>
      </c>
    </row>
    <row r="12" spans="1:10" x14ac:dyDescent="0.25">
      <c r="A12">
        <f>'Trade Size'!A12</f>
        <v>400</v>
      </c>
      <c r="B12" s="33">
        <f>VLOOKUP(A12,'Trade Size'!$A$1:$B$30,2,FALSE)</f>
        <v>400000</v>
      </c>
      <c r="C12" s="51">
        <v>0.04</v>
      </c>
      <c r="D12" s="51">
        <v>4.9000000000000002E-2</v>
      </c>
      <c r="E12" s="52">
        <v>3.3000000000000002E-2</v>
      </c>
      <c r="F12" s="54">
        <v>3.7999999999999999E-2</v>
      </c>
      <c r="G12" s="55">
        <v>3.5000000000000003E-2</v>
      </c>
      <c r="H12" s="55">
        <v>5.3999999999999999E-2</v>
      </c>
      <c r="I12" s="55">
        <v>5.8999999999999997E-2</v>
      </c>
      <c r="J12" s="53">
        <v>5.5E-2</v>
      </c>
    </row>
    <row r="13" spans="1:10" x14ac:dyDescent="0.25">
      <c r="A13">
        <f>'Trade Size'!A13</f>
        <v>350</v>
      </c>
      <c r="B13" s="33">
        <f>VLOOKUP(A13,'Trade Size'!$A$1:$B$30,2,FALSE)</f>
        <v>350000</v>
      </c>
      <c r="C13" s="51">
        <v>0.04</v>
      </c>
      <c r="D13" s="51">
        <v>0.05</v>
      </c>
      <c r="E13" s="52">
        <v>3.7999999999999999E-2</v>
      </c>
      <c r="F13" s="54">
        <v>4.2999999999999997E-2</v>
      </c>
      <c r="G13" s="55">
        <v>3.9E-2</v>
      </c>
      <c r="H13" s="55">
        <v>6.0999999999999999E-2</v>
      </c>
      <c r="I13" s="55">
        <v>6.6000000000000003E-2</v>
      </c>
      <c r="J13" s="53">
        <v>6.3E-2</v>
      </c>
    </row>
    <row r="14" spans="1:10" x14ac:dyDescent="0.25">
      <c r="A14">
        <f>'Trade Size'!A14</f>
        <v>300</v>
      </c>
      <c r="B14" s="33">
        <f>VLOOKUP(A14,'Trade Size'!$A$1:$B$30,2,FALSE)</f>
        <v>300000</v>
      </c>
      <c r="C14" s="51">
        <v>4.1000000000000002E-2</v>
      </c>
      <c r="D14" s="51">
        <v>5.0999999999999997E-2</v>
      </c>
      <c r="E14" s="52">
        <v>4.3999999999999997E-2</v>
      </c>
      <c r="F14" s="54">
        <v>4.9000000000000002E-2</v>
      </c>
      <c r="G14" s="55">
        <v>4.4999999999999998E-2</v>
      </c>
      <c r="H14" s="55">
        <v>7.0999999999999994E-2</v>
      </c>
      <c r="I14" s="55">
        <v>7.5999999999999998E-2</v>
      </c>
      <c r="J14" s="53">
        <v>7.1999999999999995E-2</v>
      </c>
    </row>
    <row r="15" spans="1:10" x14ac:dyDescent="0.25">
      <c r="A15">
        <f>'Trade Size'!A15</f>
        <v>250</v>
      </c>
      <c r="B15" s="33">
        <f>VLOOKUP(A15,'Trade Size'!$A$1:$B$30,2,FALSE)</f>
        <v>250000</v>
      </c>
      <c r="C15" s="51">
        <v>4.1000000000000002E-2</v>
      </c>
      <c r="D15" s="51">
        <v>5.1999999999999998E-2</v>
      </c>
      <c r="E15" s="52">
        <v>5.1999999999999998E-2</v>
      </c>
      <c r="F15" s="54">
        <v>5.7000000000000002E-2</v>
      </c>
      <c r="G15" s="55">
        <v>5.3999999999999999E-2</v>
      </c>
      <c r="H15" s="55">
        <v>8.5000000000000006E-2</v>
      </c>
      <c r="I15" s="55">
        <v>0.09</v>
      </c>
      <c r="J15" s="53">
        <v>8.5999999999999993E-2</v>
      </c>
    </row>
    <row r="16" spans="1:10" x14ac:dyDescent="0.25">
      <c r="A16" s="1" t="str">
        <f>'Trade Size'!A16</f>
        <v>4/0</v>
      </c>
      <c r="B16" s="33">
        <f>VLOOKUP(A16,'Trade Size'!$A$1:$B$30,2,FALSE)</f>
        <v>211600</v>
      </c>
      <c r="C16" s="51">
        <v>4.1000000000000002E-2</v>
      </c>
      <c r="D16" s="51">
        <v>5.0999999999999997E-2</v>
      </c>
      <c r="E16" s="52">
        <v>6.2E-2</v>
      </c>
      <c r="F16" s="54">
        <v>6.7000000000000004E-2</v>
      </c>
      <c r="G16" s="55">
        <v>6.3E-2</v>
      </c>
      <c r="H16" s="55">
        <v>0.1</v>
      </c>
      <c r="I16" s="55">
        <v>0.11</v>
      </c>
      <c r="J16" s="53">
        <v>0.1</v>
      </c>
    </row>
    <row r="17" spans="1:15" x14ac:dyDescent="0.25">
      <c r="A17" s="1" t="str">
        <f>'Trade Size'!A17</f>
        <v>3/0</v>
      </c>
      <c r="B17" s="33">
        <f>VLOOKUP(A17,'Trade Size'!$A$1:$B$30,2,FALSE)</f>
        <v>167800</v>
      </c>
      <c r="C17" s="51">
        <v>4.2000000000000003E-2</v>
      </c>
      <c r="D17" s="51">
        <v>5.1999999999999998E-2</v>
      </c>
      <c r="E17" s="52">
        <v>7.6999999999999999E-2</v>
      </c>
      <c r="F17" s="54">
        <v>8.2000000000000003E-2</v>
      </c>
      <c r="G17" s="55">
        <v>7.9000000000000001E-2</v>
      </c>
      <c r="H17" s="55">
        <v>0.13</v>
      </c>
      <c r="I17" s="55">
        <v>0.13</v>
      </c>
      <c r="J17" s="53">
        <v>0.13</v>
      </c>
      <c r="L17">
        <f>C17*SIN(ACOS(0.9))</f>
        <v>1.8307375562870827E-2</v>
      </c>
      <c r="M17">
        <f>E17*(1+0.00323*(75-75))*0.9</f>
        <v>6.93E-2</v>
      </c>
      <c r="O17">
        <f>SQRT(3)*200*((L17+M17)/1000)*100*(100/208)</f>
        <v>1.45904255377558</v>
      </c>
    </row>
    <row r="18" spans="1:15" x14ac:dyDescent="0.25">
      <c r="A18" s="1" t="str">
        <f>'Trade Size'!A18</f>
        <v>2/0</v>
      </c>
      <c r="B18" s="33">
        <f>VLOOKUP(A18,'Trade Size'!$A$1:$B$30,2,FALSE)</f>
        <v>133100</v>
      </c>
      <c r="C18" s="51">
        <v>4.2999999999999997E-2</v>
      </c>
      <c r="D18" s="51">
        <v>5.3999999999999999E-2</v>
      </c>
      <c r="E18" s="52">
        <v>0.1</v>
      </c>
      <c r="F18" s="54">
        <v>0.1</v>
      </c>
      <c r="G18" s="55">
        <v>0.1</v>
      </c>
      <c r="H18" s="55">
        <v>0.16</v>
      </c>
      <c r="I18" s="55">
        <v>0.16</v>
      </c>
      <c r="J18" s="53">
        <v>0.16</v>
      </c>
    </row>
    <row r="19" spans="1:15" x14ac:dyDescent="0.25">
      <c r="A19" s="1" t="str">
        <f>'Trade Size'!A19</f>
        <v>1/0</v>
      </c>
      <c r="B19" s="33">
        <f>VLOOKUP(A19,'Trade Size'!$A$1:$B$30,2,FALSE)</f>
        <v>105600</v>
      </c>
      <c r="C19" s="51">
        <v>4.3999999999999997E-2</v>
      </c>
      <c r="D19" s="51">
        <v>5.5E-2</v>
      </c>
      <c r="E19" s="52">
        <v>0.12</v>
      </c>
      <c r="F19" s="57">
        <v>0.13</v>
      </c>
      <c r="G19" s="55">
        <v>0.12</v>
      </c>
      <c r="H19" s="55">
        <v>0.2</v>
      </c>
      <c r="I19" s="55">
        <v>0.21</v>
      </c>
      <c r="J19" s="53">
        <v>0.2</v>
      </c>
    </row>
    <row r="20" spans="1:15" x14ac:dyDescent="0.25">
      <c r="A20">
        <f>'Trade Size'!A20</f>
        <v>1</v>
      </c>
      <c r="B20" s="33">
        <f>VLOOKUP(A20,'Trade Size'!$A$1:$B$30,2,FALSE)</f>
        <v>83690</v>
      </c>
      <c r="C20" s="51">
        <v>4.5999999999999999E-2</v>
      </c>
      <c r="D20" s="51">
        <v>5.7000000000000002E-2</v>
      </c>
      <c r="E20" s="52">
        <v>0.15</v>
      </c>
      <c r="F20" s="57">
        <v>0.16</v>
      </c>
      <c r="G20" s="55">
        <v>0.16</v>
      </c>
      <c r="H20" s="55">
        <v>0.25</v>
      </c>
      <c r="I20" s="55">
        <v>0.25</v>
      </c>
      <c r="J20" s="53">
        <v>0.25</v>
      </c>
    </row>
    <row r="21" spans="1:15" x14ac:dyDescent="0.25">
      <c r="A21">
        <f>'Trade Size'!A21</f>
        <v>2</v>
      </c>
      <c r="B21" s="33">
        <f>VLOOKUP(A21,'Trade Size'!$A$1:$B$30,2,FALSE)</f>
        <v>66360</v>
      </c>
      <c r="C21" s="51">
        <v>4.4999999999999998E-2</v>
      </c>
      <c r="D21" s="51">
        <v>5.7000000000000002E-2</v>
      </c>
      <c r="E21" s="52">
        <v>0.19</v>
      </c>
      <c r="F21" s="57">
        <v>0.2</v>
      </c>
      <c r="G21" s="55">
        <v>0.2</v>
      </c>
      <c r="H21" s="55">
        <v>0.32</v>
      </c>
      <c r="I21" s="55">
        <v>0.32</v>
      </c>
      <c r="J21" s="53">
        <v>0.32</v>
      </c>
    </row>
    <row r="22" spans="1:15" x14ac:dyDescent="0.25">
      <c r="A22">
        <f>'Trade Size'!A22</f>
        <v>3</v>
      </c>
      <c r="B22" s="33">
        <f>VLOOKUP(A22,'Trade Size'!$A$1:$B$30,2,FALSE)</f>
        <v>52620</v>
      </c>
      <c r="C22" s="51">
        <v>4.7E-2</v>
      </c>
      <c r="D22" s="51">
        <v>5.8999999999999997E-2</v>
      </c>
      <c r="E22" s="52">
        <v>0.25</v>
      </c>
      <c r="F22" s="57">
        <v>0.25</v>
      </c>
      <c r="G22" s="55">
        <v>0.25</v>
      </c>
      <c r="H22" s="55">
        <v>0.4</v>
      </c>
      <c r="I22" s="55">
        <v>0.4</v>
      </c>
      <c r="J22" s="53">
        <v>0.4</v>
      </c>
    </row>
    <row r="23" spans="1:15" x14ac:dyDescent="0.25">
      <c r="A23">
        <f>'Trade Size'!A23</f>
        <v>4</v>
      </c>
      <c r="B23" s="33">
        <f>VLOOKUP(A23,'Trade Size'!$A$1:$B$30,2,FALSE)</f>
        <v>41740</v>
      </c>
      <c r="C23" s="51">
        <v>4.8000000000000001E-2</v>
      </c>
      <c r="D23" s="51">
        <v>0.06</v>
      </c>
      <c r="E23" s="52">
        <v>0.31</v>
      </c>
      <c r="F23" s="54">
        <v>0.31</v>
      </c>
      <c r="G23" s="55">
        <v>0.31</v>
      </c>
      <c r="H23" s="55">
        <v>0.51</v>
      </c>
      <c r="I23" s="55">
        <v>0.51</v>
      </c>
      <c r="J23" s="53">
        <v>0.51</v>
      </c>
    </row>
    <row r="24" spans="1:15" x14ac:dyDescent="0.25">
      <c r="A24">
        <f>'Trade Size'!A24</f>
        <v>6</v>
      </c>
      <c r="B24" s="33">
        <f>VLOOKUP(A24,'Trade Size'!$A$1:$B$30,2,FALSE)</f>
        <v>26240</v>
      </c>
      <c r="C24" s="51">
        <v>5.0999999999999997E-2</v>
      </c>
      <c r="D24" s="51">
        <v>6.4000000000000001E-2</v>
      </c>
      <c r="E24" s="52">
        <v>0.49</v>
      </c>
      <c r="F24" s="54">
        <v>0.49</v>
      </c>
      <c r="G24" s="55">
        <v>0.49</v>
      </c>
      <c r="H24" s="55">
        <v>0.81</v>
      </c>
      <c r="I24" s="55">
        <v>0.81</v>
      </c>
      <c r="J24" s="53">
        <v>0.81</v>
      </c>
    </row>
    <row r="25" spans="1:15" x14ac:dyDescent="0.25">
      <c r="A25">
        <f>'Trade Size'!A25</f>
        <v>8</v>
      </c>
      <c r="B25" s="33">
        <f>VLOOKUP(A25,'Trade Size'!$A$1:$B$30,2,FALSE)</f>
        <v>16510</v>
      </c>
      <c r="C25" s="51">
        <v>5.1999999999999998E-2</v>
      </c>
      <c r="D25" s="51">
        <v>6.5000000000000002E-2</v>
      </c>
      <c r="E25" s="52">
        <v>0.78</v>
      </c>
      <c r="F25" s="54">
        <v>0.78</v>
      </c>
      <c r="G25" s="55">
        <v>0.78</v>
      </c>
      <c r="H25" s="55">
        <v>1.3</v>
      </c>
      <c r="I25" s="55">
        <v>1.3</v>
      </c>
      <c r="J25" s="53">
        <v>1.3</v>
      </c>
    </row>
    <row r="26" spans="1:15" x14ac:dyDescent="0.25">
      <c r="A26">
        <f>'Trade Size'!A26</f>
        <v>10</v>
      </c>
      <c r="B26" s="33">
        <f>VLOOKUP(A26,'Trade Size'!$A$1:$B$30,2,FALSE)</f>
        <v>10380</v>
      </c>
      <c r="C26" s="51">
        <v>0.05</v>
      </c>
      <c r="D26" s="51">
        <v>6.3E-2</v>
      </c>
      <c r="E26" s="52">
        <v>1.2</v>
      </c>
      <c r="F26" s="54">
        <v>1.2</v>
      </c>
      <c r="G26" s="55">
        <v>1.2</v>
      </c>
      <c r="H26" s="55">
        <v>2</v>
      </c>
      <c r="I26" s="55">
        <v>2</v>
      </c>
      <c r="J26" s="53">
        <v>2</v>
      </c>
    </row>
    <row r="27" spans="1:15" x14ac:dyDescent="0.25">
      <c r="A27">
        <f>'Trade Size'!A27</f>
        <v>12</v>
      </c>
      <c r="B27" s="33">
        <f>VLOOKUP(A27,'Trade Size'!$A$1:$B$30,2,FALSE)</f>
        <v>6530</v>
      </c>
      <c r="C27" s="51">
        <v>5.3999999999999999E-2</v>
      </c>
      <c r="D27" s="51">
        <v>6.8000000000000005E-2</v>
      </c>
      <c r="E27" s="52">
        <v>2</v>
      </c>
      <c r="F27" s="54">
        <v>2</v>
      </c>
      <c r="G27" s="55">
        <v>2</v>
      </c>
      <c r="H27" s="55">
        <v>3.2</v>
      </c>
      <c r="I27" s="55">
        <v>3.2</v>
      </c>
      <c r="J27" s="53">
        <v>3.2</v>
      </c>
    </row>
    <row r="28" spans="1:15" x14ac:dyDescent="0.25">
      <c r="A28">
        <f>'Trade Size'!A28</f>
        <v>14</v>
      </c>
      <c r="B28" s="33">
        <f>VLOOKUP(A28,'Trade Size'!$A$1:$B$30,2,FALSE)</f>
        <v>4110</v>
      </c>
      <c r="C28" s="51">
        <v>5.8000000000000003E-2</v>
      </c>
      <c r="D28" s="51">
        <v>7.2999999999999995E-2</v>
      </c>
      <c r="E28" s="52">
        <v>3.1</v>
      </c>
      <c r="F28" s="54">
        <v>3.1</v>
      </c>
      <c r="G28" s="55">
        <v>3.1</v>
      </c>
      <c r="H28" s="51"/>
      <c r="I28" s="51"/>
      <c r="J28" s="53"/>
    </row>
    <row r="29" spans="1:15" x14ac:dyDescent="0.25">
      <c r="A29">
        <f>'Trade Size'!A29</f>
        <v>16</v>
      </c>
      <c r="B29" s="33">
        <f>VLOOKUP(A29,'Trade Size'!$A$1:$B$30,2,FALSE)</f>
        <v>2580</v>
      </c>
      <c r="C29" s="51"/>
      <c r="D29" s="51"/>
      <c r="E29" s="52"/>
      <c r="F29" s="54"/>
      <c r="G29" s="58"/>
      <c r="H29" s="51"/>
      <c r="I29" s="51"/>
      <c r="J29" s="53"/>
    </row>
    <row r="30" spans="1:15" x14ac:dyDescent="0.25">
      <c r="A30">
        <f>'Trade Size'!A30</f>
        <v>18</v>
      </c>
      <c r="B30" s="41">
        <f>VLOOKUP(A30,'Trade Size'!$A$1:$B$30,2,FALSE)</f>
        <v>1620</v>
      </c>
      <c r="C30" s="51"/>
      <c r="D30" s="51"/>
      <c r="E30" s="59"/>
      <c r="F30" s="54"/>
      <c r="G30" s="58"/>
      <c r="H30" s="51"/>
      <c r="I30" s="51"/>
      <c r="J30" s="60"/>
    </row>
    <row r="31" spans="1:15" x14ac:dyDescent="0.25">
      <c r="A31" s="81" t="s">
        <v>72</v>
      </c>
      <c r="B31" s="81"/>
      <c r="C31" s="24" t="s">
        <v>58</v>
      </c>
      <c r="D31" s="24" t="s">
        <v>59</v>
      </c>
      <c r="E31" s="24" t="s">
        <v>60</v>
      </c>
      <c r="F31" s="24" t="s">
        <v>44</v>
      </c>
      <c r="G31" s="24" t="s">
        <v>59</v>
      </c>
      <c r="H31" s="24" t="s">
        <v>60</v>
      </c>
      <c r="I31" s="24" t="s">
        <v>44</v>
      </c>
      <c r="J31" s="24" t="s">
        <v>59</v>
      </c>
    </row>
    <row r="32" spans="1:15" x14ac:dyDescent="0.25">
      <c r="C32" s="87" t="s">
        <v>61</v>
      </c>
      <c r="D32" s="87"/>
      <c r="E32" s="87" t="s">
        <v>62</v>
      </c>
      <c r="F32" s="87"/>
      <c r="G32" s="87"/>
      <c r="H32" s="87" t="s">
        <v>63</v>
      </c>
      <c r="I32" s="87"/>
      <c r="J32" s="87"/>
    </row>
    <row r="33" spans="6:7" x14ac:dyDescent="0.25">
      <c r="F33" s="1"/>
      <c r="G33" s="21"/>
    </row>
  </sheetData>
  <mergeCells count="4">
    <mergeCell ref="C32:D32"/>
    <mergeCell ref="E32:G32"/>
    <mergeCell ref="H32:J32"/>
    <mergeCell ref="A31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C1A6-C22F-4D29-A30B-5B121BF88A7B}">
  <dimension ref="A1:AR82"/>
  <sheetViews>
    <sheetView topLeftCell="A52" workbookViewId="0">
      <selection activeCell="C80" sqref="C80"/>
    </sheetView>
  </sheetViews>
  <sheetFormatPr defaultRowHeight="15" x14ac:dyDescent="0.25"/>
  <cols>
    <col min="28" max="28" width="9.140625" customWidth="1"/>
  </cols>
  <sheetData>
    <row r="1" spans="1:36" x14ac:dyDescent="0.25">
      <c r="A1" s="31"/>
      <c r="B1" s="32">
        <v>1</v>
      </c>
      <c r="C1" s="31">
        <v>1</v>
      </c>
      <c r="D1" s="68"/>
      <c r="E1">
        <f>'Trade Size'!A1</f>
        <v>2000</v>
      </c>
      <c r="F1" s="33">
        <f>VLOOKUP(E1,'Trade Size'!$A$1:$B$30,2,FALSE)</f>
        <v>2000000</v>
      </c>
      <c r="G1">
        <f>'310.15(B)(16)'!C1*'wire calculator'!$C$18*'wire calculator'!$C$20</f>
        <v>555</v>
      </c>
      <c r="H1">
        <f>'310.15(B)(16)'!D1*'wire calculator'!$C$18*'wire calculator'!$C$20</f>
        <v>665</v>
      </c>
      <c r="I1">
        <f>'310.15(B)(16)'!E1*'wire calculator'!$C$18*'wire calculator'!$C$20</f>
        <v>750</v>
      </c>
      <c r="J1">
        <f>'310.15(B)(18)'!C1*'wire calculator'!$C$19*'wire calculator'!$C$20</f>
        <v>0</v>
      </c>
      <c r="K1">
        <f>'310.15(B)(18)'!D1*'wire calculator'!$C$19*'wire calculator'!$C$20</f>
        <v>0</v>
      </c>
      <c r="L1" s="39">
        <f>'310.15(B)(18)'!E1*'wire calculator'!$C$19*'wire calculator'!$C$20</f>
        <v>0</v>
      </c>
      <c r="M1">
        <f>'310.15(B)(16)'!F1*'wire calculator'!$C$18*'wire calculator'!$C$20</f>
        <v>470</v>
      </c>
      <c r="N1">
        <f>'310.15(B)(16)'!G1*'wire calculator'!$C$18*'wire calculator'!$C$20</f>
        <v>560</v>
      </c>
      <c r="O1">
        <f>'310.15(B)(16)'!H1*'wire calculator'!$C$18*'wire calculator'!$C$20</f>
        <v>630</v>
      </c>
      <c r="P1" s="39">
        <f>'310.15(B)(18)'!F1*'wire calculator'!$C$19*'wire calculator'!$C$20</f>
        <v>0</v>
      </c>
      <c r="Q1" s="22">
        <f>'310.15(B)(17)'!C1*'wire calculator'!$C$18*'wire calculator'!$C$20</f>
        <v>1155</v>
      </c>
      <c r="R1" s="22">
        <f>'310.15(B)(17)'!D1*'wire calculator'!$C$18*'wire calculator'!$C$20</f>
        <v>1385</v>
      </c>
      <c r="S1" s="22">
        <f>'310.15(B)(17)'!E1*'wire calculator'!$C$18*'wire calculator'!$C$20</f>
        <v>1560</v>
      </c>
      <c r="T1" s="22">
        <f>'310.15(B)(19)'!C1*'wire calculator'!$C$19*'wire calculator'!$C$20</f>
        <v>0</v>
      </c>
      <c r="U1" s="22">
        <f>'310.15(B)(19)'!D1*'wire calculator'!$C$19*'wire calculator'!$C$20</f>
        <v>0</v>
      </c>
      <c r="V1" s="35">
        <f>'310.15(B)(19)'!E1*'wire calculator'!$C$19*'wire calculator'!$C$20</f>
        <v>0</v>
      </c>
      <c r="W1">
        <f>'310.15(B)(17)'!F1*'wire calculator'!$C$18*'wire calculator'!$C$20</f>
        <v>960</v>
      </c>
      <c r="X1">
        <f>'310.15(B)(17)'!G1*'wire calculator'!$C$18*'wire calculator'!$C$20</f>
        <v>1150</v>
      </c>
      <c r="Y1">
        <f>'310.15(B)(17)'!H1*'wire calculator'!$C$18*'wire calculator'!$C$20</f>
        <v>1295</v>
      </c>
      <c r="Z1" s="39">
        <f>'310.15(B)(19)'!F1*'wire calculator'!$C$19*'wire calculator'!$C$20</f>
        <v>0</v>
      </c>
      <c r="AA1" s="3" t="e">
        <f>$C$40*$C$36*((INDEX('chapter 9 table 9'!$E1:$G1,1,SUM('wire calculator'!$C$46:$C$50))*(1+0.00323*(60-75))*'wire calculator'!$C$41)+IF('wire calculator'!$C$49=3,'chapter 9 table 9'!$D1*SIN(ACOS('wire calculator'!$C$41)),'chapter 9 table 9'!$C1*SIN(ACOS('wire calculator'!$C$41))))/1000*($C$42+$C$43)*(100/$C$53)</f>
        <v>#DIV/0!</v>
      </c>
      <c r="AB1" s="26" t="e">
        <f>$C$40*$C$36*((INDEX('chapter 9 table 9'!$E1:$G1,1,SUM('wire calculator'!$C$46:$C$50))*(1+0.00323*(75-75))*'wire calculator'!$C$41)+IF('wire calculator'!$C$49=3,'chapter 9 table 9'!$D1*SIN(ACOS('wire calculator'!$C$41)),'chapter 9 table 9'!$C1*SIN(ACOS('wire calculator'!$C$41))))/1000*($C$42+$C$43)*(100/$C$53)</f>
        <v>#DIV/0!</v>
      </c>
      <c r="AC1" s="26" t="e">
        <f>$C$40*$C$36*((INDEX('chapter 9 table 9'!$E1:$G1,1,SUM('wire calculator'!$C$46:$C$50))*(1+0.00323*(90-75))*'wire calculator'!$C$41)+IF('wire calculator'!$C$49=3,'chapter 9 table 9'!$D1*SIN(ACOS('wire calculator'!$C$41)),'chapter 9 table 9'!$C1*SIN(ACOS('wire calculator'!$C$41))))/1000*($C$42+$C$43)*(100/$C$53)</f>
        <v>#DIV/0!</v>
      </c>
      <c r="AD1" s="26" t="e">
        <f>$C$40*$C$36*((INDEX('chapter 9 table 9'!$E1:$G1,1,SUM('wire calculator'!$C$46:$C$50))*(1+0.00323*(150-75))*'wire calculator'!$C$41)+IF('wire calculator'!$C$49=3,'chapter 9 table 9'!$D1*SIN(ACOS('wire calculator'!$C$41)),'chapter 9 table 9'!$C1*SIN(ACOS('wire calculator'!$C$41))))/1000*($C$42+$C$43)*(100/$C$53)</f>
        <v>#DIV/0!</v>
      </c>
      <c r="AE1" s="26" t="e">
        <f>$C$40*$C$36*((INDEX('chapter 9 table 9'!$E1:$G1,1,SUM('wire calculator'!$C$46:$C$50))*(1+0.00323*(200-75))*'wire calculator'!$C$41)+IF('wire calculator'!$C$49=3,'chapter 9 table 9'!$D1*SIN(ACOS('wire calculator'!$C$41)),'chapter 9 table 9'!$C1*SIN(ACOS('wire calculator'!$C$41))))/1000*($C$42+$C$43)*(100/$C$53)</f>
        <v>#DIV/0!</v>
      </c>
      <c r="AF1" s="26" t="e">
        <f>$C$40*$C$36*((INDEX('chapter 9 table 9'!$E1:$G1,1,SUM('wire calculator'!$C$46:$C$50))*(1+0.00323*(250-75))*'wire calculator'!$C$41)+IF('wire calculator'!$C$49=3,'chapter 9 table 9'!$D1*SIN(ACOS('wire calculator'!$C$41)),'chapter 9 table 9'!$C1*SIN(ACOS('wire calculator'!$C$41))))/1000*($C$42+$C$43)*(100/$C$53)</f>
        <v>#DIV/0!</v>
      </c>
      <c r="AG1" s="3" t="e">
        <f>$C$40*$C$36*((INDEX('chapter 9 table 9'!$H1:$J1,1,SUM('wire calculator'!$C$46:$C$50))*(1+0.0033*(60-75))*'wire calculator'!$C$41)+IF('wire calculator'!$C$49=3,'chapter 9 table 9'!$D1*SIN(ACOS('wire calculator'!$C$41)),'chapter 9 table 9'!$C1*SIN(ACOS('wire calculator'!$C$41))))/1000*($C$42+$C$43)*(100/$C$53)</f>
        <v>#DIV/0!</v>
      </c>
      <c r="AH1" s="3" t="e">
        <f>$C$40*$C$36*((INDEX('chapter 9 table 9'!$H1:$J1,1,SUM('wire calculator'!$C$46:$C$50))*(1+0.0033*(75-75))*'wire calculator'!$C$41)+IF('wire calculator'!$C$49=3,'chapter 9 table 9'!$D1*SIN(ACOS('wire calculator'!$C$41)),'chapter 9 table 9'!$C1*SIN(ACOS('wire calculator'!$C$41))))/1000*($C$42+$C$43)*(100/$C$53)</f>
        <v>#DIV/0!</v>
      </c>
      <c r="AI1" s="3" t="e">
        <f>$C$40*$C$36*((INDEX('chapter 9 table 9'!$H1:$J1,1,SUM('wire calculator'!$C$46:$C$50))*(1+0.0033*(90-75))*'wire calculator'!$C$41)+IF('wire calculator'!$C$49=3,'chapter 9 table 9'!$D1*SIN(ACOS('wire calculator'!$C$41)),'chapter 9 table 9'!$C1*SIN(ACOS('wire calculator'!$C$41))))/1000*($C$42+$C$43)*(100/$C$53)</f>
        <v>#DIV/0!</v>
      </c>
      <c r="AJ1" s="43" t="e">
        <f>$C$40*$C$36*((INDEX('chapter 9 table 9'!$H1:$J1,1,SUM('wire calculator'!$C$46:$C$50))*(1+0.0033*(150-75))*'wire calculator'!$C$41)+IF('wire calculator'!$C$49=3,'chapter 9 table 9'!$D1*SIN(ACOS('wire calculator'!$C$41)),'chapter 9 table 9'!$C1*SIN(ACOS('wire calculator'!$C$41))))/1000*($C$42+$C$43)*(100/$C$53)</f>
        <v>#DIV/0!</v>
      </c>
    </row>
    <row r="2" spans="1:36" x14ac:dyDescent="0.25">
      <c r="A2" s="31"/>
      <c r="B2" s="32" t="s">
        <v>9</v>
      </c>
      <c r="C2" s="31">
        <f>SQRT(2)</f>
        <v>1.4142135623730951</v>
      </c>
      <c r="D2" s="68"/>
      <c r="E2">
        <f>'Trade Size'!A2</f>
        <v>1750</v>
      </c>
      <c r="F2" s="33">
        <f>VLOOKUP(E2,'Trade Size'!$A$1:$B$30,2,FALSE)</f>
        <v>1750000</v>
      </c>
      <c r="G2" s="22">
        <f>'310.15(B)(16)'!C2*'wire calculator'!$C$18*'wire calculator'!$C$20</f>
        <v>545</v>
      </c>
      <c r="H2" s="22">
        <f>'310.15(B)(16)'!D2*'wire calculator'!$C$18*'wire calculator'!$C$20</f>
        <v>650</v>
      </c>
      <c r="I2" s="22">
        <f>'310.15(B)(16)'!E2*'wire calculator'!$C$18*'wire calculator'!$C$20</f>
        <v>735</v>
      </c>
      <c r="J2" s="22">
        <f>'310.15(B)(18)'!C2*'wire calculator'!$C$19*'wire calculator'!$C$20</f>
        <v>0</v>
      </c>
      <c r="K2" s="22">
        <f>'310.15(B)(18)'!D2*'wire calculator'!$C$19*'wire calculator'!$C$20</f>
        <v>0</v>
      </c>
      <c r="L2" s="35">
        <f>'310.15(B)(18)'!E2*'wire calculator'!$C$19*'wire calculator'!$C$20</f>
        <v>0</v>
      </c>
      <c r="M2" s="22">
        <f>'310.15(B)(16)'!F2*'wire calculator'!$C$18*'wire calculator'!$C$20</f>
        <v>455</v>
      </c>
      <c r="N2" s="22">
        <f>'310.15(B)(16)'!G2*'wire calculator'!$C$18*'wire calculator'!$C$20</f>
        <v>545</v>
      </c>
      <c r="O2" s="22">
        <f>'310.15(B)(16)'!H2*'wire calculator'!$C$18*'wire calculator'!$C$20</f>
        <v>615</v>
      </c>
      <c r="P2" s="35">
        <f>'310.15(B)(18)'!F2*'wire calculator'!$C$19*'wire calculator'!$C$20</f>
        <v>0</v>
      </c>
      <c r="Q2" s="22">
        <f>'310.15(B)(17)'!C2*'wire calculator'!$C$18*'wire calculator'!$C$20</f>
        <v>1070</v>
      </c>
      <c r="R2" s="22">
        <f>'310.15(B)(17)'!D2*'wire calculator'!$C$18*'wire calculator'!$C$20</f>
        <v>1280</v>
      </c>
      <c r="S2" s="22">
        <f>'310.15(B)(17)'!E2*'wire calculator'!$C$18*'wire calculator'!$C$20</f>
        <v>1445</v>
      </c>
      <c r="T2" s="22">
        <f>'310.15(B)(19)'!C2*'wire calculator'!$C$19*'wire calculator'!$C$20</f>
        <v>0</v>
      </c>
      <c r="U2" s="22">
        <f>'310.15(B)(19)'!D2*'wire calculator'!$C$19*'wire calculator'!$C$20</f>
        <v>0</v>
      </c>
      <c r="V2" s="35">
        <f>'310.15(B)(19)'!E2*'wire calculator'!$C$19*'wire calculator'!$C$20</f>
        <v>0</v>
      </c>
      <c r="W2">
        <f>'310.15(B)(17)'!F2*'wire calculator'!$C$18*'wire calculator'!$C$20</f>
        <v>875</v>
      </c>
      <c r="X2">
        <f>'310.15(B)(17)'!G2*'wire calculator'!$C$18*'wire calculator'!$C$20</f>
        <v>1050</v>
      </c>
      <c r="Y2">
        <f>'310.15(B)(17)'!H2*'wire calculator'!$C$18*'wire calculator'!$C$20</f>
        <v>1185</v>
      </c>
      <c r="Z2" s="35">
        <f>'310.15(B)(19)'!F2*'wire calculator'!$C$19*'wire calculator'!$C$20</f>
        <v>0</v>
      </c>
      <c r="AA2" s="3" t="e">
        <f>$C$40*$C$36*((INDEX('chapter 9 table 9'!$E2:$G2,1,SUM('wire calculator'!$C$46:$C$50))*(1+0.00323*(60-75))*'wire calculator'!$C$41)+IF('wire calculator'!$C$49=3,'chapter 9 table 9'!$D2*SIN(ACOS('wire calculator'!$C$41)),'chapter 9 table 9'!$C2*SIN(ACOS('wire calculator'!$C$41))))/1000*($C$42+$C$43)*(100/$C$53)</f>
        <v>#DIV/0!</v>
      </c>
      <c r="AB2" s="26" t="e">
        <f>$C$40*$C$36*((INDEX('chapter 9 table 9'!$E2:$G2,1,SUM('wire calculator'!$C$46:$C$50))*(1+0.00323*(75-75))*'wire calculator'!$C$41)+IF('wire calculator'!$C$49=3,'chapter 9 table 9'!$D2*SIN(ACOS('wire calculator'!$C$41)),'chapter 9 table 9'!$C2*SIN(ACOS('wire calculator'!$C$41))))/1000*($C$42+$C$43)*(100/$C$53)</f>
        <v>#DIV/0!</v>
      </c>
      <c r="AC2" s="26" t="e">
        <f>$C$40*$C$36*((INDEX('chapter 9 table 9'!$E2:$G2,1,SUM('wire calculator'!$C$46:$C$50))*(1+0.00323*(90-75))*'wire calculator'!$C$41)+IF('wire calculator'!$C$49=3,'chapter 9 table 9'!$D2*SIN(ACOS('wire calculator'!$C$41)),'chapter 9 table 9'!$C2*SIN(ACOS('wire calculator'!$C$41))))/1000*($C$42+$C$43)*(100/$C$53)</f>
        <v>#DIV/0!</v>
      </c>
      <c r="AD2" s="26" t="e">
        <f>$C$40*$C$36*((INDEX('chapter 9 table 9'!$E2:$G2,1,SUM('wire calculator'!$C$46:$C$50))*(1+0.00323*(150-75))*'wire calculator'!$C$41)+IF('wire calculator'!$C$49=3,'chapter 9 table 9'!$D2*SIN(ACOS('wire calculator'!$C$41)),'chapter 9 table 9'!$C2*SIN(ACOS('wire calculator'!$C$41))))/1000*($C$42+$C$43)*(100/$C$53)</f>
        <v>#DIV/0!</v>
      </c>
      <c r="AE2" s="26" t="e">
        <f>$C$40*$C$36*((INDEX('chapter 9 table 9'!$E2:$G2,1,SUM('wire calculator'!$C$46:$C$50))*(1+0.00323*(200-75))*'wire calculator'!$C$41)+IF('wire calculator'!$C$49=3,'chapter 9 table 9'!$D2*SIN(ACOS('wire calculator'!$C$41)),'chapter 9 table 9'!$C2*SIN(ACOS('wire calculator'!$C$41))))/1000*($C$42+$C$43)*(100/$C$53)</f>
        <v>#DIV/0!</v>
      </c>
      <c r="AF2" s="26" t="e">
        <f>$C$40*$C$36*((INDEX('chapter 9 table 9'!$E2:$G2,1,SUM('wire calculator'!$C$46:$C$50))*(1+0.00323*(250-75))*'wire calculator'!$C$41)+IF('wire calculator'!$C$49=3,'chapter 9 table 9'!$D2*SIN(ACOS('wire calculator'!$C$41)),'chapter 9 table 9'!$C2*SIN(ACOS('wire calculator'!$C$41))))/1000*($C$42+$C$43)*(100/$C$53)</f>
        <v>#DIV/0!</v>
      </c>
      <c r="AG2" s="3" t="e">
        <f>$C$40*$C$36*((INDEX('chapter 9 table 9'!$H2:$J2,1,SUM('wire calculator'!$C$46:$C$50))*(1+0.0033*(60-75))*'wire calculator'!$C$41)+IF('wire calculator'!$C$49=3,'chapter 9 table 9'!$D2*SIN(ACOS('wire calculator'!$C$41)),'chapter 9 table 9'!$C2*SIN(ACOS('wire calculator'!$C$41))))/1000*($C$42+$C$43)*(100/$C$53)</f>
        <v>#DIV/0!</v>
      </c>
      <c r="AH2" s="3" t="e">
        <f>$C$40*$C$36*((INDEX('chapter 9 table 9'!$H2:$J2,1,SUM('wire calculator'!$C$46:$C$50))*(1+0.0033*(75-75))*'wire calculator'!$C$41)+IF('wire calculator'!$C$49=3,'chapter 9 table 9'!$D2*SIN(ACOS('wire calculator'!$C$41)),'chapter 9 table 9'!$C2*SIN(ACOS('wire calculator'!$C$41))))/1000*($C$42+$C$43)*(100/$C$53)</f>
        <v>#DIV/0!</v>
      </c>
      <c r="AI2" s="3" t="e">
        <f>$C$40*$C$36*((INDEX('chapter 9 table 9'!$H2:$J2,1,SUM('wire calculator'!$C$46:$C$50))*(1+0.0033*(90-75))*'wire calculator'!$C$41)+IF('wire calculator'!$C$49=3,'chapter 9 table 9'!$D2*SIN(ACOS('wire calculator'!$C$41)),'chapter 9 table 9'!$C2*SIN(ACOS('wire calculator'!$C$41))))/1000*($C$42+$C$43)*(100/$C$53)</f>
        <v>#DIV/0!</v>
      </c>
      <c r="AJ2" s="43" t="e">
        <f>$C$40*$C$36*((INDEX('chapter 9 table 9'!$H2:$J2,1,SUM('wire calculator'!$C$46:$C$50))*(1+0.0033*(150-75))*'wire calculator'!$C$41)+IF('wire calculator'!$C$49=3,'chapter 9 table 9'!$D2*SIN(ACOS('wire calculator'!$C$41)),'chapter 9 table 9'!$C2*SIN(ACOS('wire calculator'!$C$41))))/1000*($C$42+$C$43)*(100/$C$53)</f>
        <v>#DIV/0!</v>
      </c>
    </row>
    <row r="3" spans="1:36" x14ac:dyDescent="0.25">
      <c r="A3" s="31"/>
      <c r="B3" s="32" t="s">
        <v>10</v>
      </c>
      <c r="C3" s="31">
        <v>1</v>
      </c>
      <c r="D3" s="68"/>
      <c r="E3">
        <f>'Trade Size'!A3</f>
        <v>1500</v>
      </c>
      <c r="F3" s="33">
        <f>VLOOKUP(E3,'Trade Size'!$A$1:$B$30,2,FALSE)</f>
        <v>1500000</v>
      </c>
      <c r="G3" s="22">
        <f>'310.15(B)(16)'!C3*'wire calculator'!$C$18*'wire calculator'!$C$20</f>
        <v>525</v>
      </c>
      <c r="H3" s="22">
        <f>'310.15(B)(16)'!D3*'wire calculator'!$C$18*'wire calculator'!$C$20</f>
        <v>625</v>
      </c>
      <c r="I3" s="22">
        <f>'310.15(B)(16)'!E3*'wire calculator'!$C$18*'wire calculator'!$C$20</f>
        <v>705</v>
      </c>
      <c r="J3" s="22">
        <f>'310.15(B)(18)'!C3*'wire calculator'!$C$19*'wire calculator'!$C$20</f>
        <v>0</v>
      </c>
      <c r="K3" s="22">
        <f>'310.15(B)(18)'!D3*'wire calculator'!$C$19*'wire calculator'!$C$20</f>
        <v>0</v>
      </c>
      <c r="L3" s="35">
        <f>'310.15(B)(18)'!E3*'wire calculator'!$C$19*'wire calculator'!$C$20</f>
        <v>0</v>
      </c>
      <c r="M3" s="22">
        <f>'310.15(B)(16)'!F3*'wire calculator'!$C$18*'wire calculator'!$C$20</f>
        <v>435</v>
      </c>
      <c r="N3" s="22">
        <f>'310.15(B)(16)'!G3*'wire calculator'!$C$18*'wire calculator'!$C$20</f>
        <v>520</v>
      </c>
      <c r="O3" s="22">
        <f>'310.15(B)(16)'!H3*'wire calculator'!$C$18*'wire calculator'!$C$20</f>
        <v>585</v>
      </c>
      <c r="P3" s="35">
        <f>'310.15(B)(18)'!F3*'wire calculator'!$C$19*'wire calculator'!$C$20</f>
        <v>0</v>
      </c>
      <c r="Q3" s="22">
        <f>'310.15(B)(17)'!C3*'wire calculator'!$C$18*'wire calculator'!$C$20</f>
        <v>980</v>
      </c>
      <c r="R3" s="22">
        <f>'310.15(B)(17)'!D3*'wire calculator'!$C$18*'wire calculator'!$C$20</f>
        <v>1175</v>
      </c>
      <c r="S3" s="22">
        <f>'310.15(B)(17)'!E3*'wire calculator'!$C$18*'wire calculator'!$C$20</f>
        <v>1325</v>
      </c>
      <c r="T3" s="22">
        <f>'310.15(B)(19)'!C3*'wire calculator'!$C$19*'wire calculator'!$C$20</f>
        <v>0</v>
      </c>
      <c r="U3" s="22">
        <f>'310.15(B)(19)'!D3*'wire calculator'!$C$19*'wire calculator'!$C$20</f>
        <v>0</v>
      </c>
      <c r="V3" s="35">
        <f>'310.15(B)(19)'!E3*'wire calculator'!$C$19*'wire calculator'!$C$20</f>
        <v>0</v>
      </c>
      <c r="W3">
        <f>'310.15(B)(17)'!F3*'wire calculator'!$C$18*'wire calculator'!$C$20</f>
        <v>795</v>
      </c>
      <c r="X3">
        <f>'310.15(B)(17)'!G3*'wire calculator'!$C$18*'wire calculator'!$C$20</f>
        <v>950</v>
      </c>
      <c r="Y3">
        <f>'310.15(B)(17)'!H3*'wire calculator'!$C$18*'wire calculator'!$C$20</f>
        <v>1070</v>
      </c>
      <c r="Z3" s="35">
        <f>'310.15(B)(19)'!F3*'wire calculator'!$C$19*'wire calculator'!$C$20</f>
        <v>0</v>
      </c>
      <c r="AA3" s="3" t="e">
        <f>$C$40*$C$36*((INDEX('chapter 9 table 9'!$E3:$G3,1,SUM('wire calculator'!$C$46:$C$50))*(1+0.00323*(60-75))*'wire calculator'!$C$41)+IF('wire calculator'!$C$49=3,'chapter 9 table 9'!$D3*SIN(ACOS('wire calculator'!$C$41)),'chapter 9 table 9'!$C3*SIN(ACOS('wire calculator'!$C$41))))/1000*($C$42+$C$43)*(100/$C$53)</f>
        <v>#DIV/0!</v>
      </c>
      <c r="AB3" s="26" t="e">
        <f>$C$40*$C$36*((INDEX('chapter 9 table 9'!$E3:$G3,1,SUM('wire calculator'!$C$46:$C$50))*(1+0.00323*(75-75))*'wire calculator'!$C$41)+IF('wire calculator'!$C$49=3,'chapter 9 table 9'!$D3*SIN(ACOS('wire calculator'!$C$41)),'chapter 9 table 9'!$C3*SIN(ACOS('wire calculator'!$C$41))))/1000*($C$42+$C$43)*(100/$C$53)</f>
        <v>#DIV/0!</v>
      </c>
      <c r="AC3" s="26" t="e">
        <f>$C$40*$C$36*((INDEX('chapter 9 table 9'!$E3:$G3,1,SUM('wire calculator'!$C$46:$C$50))*(1+0.00323*(90-75))*'wire calculator'!$C$41)+IF('wire calculator'!$C$49=3,'chapter 9 table 9'!$D3*SIN(ACOS('wire calculator'!$C$41)),'chapter 9 table 9'!$C3*SIN(ACOS('wire calculator'!$C$41))))/1000*($C$42+$C$43)*(100/$C$53)</f>
        <v>#DIV/0!</v>
      </c>
      <c r="AD3" s="26" t="e">
        <f>$C$40*$C$36*((INDEX('chapter 9 table 9'!$E3:$G3,1,SUM('wire calculator'!$C$46:$C$50))*(1+0.00323*(150-75))*'wire calculator'!$C$41)+IF('wire calculator'!$C$49=3,'chapter 9 table 9'!$D3*SIN(ACOS('wire calculator'!$C$41)),'chapter 9 table 9'!$C3*SIN(ACOS('wire calculator'!$C$41))))/1000*($C$42+$C$43)*(100/$C$53)</f>
        <v>#DIV/0!</v>
      </c>
      <c r="AE3" s="26" t="e">
        <f>$C$40*$C$36*((INDEX('chapter 9 table 9'!$E3:$G3,1,SUM('wire calculator'!$C$46:$C$50))*(1+0.00323*(200-75))*'wire calculator'!$C$41)+IF('wire calculator'!$C$49=3,'chapter 9 table 9'!$D3*SIN(ACOS('wire calculator'!$C$41)),'chapter 9 table 9'!$C3*SIN(ACOS('wire calculator'!$C$41))))/1000*($C$42+$C$43)*(100/$C$53)</f>
        <v>#DIV/0!</v>
      </c>
      <c r="AF3" s="26" t="e">
        <f>$C$40*$C$36*((INDEX('chapter 9 table 9'!$E3:$G3,1,SUM('wire calculator'!$C$46:$C$50))*(1+0.00323*(250-75))*'wire calculator'!$C$41)+IF('wire calculator'!$C$49=3,'chapter 9 table 9'!$D3*SIN(ACOS('wire calculator'!$C$41)),'chapter 9 table 9'!$C3*SIN(ACOS('wire calculator'!$C$41))))/1000*($C$42+$C$43)*(100/$C$53)</f>
        <v>#DIV/0!</v>
      </c>
      <c r="AG3" s="3" t="e">
        <f>$C$40*$C$36*((INDEX('chapter 9 table 9'!$H3:$J3,1,SUM('wire calculator'!$C$46:$C$50))*(1+0.0033*(60-75))*'wire calculator'!$C$41)+IF('wire calculator'!$C$49=3,'chapter 9 table 9'!$D3*SIN(ACOS('wire calculator'!$C$41)),'chapter 9 table 9'!$C3*SIN(ACOS('wire calculator'!$C$41))))/1000*($C$42+$C$43)*(100/$C$53)</f>
        <v>#DIV/0!</v>
      </c>
      <c r="AH3" s="3" t="e">
        <f>$C$40*$C$36*((INDEX('chapter 9 table 9'!$H3:$J3,1,SUM('wire calculator'!$C$46:$C$50))*(1+0.0033*(75-75))*'wire calculator'!$C$41)+IF('wire calculator'!$C$49=3,'chapter 9 table 9'!$D3*SIN(ACOS('wire calculator'!$C$41)),'chapter 9 table 9'!$C3*SIN(ACOS('wire calculator'!$C$41))))/1000*($C$42+$C$43)*(100/$C$53)</f>
        <v>#DIV/0!</v>
      </c>
      <c r="AI3" s="3" t="e">
        <f>$C$40*$C$36*((INDEX('chapter 9 table 9'!$H3:$J3,1,SUM('wire calculator'!$C$46:$C$50))*(1+0.0033*(90-75))*'wire calculator'!$C$41)+IF('wire calculator'!$C$49=3,'chapter 9 table 9'!$D3*SIN(ACOS('wire calculator'!$C$41)),'chapter 9 table 9'!$C3*SIN(ACOS('wire calculator'!$C$41))))/1000*($C$42+$C$43)*(100/$C$53)</f>
        <v>#DIV/0!</v>
      </c>
      <c r="AJ3" s="43" t="e">
        <f>$C$40*$C$36*((INDEX('chapter 9 table 9'!$H3:$J3,1,SUM('wire calculator'!$C$46:$C$50))*(1+0.0033*(150-75))*'wire calculator'!$C$41)+IF('wire calculator'!$C$49=3,'chapter 9 table 9'!$D3*SIN(ACOS('wire calculator'!$C$41)),'chapter 9 table 9'!$C3*SIN(ACOS('wire calculator'!$C$41))))/1000*($C$42+$C$43)*(100/$C$53)</f>
        <v>#DIV/0!</v>
      </c>
    </row>
    <row r="4" spans="1:36" x14ac:dyDescent="0.25">
      <c r="A4" s="31"/>
      <c r="B4" s="32" t="s">
        <v>11</v>
      </c>
      <c r="C4" s="31">
        <v>1</v>
      </c>
      <c r="D4" s="68"/>
      <c r="E4">
        <f>'Trade Size'!A4</f>
        <v>1250</v>
      </c>
      <c r="F4" s="33">
        <f>VLOOKUP(E4,'Trade Size'!$A$1:$B$30,2,FALSE)</f>
        <v>1250000</v>
      </c>
      <c r="G4" s="22">
        <f>'310.15(B)(16)'!C4*'wire calculator'!$C$18*'wire calculator'!$C$20</f>
        <v>495</v>
      </c>
      <c r="H4" s="22">
        <f>'310.15(B)(16)'!D4*'wire calculator'!$C$18*'wire calculator'!$C$20</f>
        <v>590</v>
      </c>
      <c r="I4" s="22">
        <f>'310.15(B)(16)'!E4*'wire calculator'!$C$18*'wire calculator'!$C$20</f>
        <v>665</v>
      </c>
      <c r="J4" s="22">
        <f>'310.15(B)(18)'!C4*'wire calculator'!$C$19*'wire calculator'!$C$20</f>
        <v>0</v>
      </c>
      <c r="K4" s="22">
        <f>'310.15(B)(18)'!D4*'wire calculator'!$C$19*'wire calculator'!$C$20</f>
        <v>0</v>
      </c>
      <c r="L4" s="35">
        <f>'310.15(B)(18)'!E4*'wire calculator'!$C$19*'wire calculator'!$C$20</f>
        <v>0</v>
      </c>
      <c r="M4" s="22">
        <f>'310.15(B)(16)'!F4*'wire calculator'!$C$18*'wire calculator'!$C$20</f>
        <v>405</v>
      </c>
      <c r="N4" s="22">
        <f>'310.15(B)(16)'!G4*'wire calculator'!$C$18*'wire calculator'!$C$20</f>
        <v>485</v>
      </c>
      <c r="O4" s="22">
        <f>'310.15(B)(16)'!H4*'wire calculator'!$C$18*'wire calculator'!$C$20</f>
        <v>545</v>
      </c>
      <c r="P4" s="35">
        <f>'310.15(B)(18)'!F4*'wire calculator'!$C$19*'wire calculator'!$C$20</f>
        <v>0</v>
      </c>
      <c r="Q4" s="22">
        <f>'310.15(B)(17)'!C4*'wire calculator'!$C$18*'wire calculator'!$C$20</f>
        <v>890</v>
      </c>
      <c r="R4" s="22">
        <f>'310.15(B)(17)'!D4*'wire calculator'!$C$18*'wire calculator'!$C$20</f>
        <v>1065</v>
      </c>
      <c r="S4" s="22">
        <f>'310.15(B)(17)'!E4*'wire calculator'!$C$18*'wire calculator'!$C$20</f>
        <v>1200</v>
      </c>
      <c r="T4" s="22">
        <f>'310.15(B)(19)'!C4*'wire calculator'!$C$19*'wire calculator'!$C$20</f>
        <v>0</v>
      </c>
      <c r="U4" s="22">
        <f>'310.15(B)(19)'!D4*'wire calculator'!$C$19*'wire calculator'!$C$20</f>
        <v>0</v>
      </c>
      <c r="V4" s="35">
        <f>'310.15(B)(19)'!E4*'wire calculator'!$C$19*'wire calculator'!$C$20</f>
        <v>0</v>
      </c>
      <c r="W4">
        <f>'310.15(B)(17)'!F4*'wire calculator'!$C$18*'wire calculator'!$C$20</f>
        <v>710</v>
      </c>
      <c r="X4">
        <f>'310.15(B)(17)'!G4*'wire calculator'!$C$18*'wire calculator'!$C$20</f>
        <v>855</v>
      </c>
      <c r="Y4">
        <f>'310.15(B)(17)'!H4*'wire calculator'!$C$18*'wire calculator'!$C$20</f>
        <v>965</v>
      </c>
      <c r="Z4" s="35">
        <f>'310.15(B)(19)'!F4*'wire calculator'!$C$19*'wire calculator'!$C$20</f>
        <v>0</v>
      </c>
      <c r="AA4" s="3" t="e">
        <f>$C$40*$C$36*((INDEX('chapter 9 table 9'!$E4:$G4,1,SUM('wire calculator'!$C$46:$C$50))*(1+0.00323*(60-75))*'wire calculator'!$C$41)+IF('wire calculator'!$C$49=3,'chapter 9 table 9'!$D4*SIN(ACOS('wire calculator'!$C$41)),'chapter 9 table 9'!$C4*SIN(ACOS('wire calculator'!$C$41))))/1000*($C$42+$C$43)*(100/$C$53)</f>
        <v>#DIV/0!</v>
      </c>
      <c r="AB4" s="26" t="e">
        <f>$C$40*$C$36*((INDEX('chapter 9 table 9'!$E4:$G4,1,SUM('wire calculator'!$C$46:$C$50))*(1+0.00323*(75-75))*'wire calculator'!$C$41)+IF('wire calculator'!$C$49=3,'chapter 9 table 9'!$D4*SIN(ACOS('wire calculator'!$C$41)),'chapter 9 table 9'!$C4*SIN(ACOS('wire calculator'!$C$41))))/1000*($C$42+$C$43)*(100/$C$53)</f>
        <v>#DIV/0!</v>
      </c>
      <c r="AC4" s="26" t="e">
        <f>$C$40*$C$36*((INDEX('chapter 9 table 9'!$E4:$G4,1,SUM('wire calculator'!$C$46:$C$50))*(1+0.00323*(90-75))*'wire calculator'!$C$41)+IF('wire calculator'!$C$49=3,'chapter 9 table 9'!$D4*SIN(ACOS('wire calculator'!$C$41)),'chapter 9 table 9'!$C4*SIN(ACOS('wire calculator'!$C$41))))/1000*($C$42+$C$43)*(100/$C$53)</f>
        <v>#DIV/0!</v>
      </c>
      <c r="AD4" s="26" t="e">
        <f>$C$40*$C$36*((INDEX('chapter 9 table 9'!$E4:$G4,1,SUM('wire calculator'!$C$46:$C$50))*(1+0.00323*(150-75))*'wire calculator'!$C$41)+IF('wire calculator'!$C$49=3,'chapter 9 table 9'!$D4*SIN(ACOS('wire calculator'!$C$41)),'chapter 9 table 9'!$C4*SIN(ACOS('wire calculator'!$C$41))))/1000*($C$42+$C$43)*(100/$C$53)</f>
        <v>#DIV/0!</v>
      </c>
      <c r="AE4" s="26" t="e">
        <f>$C$40*$C$36*((INDEX('chapter 9 table 9'!$E4:$G4,1,SUM('wire calculator'!$C$46:$C$50))*(1+0.00323*(200-75))*'wire calculator'!$C$41)+IF('wire calculator'!$C$49=3,'chapter 9 table 9'!$D4*SIN(ACOS('wire calculator'!$C$41)),'chapter 9 table 9'!$C4*SIN(ACOS('wire calculator'!$C$41))))/1000*($C$42+$C$43)*(100/$C$53)</f>
        <v>#DIV/0!</v>
      </c>
      <c r="AF4" s="26" t="e">
        <f>$C$40*$C$36*((INDEX('chapter 9 table 9'!$E4:$G4,1,SUM('wire calculator'!$C$46:$C$50))*(1+0.00323*(250-75))*'wire calculator'!$C$41)+IF('wire calculator'!$C$49=3,'chapter 9 table 9'!$D4*SIN(ACOS('wire calculator'!$C$41)),'chapter 9 table 9'!$C4*SIN(ACOS('wire calculator'!$C$41))))/1000*($C$42+$C$43)*(100/$C$53)</f>
        <v>#DIV/0!</v>
      </c>
      <c r="AG4" s="3" t="e">
        <f>$C$40*$C$36*((INDEX('chapter 9 table 9'!$H4:$J4,1,SUM('wire calculator'!$C$46:$C$50))*(1+0.0033*(60-75))*'wire calculator'!$C$41)+IF('wire calculator'!$C$49=3,'chapter 9 table 9'!$D4*SIN(ACOS('wire calculator'!$C$41)),'chapter 9 table 9'!$C4*SIN(ACOS('wire calculator'!$C$41))))/1000*($C$42+$C$43)*(100/$C$53)</f>
        <v>#DIV/0!</v>
      </c>
      <c r="AH4" s="3" t="e">
        <f>$C$40*$C$36*((INDEX('chapter 9 table 9'!$H4:$J4,1,SUM('wire calculator'!$C$46:$C$50))*(1+0.0033*(75-75))*'wire calculator'!$C$41)+IF('wire calculator'!$C$49=3,'chapter 9 table 9'!$D4*SIN(ACOS('wire calculator'!$C$41)),'chapter 9 table 9'!$C4*SIN(ACOS('wire calculator'!$C$41))))/1000*($C$42+$C$43)*(100/$C$53)</f>
        <v>#DIV/0!</v>
      </c>
      <c r="AI4" s="3" t="e">
        <f>$C$40*$C$36*((INDEX('chapter 9 table 9'!$H4:$J4,1,SUM('wire calculator'!$C$46:$C$50))*(1+0.0033*(90-75))*'wire calculator'!$C$41)+IF('wire calculator'!$C$49=3,'chapter 9 table 9'!$D4*SIN(ACOS('wire calculator'!$C$41)),'chapter 9 table 9'!$C4*SIN(ACOS('wire calculator'!$C$41))))/1000*($C$42+$C$43)*(100/$C$53)</f>
        <v>#DIV/0!</v>
      </c>
      <c r="AJ4" s="43" t="e">
        <f>$C$40*$C$36*((INDEX('chapter 9 table 9'!$H4:$J4,1,SUM('wire calculator'!$C$46:$C$50))*(1+0.0033*(150-75))*'wire calculator'!$C$41)+IF('wire calculator'!$C$49=3,'chapter 9 table 9'!$D4*SIN(ACOS('wire calculator'!$C$41)),'chapter 9 table 9'!$C4*SIN(ACOS('wire calculator'!$C$41))))/1000*($C$42+$C$43)*(100/$C$53)</f>
        <v>#DIV/0!</v>
      </c>
    </row>
    <row r="5" spans="1:36" x14ac:dyDescent="0.25">
      <c r="A5" s="31"/>
      <c r="B5" s="31">
        <v>3</v>
      </c>
      <c r="C5" s="31">
        <f>SQRT(3)</f>
        <v>1.7320508075688772</v>
      </c>
      <c r="D5" s="68"/>
      <c r="E5" s="1">
        <f>'310.15(B)(16)'!A5</f>
        <v>1000</v>
      </c>
      <c r="F5" s="33">
        <f>VLOOKUP(E5,'Trade Size'!$A$1:$B$30,2,FALSE)</f>
        <v>1000000</v>
      </c>
      <c r="G5" s="22">
        <f>'310.15(B)(16)'!C5*'wire calculator'!$C$18*'wire calculator'!$C$20</f>
        <v>455</v>
      </c>
      <c r="H5" s="22">
        <f>'310.15(B)(16)'!D5*'wire calculator'!$C$18*'wire calculator'!$C$20</f>
        <v>545</v>
      </c>
      <c r="I5" s="22">
        <f>'310.15(B)(16)'!E5*'wire calculator'!$C$18*'wire calculator'!$C$20</f>
        <v>615</v>
      </c>
      <c r="J5" s="22">
        <f>'310.15(B)(18)'!C5*'wire calculator'!$C$19*'wire calculator'!$C$20</f>
        <v>0</v>
      </c>
      <c r="K5" s="22">
        <f>'310.15(B)(18)'!D5*'wire calculator'!$C$19*'wire calculator'!$C$20</f>
        <v>0</v>
      </c>
      <c r="L5" s="35">
        <f>'310.15(B)(18)'!E5*'wire calculator'!$C$19*'wire calculator'!$C$20</f>
        <v>0</v>
      </c>
      <c r="M5" s="22">
        <f>'310.15(B)(16)'!F5*'wire calculator'!$C$18*'wire calculator'!$C$20</f>
        <v>375</v>
      </c>
      <c r="N5" s="22">
        <f>'310.15(B)(16)'!G5*'wire calculator'!$C$18*'wire calculator'!$C$20</f>
        <v>445</v>
      </c>
      <c r="O5" s="22">
        <f>'310.15(B)(16)'!H5*'wire calculator'!$C$18*'wire calculator'!$C$20</f>
        <v>500</v>
      </c>
      <c r="P5" s="35">
        <f>'310.15(B)(18)'!F5*'wire calculator'!$C$19*'wire calculator'!$C$20</f>
        <v>0</v>
      </c>
      <c r="Q5" s="22">
        <f>'310.15(B)(17)'!C5*'wire calculator'!$C$18*'wire calculator'!$C$20</f>
        <v>780</v>
      </c>
      <c r="R5" s="22">
        <f>'310.15(B)(17)'!D5*'wire calculator'!$C$18*'wire calculator'!$C$20</f>
        <v>935</v>
      </c>
      <c r="S5" s="22">
        <f>'310.15(B)(17)'!E5*'wire calculator'!$C$18*'wire calculator'!$C$20</f>
        <v>1055</v>
      </c>
      <c r="T5" s="22">
        <f>'310.15(B)(19)'!C5*'wire calculator'!$C$19*'wire calculator'!$C$20</f>
        <v>0</v>
      </c>
      <c r="U5" s="22">
        <f>'310.15(B)(19)'!D5*'wire calculator'!$C$19*'wire calculator'!$C$20</f>
        <v>0</v>
      </c>
      <c r="V5" s="35">
        <f>'310.15(B)(19)'!E5*'wire calculator'!$C$19*'wire calculator'!$C$20</f>
        <v>0</v>
      </c>
      <c r="W5">
        <f>'310.15(B)(17)'!F5*'wire calculator'!$C$18*'wire calculator'!$C$20</f>
        <v>625</v>
      </c>
      <c r="X5">
        <f>'310.15(B)(17)'!G5*'wire calculator'!$C$18*'wire calculator'!$C$20</f>
        <v>750</v>
      </c>
      <c r="Y5">
        <f>'310.15(B)(17)'!H5*'wire calculator'!$C$18*'wire calculator'!$C$20</f>
        <v>845</v>
      </c>
      <c r="Z5" s="35">
        <f>'310.15(B)(19)'!F5*'wire calculator'!$C$19*'wire calculator'!$C$20</f>
        <v>0</v>
      </c>
      <c r="AA5" s="3" t="e">
        <f>$C$40*$C$36*((INDEX('chapter 9 table 9'!$E5:$G5,1,SUM('wire calculator'!$C$46:$C$50))*(1+0.00323*(60-75))*'wire calculator'!$C$41)+IF('wire calculator'!$C$49=3,'chapter 9 table 9'!$D5*SIN(ACOS('wire calculator'!$C$41)),'chapter 9 table 9'!$C5*SIN(ACOS('wire calculator'!$C$41))))/1000*($C$42+$C$43)*(100/$C$53)</f>
        <v>#DIV/0!</v>
      </c>
      <c r="AB5" s="26" t="e">
        <f>$C$40*$C$36*((INDEX('chapter 9 table 9'!$E5:$G5,1,SUM('wire calculator'!$C$46:$C$50))*(1+0.00323*(75-75))*'wire calculator'!$C$41)+IF('wire calculator'!$C$49=3,'chapter 9 table 9'!$D5*SIN(ACOS('wire calculator'!$C$41)),'chapter 9 table 9'!$C5*SIN(ACOS('wire calculator'!$C$41))))/1000*($C$42+$C$43)*(100/$C$53)</f>
        <v>#DIV/0!</v>
      </c>
      <c r="AC5" s="26" t="e">
        <f>$C$40*$C$36*((INDEX('chapter 9 table 9'!$E5:$G5,1,SUM('wire calculator'!$C$46:$C$50))*(1+0.00323*(90-75))*'wire calculator'!$C$41)+IF('wire calculator'!$C$49=3,'chapter 9 table 9'!$D5*SIN(ACOS('wire calculator'!$C$41)),'chapter 9 table 9'!$C5*SIN(ACOS('wire calculator'!$C$41))))/1000*($C$42+$C$43)*(100/$C$53)</f>
        <v>#DIV/0!</v>
      </c>
      <c r="AD5" s="26" t="e">
        <f>$C$40*$C$36*((INDEX('chapter 9 table 9'!$E5:$G5,1,SUM('wire calculator'!$C$46:$C$50))*(1+0.00323*(150-75))*'wire calculator'!$C$41)+IF('wire calculator'!$C$49=3,'chapter 9 table 9'!$D5*SIN(ACOS('wire calculator'!$C$41)),'chapter 9 table 9'!$C5*SIN(ACOS('wire calculator'!$C$41))))/1000*($C$42+$C$43)*(100/$C$53)</f>
        <v>#DIV/0!</v>
      </c>
      <c r="AE5" s="26" t="e">
        <f>$C$40*$C$36*((INDEX('chapter 9 table 9'!$E5:$G5,1,SUM('wire calculator'!$C$46:$C$50))*(1+0.00323*(200-75))*'wire calculator'!$C$41)+IF('wire calculator'!$C$49=3,'chapter 9 table 9'!$D5*SIN(ACOS('wire calculator'!$C$41)),'chapter 9 table 9'!$C5*SIN(ACOS('wire calculator'!$C$41))))/1000*($C$42+$C$43)*(100/$C$53)</f>
        <v>#DIV/0!</v>
      </c>
      <c r="AF5" s="26" t="e">
        <f>$C$40*$C$36*((INDEX('chapter 9 table 9'!$E5:$G5,1,SUM('wire calculator'!$C$46:$C$50))*(1+0.00323*(250-75))*'wire calculator'!$C$41)+IF('wire calculator'!$C$49=3,'chapter 9 table 9'!$D5*SIN(ACOS('wire calculator'!$C$41)),'chapter 9 table 9'!$C5*SIN(ACOS('wire calculator'!$C$41))))/1000*($C$42+$C$43)*(100/$C$53)</f>
        <v>#DIV/0!</v>
      </c>
      <c r="AG5" s="3" t="e">
        <f>$C$40*$C$36*((INDEX('chapter 9 table 9'!$H5:$J5,1,SUM('wire calculator'!$C$46:$C$50))*(1+0.0033*(60-75))*'wire calculator'!$C$41)+IF('wire calculator'!$C$49=3,'chapter 9 table 9'!$D5*SIN(ACOS('wire calculator'!$C$41)),'chapter 9 table 9'!$C5*SIN(ACOS('wire calculator'!$C$41))))/1000*($C$42+$C$43)*(100/$C$53)</f>
        <v>#DIV/0!</v>
      </c>
      <c r="AH5" s="3" t="e">
        <f>$C$40*$C$36*((INDEX('chapter 9 table 9'!$H5:$J5,1,SUM('wire calculator'!$C$46:$C$50))*(1+0.0033*(75-75))*'wire calculator'!$C$41)+IF('wire calculator'!$C$49=3,'chapter 9 table 9'!$D5*SIN(ACOS('wire calculator'!$C$41)),'chapter 9 table 9'!$C5*SIN(ACOS('wire calculator'!$C$41))))/1000*($C$42+$C$43)*(100/$C$53)</f>
        <v>#DIV/0!</v>
      </c>
      <c r="AI5" s="3" t="e">
        <f>$C$40*$C$36*((INDEX('chapter 9 table 9'!$H5:$J5,1,SUM('wire calculator'!$C$46:$C$50))*(1+0.0033*(90-75))*'wire calculator'!$C$41)+IF('wire calculator'!$C$49=3,'chapter 9 table 9'!$D5*SIN(ACOS('wire calculator'!$C$41)),'chapter 9 table 9'!$C5*SIN(ACOS('wire calculator'!$C$41))))/1000*($C$42+$C$43)*(100/$C$53)</f>
        <v>#DIV/0!</v>
      </c>
      <c r="AJ5" s="43" t="e">
        <f>$C$40*$C$36*((INDEX('chapter 9 table 9'!$H5:$J5,1,SUM('wire calculator'!$C$46:$C$50))*(1+0.0033*(150-75))*'wire calculator'!$C$41)+IF('wire calculator'!$C$49=3,'chapter 9 table 9'!$D5*SIN(ACOS('wire calculator'!$C$41)),'chapter 9 table 9'!$C5*SIN(ACOS('wire calculator'!$C$41))))/1000*($C$42+$C$43)*(100/$C$53)</f>
        <v>#DIV/0!</v>
      </c>
    </row>
    <row r="6" spans="1:36" x14ac:dyDescent="0.25">
      <c r="A6" s="81" t="s">
        <v>89</v>
      </c>
      <c r="B6" s="81"/>
      <c r="C6" s="81"/>
      <c r="D6" s="83"/>
      <c r="E6" s="1">
        <f>'310.15(B)(16)'!A6</f>
        <v>900</v>
      </c>
      <c r="F6" s="33">
        <f>VLOOKUP(E6,'Trade Size'!$A$1:$B$30,2,FALSE)</f>
        <v>900000</v>
      </c>
      <c r="G6" s="22">
        <f>'310.15(B)(16)'!C6*'wire calculator'!$C$18*'wire calculator'!$C$20</f>
        <v>435</v>
      </c>
      <c r="H6" s="22">
        <f>'310.15(B)(16)'!D6*'wire calculator'!$C$18*'wire calculator'!$C$20</f>
        <v>520</v>
      </c>
      <c r="I6" s="22">
        <f>'310.15(B)(16)'!E6*'wire calculator'!$C$18*'wire calculator'!$C$20</f>
        <v>585</v>
      </c>
      <c r="J6" s="22">
        <f>'310.15(B)(18)'!C6*'wire calculator'!$C$19*'wire calculator'!$C$20</f>
        <v>0</v>
      </c>
      <c r="K6" s="22">
        <f>'310.15(B)(18)'!D6*'wire calculator'!$C$19*'wire calculator'!$C$20</f>
        <v>0</v>
      </c>
      <c r="L6" s="35">
        <f>'310.15(B)(18)'!E6*'wire calculator'!$C$19*'wire calculator'!$C$20</f>
        <v>0</v>
      </c>
      <c r="M6" s="22">
        <f>'310.15(B)(16)'!F6*'wire calculator'!$C$18*'wire calculator'!$C$20</f>
        <v>355</v>
      </c>
      <c r="N6" s="22">
        <f>'310.15(B)(16)'!G6*'wire calculator'!$C$18*'wire calculator'!$C$20</f>
        <v>425</v>
      </c>
      <c r="O6" s="22">
        <f>'310.15(B)(16)'!H6*'wire calculator'!$C$18*'wire calculator'!$C$20</f>
        <v>480</v>
      </c>
      <c r="P6" s="35">
        <f>'310.15(B)(18)'!F6*'wire calculator'!$C$19*'wire calculator'!$C$20</f>
        <v>0</v>
      </c>
      <c r="Q6" s="22">
        <f>'310.15(B)(17)'!C6*'wire calculator'!$C$18*'wire calculator'!$C$20</f>
        <v>730</v>
      </c>
      <c r="R6" s="22">
        <f>'310.15(B)(17)'!D6*'wire calculator'!$C$18*'wire calculator'!$C$20</f>
        <v>870</v>
      </c>
      <c r="S6" s="22">
        <f>'310.15(B)(17)'!E6*'wire calculator'!$C$18*'wire calculator'!$C$20</f>
        <v>980</v>
      </c>
      <c r="T6" s="22">
        <f>'310.15(B)(19)'!C6*'wire calculator'!$C$19*'wire calculator'!$C$20</f>
        <v>0</v>
      </c>
      <c r="U6" s="22">
        <f>'310.15(B)(19)'!D6*'wire calculator'!$C$19*'wire calculator'!$C$20</f>
        <v>0</v>
      </c>
      <c r="V6" s="35">
        <f>'310.15(B)(19)'!E6*'wire calculator'!$C$19*'wire calculator'!$C$20</f>
        <v>0</v>
      </c>
      <c r="W6">
        <f>'310.15(B)(17)'!F6*'wire calculator'!$C$18*'wire calculator'!$C$20</f>
        <v>580</v>
      </c>
      <c r="X6">
        <f>'310.15(B)(17)'!G6*'wire calculator'!$C$18*'wire calculator'!$C$20</f>
        <v>700</v>
      </c>
      <c r="Y6">
        <f>'310.15(B)(17)'!H6*'wire calculator'!$C$18*'wire calculator'!$C$20</f>
        <v>790</v>
      </c>
      <c r="Z6" s="35">
        <f>'310.15(B)(19)'!F6*'wire calculator'!$C$19*'wire calculator'!$C$20</f>
        <v>0</v>
      </c>
      <c r="AA6" s="3" t="e">
        <f>$C$40*$C$36*((INDEX('chapter 9 table 9'!$E6:$G6,1,SUM('wire calculator'!$C$46:$C$50))*(1+0.00323*(60-75))*'wire calculator'!$C$41)+IF('wire calculator'!$C$49=3,'chapter 9 table 9'!$D6*SIN(ACOS('wire calculator'!$C$41)),'chapter 9 table 9'!$C6*SIN(ACOS('wire calculator'!$C$41))))/1000*($C$42+$C$43)*(100/$C$53)</f>
        <v>#DIV/0!</v>
      </c>
      <c r="AB6" s="26" t="e">
        <f>$C$40*$C$36*((INDEX('chapter 9 table 9'!$E6:$G6,1,SUM('wire calculator'!$C$46:$C$50))*(1+0.00323*(75-75))*'wire calculator'!$C$41)+IF('wire calculator'!$C$49=3,'chapter 9 table 9'!$D6*SIN(ACOS('wire calculator'!$C$41)),'chapter 9 table 9'!$C6*SIN(ACOS('wire calculator'!$C$41))))/1000*($C$42+$C$43)*(100/$C$53)</f>
        <v>#DIV/0!</v>
      </c>
      <c r="AC6" s="26" t="e">
        <f>$C$40*$C$36*((INDEX('chapter 9 table 9'!$E6:$G6,1,SUM('wire calculator'!$C$46:$C$50))*(1+0.00323*(90-75))*'wire calculator'!$C$41)+IF('wire calculator'!$C$49=3,'chapter 9 table 9'!$D6*SIN(ACOS('wire calculator'!$C$41)),'chapter 9 table 9'!$C6*SIN(ACOS('wire calculator'!$C$41))))/1000*($C$42+$C$43)*(100/$C$53)</f>
        <v>#DIV/0!</v>
      </c>
      <c r="AD6" s="26" t="e">
        <f>$C$40*$C$36*((INDEX('chapter 9 table 9'!$E6:$G6,1,SUM('wire calculator'!$C$46:$C$50))*(1+0.00323*(150-75))*'wire calculator'!$C$41)+IF('wire calculator'!$C$49=3,'chapter 9 table 9'!$D6*SIN(ACOS('wire calculator'!$C$41)),'chapter 9 table 9'!$C6*SIN(ACOS('wire calculator'!$C$41))))/1000*($C$42+$C$43)*(100/$C$53)</f>
        <v>#DIV/0!</v>
      </c>
      <c r="AE6" s="26" t="e">
        <f>$C$40*$C$36*((INDEX('chapter 9 table 9'!$E6:$G6,1,SUM('wire calculator'!$C$46:$C$50))*(1+0.00323*(200-75))*'wire calculator'!$C$41)+IF('wire calculator'!$C$49=3,'chapter 9 table 9'!$D6*SIN(ACOS('wire calculator'!$C$41)),'chapter 9 table 9'!$C6*SIN(ACOS('wire calculator'!$C$41))))/1000*($C$42+$C$43)*(100/$C$53)</f>
        <v>#DIV/0!</v>
      </c>
      <c r="AF6" s="26" t="e">
        <f>$C$40*$C$36*((INDEX('chapter 9 table 9'!$E6:$G6,1,SUM('wire calculator'!$C$46:$C$50))*(1+0.00323*(250-75))*'wire calculator'!$C$41)+IF('wire calculator'!$C$49=3,'chapter 9 table 9'!$D6*SIN(ACOS('wire calculator'!$C$41)),'chapter 9 table 9'!$C6*SIN(ACOS('wire calculator'!$C$41))))/1000*($C$42+$C$43)*(100/$C$53)</f>
        <v>#DIV/0!</v>
      </c>
      <c r="AG6" s="3" t="e">
        <f>$C$40*$C$36*((INDEX('chapter 9 table 9'!$H6:$J6,1,SUM('wire calculator'!$C$46:$C$50))*(1+0.0033*(60-75))*'wire calculator'!$C$41)+IF('wire calculator'!$C$49=3,'chapter 9 table 9'!$D6*SIN(ACOS('wire calculator'!$C$41)),'chapter 9 table 9'!$C6*SIN(ACOS('wire calculator'!$C$41))))/1000*($C$42+$C$43)*(100/$C$53)</f>
        <v>#DIV/0!</v>
      </c>
      <c r="AH6" s="3" t="e">
        <f>$C$40*$C$36*((INDEX('chapter 9 table 9'!$H6:$J6,1,SUM('wire calculator'!$C$46:$C$50))*(1+0.0033*(75-75))*'wire calculator'!$C$41)+IF('wire calculator'!$C$49=3,'chapter 9 table 9'!$D6*SIN(ACOS('wire calculator'!$C$41)),'chapter 9 table 9'!$C6*SIN(ACOS('wire calculator'!$C$41))))/1000*($C$42+$C$43)*(100/$C$53)</f>
        <v>#DIV/0!</v>
      </c>
      <c r="AI6" s="3" t="e">
        <f>$C$40*$C$36*((INDEX('chapter 9 table 9'!$H6:$J6,1,SUM('wire calculator'!$C$46:$C$50))*(1+0.0033*(90-75))*'wire calculator'!$C$41)+IF('wire calculator'!$C$49=3,'chapter 9 table 9'!$D6*SIN(ACOS('wire calculator'!$C$41)),'chapter 9 table 9'!$C6*SIN(ACOS('wire calculator'!$C$41))))/1000*($C$42+$C$43)*(100/$C$53)</f>
        <v>#DIV/0!</v>
      </c>
      <c r="AJ6" s="43" t="e">
        <f>$C$40*$C$36*((INDEX('chapter 9 table 9'!$H6:$J6,1,SUM('wire calculator'!$C$46:$C$50))*(1+0.0033*(150-75))*'wire calculator'!$C$41)+IF('wire calculator'!$C$49=3,'chapter 9 table 9'!$D6*SIN(ACOS('wire calculator'!$C$41)),'chapter 9 table 9'!$C6*SIN(ACOS('wire calculator'!$C$41))))/1000*($C$42+$C$43)*(100/$C$53)</f>
        <v>#DIV/0!</v>
      </c>
    </row>
    <row r="7" spans="1:36" x14ac:dyDescent="0.25">
      <c r="A7" s="31"/>
      <c r="B7" s="31"/>
      <c r="C7" s="31"/>
      <c r="D7" s="68"/>
      <c r="E7" s="1">
        <f>'310.15(B)(16)'!A7</f>
        <v>800</v>
      </c>
      <c r="F7" s="33">
        <f>VLOOKUP(E7,'Trade Size'!$A$1:$B$30,2,FALSE)</f>
        <v>800000</v>
      </c>
      <c r="G7" s="22">
        <f>'310.15(B)(16)'!C7*'wire calculator'!$C$18*'wire calculator'!$C$20</f>
        <v>410</v>
      </c>
      <c r="H7" s="22">
        <f>'310.15(B)(16)'!D7*'wire calculator'!$C$18*'wire calculator'!$C$20</f>
        <v>490</v>
      </c>
      <c r="I7" s="22">
        <f>'310.15(B)(16)'!E7*'wire calculator'!$C$18*'wire calculator'!$C$20</f>
        <v>555</v>
      </c>
      <c r="J7" s="22">
        <f>'310.15(B)(18)'!C7*'wire calculator'!$C$19*'wire calculator'!$C$20</f>
        <v>0</v>
      </c>
      <c r="K7" s="22">
        <f>'310.15(B)(18)'!D7*'wire calculator'!$C$19*'wire calculator'!$C$20</f>
        <v>0</v>
      </c>
      <c r="L7" s="35">
        <f>'310.15(B)(18)'!E7*'wire calculator'!$C$19*'wire calculator'!$C$20</f>
        <v>0</v>
      </c>
      <c r="M7" s="22">
        <f>'310.15(B)(16)'!F7*'wire calculator'!$C$18*'wire calculator'!$C$20</f>
        <v>330</v>
      </c>
      <c r="N7" s="22">
        <f>'310.15(B)(16)'!G7*'wire calculator'!$C$18*'wire calculator'!$C$20</f>
        <v>395</v>
      </c>
      <c r="O7" s="22">
        <f>'310.15(B)(16)'!H7*'wire calculator'!$C$18*'wire calculator'!$C$20</f>
        <v>445</v>
      </c>
      <c r="P7" s="35">
        <f>'310.15(B)(18)'!F7*'wire calculator'!$C$19*'wire calculator'!$C$20</f>
        <v>0</v>
      </c>
      <c r="Q7" s="22">
        <f>'310.15(B)(17)'!C7*'wire calculator'!$C$18*'wire calculator'!$C$20</f>
        <v>680</v>
      </c>
      <c r="R7" s="22">
        <f>'310.15(B)(17)'!D7*'wire calculator'!$C$18*'wire calculator'!$C$20</f>
        <v>815</v>
      </c>
      <c r="S7" s="22">
        <f>'310.15(B)(17)'!E7*'wire calculator'!$C$18*'wire calculator'!$C$20</f>
        <v>920</v>
      </c>
      <c r="T7" s="22">
        <f>'310.15(B)(19)'!C7*'wire calculator'!$C$19*'wire calculator'!$C$20</f>
        <v>0</v>
      </c>
      <c r="U7" s="22">
        <f>'310.15(B)(19)'!D7*'wire calculator'!$C$19*'wire calculator'!$C$20</f>
        <v>0</v>
      </c>
      <c r="V7" s="35">
        <f>'310.15(B)(19)'!E7*'wire calculator'!$C$19*'wire calculator'!$C$20</f>
        <v>0</v>
      </c>
      <c r="W7">
        <f>'310.15(B)(17)'!F7*'wire calculator'!$C$18*'wire calculator'!$C$20</f>
        <v>535</v>
      </c>
      <c r="X7">
        <f>'310.15(B)(17)'!G7*'wire calculator'!$C$18*'wire calculator'!$C$20</f>
        <v>645</v>
      </c>
      <c r="Y7">
        <f>'310.15(B)(17)'!H7*'wire calculator'!$C$18*'wire calculator'!$C$20</f>
        <v>725</v>
      </c>
      <c r="Z7" s="35">
        <f>'310.15(B)(19)'!F7*'wire calculator'!$C$19*'wire calculator'!$C$20</f>
        <v>0</v>
      </c>
      <c r="AA7" s="3" t="e">
        <f>$C$40*$C$36*((INDEX('chapter 9 table 9'!$E7:$G7,1,SUM('wire calculator'!$C$46:$C$50))*(1+0.00323*(60-75))*'wire calculator'!$C$41)+IF('wire calculator'!$C$49=3,'chapter 9 table 9'!$D7*SIN(ACOS('wire calculator'!$C$41)),'chapter 9 table 9'!$C7*SIN(ACOS('wire calculator'!$C$41))))/1000*($C$42+$C$43)*(100/$C$53)</f>
        <v>#DIV/0!</v>
      </c>
      <c r="AB7" s="26" t="e">
        <f>$C$40*$C$36*((INDEX('chapter 9 table 9'!$E7:$G7,1,SUM('wire calculator'!$C$46:$C$50))*(1+0.00323*(75-75))*'wire calculator'!$C$41)+IF('wire calculator'!$C$49=3,'chapter 9 table 9'!$D7*SIN(ACOS('wire calculator'!$C$41)),'chapter 9 table 9'!$C7*SIN(ACOS('wire calculator'!$C$41))))/1000*($C$42+$C$43)*(100/$C$53)</f>
        <v>#DIV/0!</v>
      </c>
      <c r="AC7" s="26" t="e">
        <f>$C$40*$C$36*((INDEX('chapter 9 table 9'!$E7:$G7,1,SUM('wire calculator'!$C$46:$C$50))*(1+0.00323*(90-75))*'wire calculator'!$C$41)+IF('wire calculator'!$C$49=3,'chapter 9 table 9'!$D7*SIN(ACOS('wire calculator'!$C$41)),'chapter 9 table 9'!$C7*SIN(ACOS('wire calculator'!$C$41))))/1000*($C$42+$C$43)*(100/$C$53)</f>
        <v>#DIV/0!</v>
      </c>
      <c r="AD7" s="26" t="e">
        <f>$C$40*$C$36*((INDEX('chapter 9 table 9'!$E7:$G7,1,SUM('wire calculator'!$C$46:$C$50))*(1+0.00323*(150-75))*'wire calculator'!$C$41)+IF('wire calculator'!$C$49=3,'chapter 9 table 9'!$D7*SIN(ACOS('wire calculator'!$C$41)),'chapter 9 table 9'!$C7*SIN(ACOS('wire calculator'!$C$41))))/1000*($C$42+$C$43)*(100/$C$53)</f>
        <v>#DIV/0!</v>
      </c>
      <c r="AE7" s="26" t="e">
        <f>$C$40*$C$36*((INDEX('chapter 9 table 9'!$E7:$G7,1,SUM('wire calculator'!$C$46:$C$50))*(1+0.00323*(200-75))*'wire calculator'!$C$41)+IF('wire calculator'!$C$49=3,'chapter 9 table 9'!$D7*SIN(ACOS('wire calculator'!$C$41)),'chapter 9 table 9'!$C7*SIN(ACOS('wire calculator'!$C$41))))/1000*($C$42+$C$43)*(100/$C$53)</f>
        <v>#DIV/0!</v>
      </c>
      <c r="AF7" s="26" t="e">
        <f>$C$40*$C$36*((INDEX('chapter 9 table 9'!$E7:$G7,1,SUM('wire calculator'!$C$46:$C$50))*(1+0.00323*(250-75))*'wire calculator'!$C$41)+IF('wire calculator'!$C$49=3,'chapter 9 table 9'!$D7*SIN(ACOS('wire calculator'!$C$41)),'chapter 9 table 9'!$C7*SIN(ACOS('wire calculator'!$C$41))))/1000*($C$42+$C$43)*(100/$C$53)</f>
        <v>#DIV/0!</v>
      </c>
      <c r="AG7" s="3" t="e">
        <f>$C$40*$C$36*((INDEX('chapter 9 table 9'!$H7:$J7,1,SUM('wire calculator'!$C$46:$C$50))*(1+0.0033*(60-75))*'wire calculator'!$C$41)+IF('wire calculator'!$C$49=3,'chapter 9 table 9'!$D7*SIN(ACOS('wire calculator'!$C$41)),'chapter 9 table 9'!$C7*SIN(ACOS('wire calculator'!$C$41))))/1000*($C$42+$C$43)*(100/$C$53)</f>
        <v>#DIV/0!</v>
      </c>
      <c r="AH7" s="3" t="e">
        <f>$C$40*$C$36*((INDEX('chapter 9 table 9'!$H7:$J7,1,SUM('wire calculator'!$C$46:$C$50))*(1+0.0033*(75-75))*'wire calculator'!$C$41)+IF('wire calculator'!$C$49=3,'chapter 9 table 9'!$D7*SIN(ACOS('wire calculator'!$C$41)),'chapter 9 table 9'!$C7*SIN(ACOS('wire calculator'!$C$41))))/1000*($C$42+$C$43)*(100/$C$53)</f>
        <v>#DIV/0!</v>
      </c>
      <c r="AI7" s="3" t="e">
        <f>$C$40*$C$36*((INDEX('chapter 9 table 9'!$H7:$J7,1,SUM('wire calculator'!$C$46:$C$50))*(1+0.0033*(90-75))*'wire calculator'!$C$41)+IF('wire calculator'!$C$49=3,'chapter 9 table 9'!$D7*SIN(ACOS('wire calculator'!$C$41)),'chapter 9 table 9'!$C7*SIN(ACOS('wire calculator'!$C$41))))/1000*($C$42+$C$43)*(100/$C$53)</f>
        <v>#DIV/0!</v>
      </c>
      <c r="AJ7" s="43" t="e">
        <f>$C$40*$C$36*((INDEX('chapter 9 table 9'!$H7:$J7,1,SUM('wire calculator'!$C$46:$C$50))*(1+0.0033*(150-75))*'wire calculator'!$C$41)+IF('wire calculator'!$C$49=3,'chapter 9 table 9'!$D7*SIN(ACOS('wire calculator'!$C$41)),'chapter 9 table 9'!$C7*SIN(ACOS('wire calculator'!$C$41))))/1000*($C$42+$C$43)*(100/$C$53)</f>
        <v>#DIV/0!</v>
      </c>
    </row>
    <row r="8" spans="1:36" x14ac:dyDescent="0.25">
      <c r="A8" s="31"/>
      <c r="B8" s="32" t="s">
        <v>83</v>
      </c>
      <c r="C8" s="31">
        <v>60</v>
      </c>
      <c r="D8" s="68"/>
      <c r="E8" s="1">
        <f>'310.15(B)(16)'!A8</f>
        <v>750</v>
      </c>
      <c r="F8" s="33">
        <f>VLOOKUP(E8,'Trade Size'!$A$1:$B$30,2,FALSE)</f>
        <v>750000</v>
      </c>
      <c r="G8" s="22">
        <f>'310.15(B)(16)'!C8*'wire calculator'!$C$18*'wire calculator'!$C$20</f>
        <v>400</v>
      </c>
      <c r="H8" s="22">
        <f>'310.15(B)(16)'!D8*'wire calculator'!$C$18*'wire calculator'!$C$20</f>
        <v>475</v>
      </c>
      <c r="I8" s="22">
        <f>'310.15(B)(16)'!E8*'wire calculator'!$C$18*'wire calculator'!$C$20</f>
        <v>535</v>
      </c>
      <c r="J8" s="22">
        <f>'310.15(B)(18)'!C8*'wire calculator'!$C$19*'wire calculator'!$C$20</f>
        <v>0</v>
      </c>
      <c r="K8" s="22">
        <f>'310.15(B)(18)'!D8*'wire calculator'!$C$19*'wire calculator'!$C$20</f>
        <v>0</v>
      </c>
      <c r="L8" s="35">
        <f>'310.15(B)(18)'!E8*'wire calculator'!$C$19*'wire calculator'!$C$20</f>
        <v>0</v>
      </c>
      <c r="M8" s="22">
        <f>'310.15(B)(16)'!F8*'wire calculator'!$C$18*'wire calculator'!$C$20</f>
        <v>320</v>
      </c>
      <c r="N8" s="22">
        <f>'310.15(B)(16)'!G8*'wire calculator'!$C$18*'wire calculator'!$C$20</f>
        <v>385</v>
      </c>
      <c r="O8" s="22">
        <f>'310.15(B)(16)'!H8*'wire calculator'!$C$18*'wire calculator'!$C$20</f>
        <v>435</v>
      </c>
      <c r="P8" s="35">
        <f>'310.15(B)(18)'!F8*'wire calculator'!$C$19*'wire calculator'!$C$20</f>
        <v>0</v>
      </c>
      <c r="Q8" s="22">
        <f>'310.15(B)(17)'!C8*'wire calculator'!$C$18*'wire calculator'!$C$20</f>
        <v>655</v>
      </c>
      <c r="R8" s="22">
        <f>'310.15(B)(17)'!D8*'wire calculator'!$C$18*'wire calculator'!$C$20</f>
        <v>785</v>
      </c>
      <c r="S8" s="22">
        <f>'310.15(B)(17)'!E8*'wire calculator'!$C$18*'wire calculator'!$C$20</f>
        <v>885</v>
      </c>
      <c r="T8" s="22">
        <f>'310.15(B)(19)'!C8*'wire calculator'!$C$19*'wire calculator'!$C$20</f>
        <v>0</v>
      </c>
      <c r="U8" s="22">
        <f>'310.15(B)(19)'!D8*'wire calculator'!$C$19*'wire calculator'!$C$20</f>
        <v>0</v>
      </c>
      <c r="V8" s="35">
        <f>'310.15(B)(19)'!E8*'wire calculator'!$C$19*'wire calculator'!$C$20</f>
        <v>0</v>
      </c>
      <c r="W8">
        <f>'310.15(B)(17)'!F8*'wire calculator'!$C$18*'wire calculator'!$C$20</f>
        <v>515</v>
      </c>
      <c r="X8">
        <f>'310.15(B)(17)'!G8*'wire calculator'!$C$18*'wire calculator'!$C$20</f>
        <v>620</v>
      </c>
      <c r="Y8">
        <f>'310.15(B)(17)'!H8*'wire calculator'!$C$18*'wire calculator'!$C$20</f>
        <v>700</v>
      </c>
      <c r="Z8" s="35">
        <f>'310.15(B)(19)'!F8*'wire calculator'!$C$19*'wire calculator'!$C$20</f>
        <v>0</v>
      </c>
      <c r="AA8" s="3" t="e">
        <f>$C$40*$C$36*((INDEX('chapter 9 table 9'!$E8:$G8,1,SUM('wire calculator'!$C$46:$C$50))*(1+0.00323*(60-75))*'wire calculator'!$C$41)+IF('wire calculator'!$C$49=3,'chapter 9 table 9'!$D8*SIN(ACOS('wire calculator'!$C$41)),'chapter 9 table 9'!$C8*SIN(ACOS('wire calculator'!$C$41))))/1000*($C$42+$C$43)*(100/$C$53)</f>
        <v>#DIV/0!</v>
      </c>
      <c r="AB8" s="26" t="e">
        <f>$C$40*$C$36*((INDEX('chapter 9 table 9'!$E8:$G8,1,SUM('wire calculator'!$C$46:$C$50))*(1+0.00323*(75-75))*'wire calculator'!$C$41)+IF('wire calculator'!$C$49=3,'chapter 9 table 9'!$D8*SIN(ACOS('wire calculator'!$C$41)),'chapter 9 table 9'!$C8*SIN(ACOS('wire calculator'!$C$41))))/1000*($C$42+$C$43)*(100/$C$53)</f>
        <v>#DIV/0!</v>
      </c>
      <c r="AC8" s="26" t="e">
        <f>$C$40*$C$36*((INDEX('chapter 9 table 9'!$E8:$G8,1,SUM('wire calculator'!$C$46:$C$50))*(1+0.00323*(90-75))*'wire calculator'!$C$41)+IF('wire calculator'!$C$49=3,'chapter 9 table 9'!$D8*SIN(ACOS('wire calculator'!$C$41)),'chapter 9 table 9'!$C8*SIN(ACOS('wire calculator'!$C$41))))/1000*($C$42+$C$43)*(100/$C$53)</f>
        <v>#DIV/0!</v>
      </c>
      <c r="AD8" s="26" t="e">
        <f>$C$40*$C$36*((INDEX('chapter 9 table 9'!$E8:$G8,1,SUM('wire calculator'!$C$46:$C$50))*(1+0.00323*(150-75))*'wire calculator'!$C$41)+IF('wire calculator'!$C$49=3,'chapter 9 table 9'!$D8*SIN(ACOS('wire calculator'!$C$41)),'chapter 9 table 9'!$C8*SIN(ACOS('wire calculator'!$C$41))))/1000*($C$42+$C$43)*(100/$C$53)</f>
        <v>#DIV/0!</v>
      </c>
      <c r="AE8" s="26" t="e">
        <f>$C$40*$C$36*((INDEX('chapter 9 table 9'!$E8:$G8,1,SUM('wire calculator'!$C$46:$C$50))*(1+0.00323*(200-75))*'wire calculator'!$C$41)+IF('wire calculator'!$C$49=3,'chapter 9 table 9'!$D8*SIN(ACOS('wire calculator'!$C$41)),'chapter 9 table 9'!$C8*SIN(ACOS('wire calculator'!$C$41))))/1000*($C$42+$C$43)*(100/$C$53)</f>
        <v>#DIV/0!</v>
      </c>
      <c r="AF8" s="26" t="e">
        <f>$C$40*$C$36*((INDEX('chapter 9 table 9'!$E8:$G8,1,SUM('wire calculator'!$C$46:$C$50))*(1+0.00323*(250-75))*'wire calculator'!$C$41)+IF('wire calculator'!$C$49=3,'chapter 9 table 9'!$D8*SIN(ACOS('wire calculator'!$C$41)),'chapter 9 table 9'!$C8*SIN(ACOS('wire calculator'!$C$41))))/1000*($C$42+$C$43)*(100/$C$53)</f>
        <v>#DIV/0!</v>
      </c>
      <c r="AG8" s="3" t="e">
        <f>$C$40*$C$36*((INDEX('chapter 9 table 9'!$H8:$J8,1,SUM('wire calculator'!$C$46:$C$50))*(1+0.0033*(60-75))*'wire calculator'!$C$41)+IF('wire calculator'!$C$49=3,'chapter 9 table 9'!$D8*SIN(ACOS('wire calculator'!$C$41)),'chapter 9 table 9'!$C8*SIN(ACOS('wire calculator'!$C$41))))/1000*($C$42+$C$43)*(100/$C$53)</f>
        <v>#DIV/0!</v>
      </c>
      <c r="AH8" s="3" t="e">
        <f>$C$40*$C$36*((INDEX('chapter 9 table 9'!$H8:$J8,1,SUM('wire calculator'!$C$46:$C$50))*(1+0.0033*(75-75))*'wire calculator'!$C$41)+IF('wire calculator'!$C$49=3,'chapter 9 table 9'!$D8*SIN(ACOS('wire calculator'!$C$41)),'chapter 9 table 9'!$C8*SIN(ACOS('wire calculator'!$C$41))))/1000*($C$42+$C$43)*(100/$C$53)</f>
        <v>#DIV/0!</v>
      </c>
      <c r="AI8" s="3" t="e">
        <f>$C$40*$C$36*((INDEX('chapter 9 table 9'!$H8:$J8,1,SUM('wire calculator'!$C$46:$C$50))*(1+0.0033*(90-75))*'wire calculator'!$C$41)+IF('wire calculator'!$C$49=3,'chapter 9 table 9'!$D8*SIN(ACOS('wire calculator'!$C$41)),'chapter 9 table 9'!$C8*SIN(ACOS('wire calculator'!$C$41))))/1000*($C$42+$C$43)*(100/$C$53)</f>
        <v>#DIV/0!</v>
      </c>
      <c r="AJ8" s="43" t="e">
        <f>$C$40*$C$36*((INDEX('chapter 9 table 9'!$H8:$J8,1,SUM('wire calculator'!$C$46:$C$50))*(1+0.0033*(150-75))*'wire calculator'!$C$41)+IF('wire calculator'!$C$49=3,'chapter 9 table 9'!$D8*SIN(ACOS('wire calculator'!$C$41)),'chapter 9 table 9'!$C8*SIN(ACOS('wire calculator'!$C$41))))/1000*($C$42+$C$43)*(100/$C$53)</f>
        <v>#DIV/0!</v>
      </c>
    </row>
    <row r="9" spans="1:36" x14ac:dyDescent="0.25">
      <c r="A9" s="31"/>
      <c r="B9" s="32" t="s">
        <v>85</v>
      </c>
      <c r="C9" s="31">
        <v>75</v>
      </c>
      <c r="D9" s="68"/>
      <c r="E9" s="1">
        <f>'310.15(B)(16)'!A9</f>
        <v>700</v>
      </c>
      <c r="F9" s="33">
        <f>VLOOKUP(E9,'Trade Size'!$A$1:$B$30,2,FALSE)</f>
        <v>700000</v>
      </c>
      <c r="G9" s="22">
        <f>'310.15(B)(16)'!C9*'wire calculator'!$C$18*'wire calculator'!$C$20</f>
        <v>385</v>
      </c>
      <c r="H9" s="22">
        <f>'310.15(B)(16)'!D9*'wire calculator'!$C$18*'wire calculator'!$C$20</f>
        <v>460</v>
      </c>
      <c r="I9" s="22">
        <f>'310.15(B)(16)'!E9*'wire calculator'!$C$18*'wire calculator'!$C$20</f>
        <v>520</v>
      </c>
      <c r="J9" s="22">
        <f>'310.15(B)(18)'!C9*'wire calculator'!$C$19*'wire calculator'!$C$20</f>
        <v>0</v>
      </c>
      <c r="K9" s="22">
        <f>'310.15(B)(18)'!D9*'wire calculator'!$C$19*'wire calculator'!$C$20</f>
        <v>0</v>
      </c>
      <c r="L9" s="35">
        <f>'310.15(B)(18)'!E9*'wire calculator'!$C$19*'wire calculator'!$C$20</f>
        <v>0</v>
      </c>
      <c r="M9" s="22">
        <f>'310.15(B)(16)'!F9*'wire calculator'!$C$18*'wire calculator'!$C$20</f>
        <v>315</v>
      </c>
      <c r="N9" s="22">
        <f>'310.15(B)(16)'!G9*'wire calculator'!$C$18*'wire calculator'!$C$20</f>
        <v>375</v>
      </c>
      <c r="O9" s="22">
        <f>'310.15(B)(16)'!H9*'wire calculator'!$C$18*'wire calculator'!$C$20</f>
        <v>425</v>
      </c>
      <c r="P9" s="35">
        <f>'310.15(B)(18)'!F9*'wire calculator'!$C$19*'wire calculator'!$C$20</f>
        <v>0</v>
      </c>
      <c r="Q9" s="22">
        <f>'310.15(B)(17)'!C9*'wire calculator'!$C$18*'wire calculator'!$C$20</f>
        <v>630</v>
      </c>
      <c r="R9" s="22">
        <f>'310.15(B)(17)'!D9*'wire calculator'!$C$18*'wire calculator'!$C$20</f>
        <v>755</v>
      </c>
      <c r="S9" s="22">
        <f>'310.15(B)(17)'!E9*'wire calculator'!$C$18*'wire calculator'!$C$20</f>
        <v>850</v>
      </c>
      <c r="T9" s="22">
        <f>'310.15(B)(19)'!C9*'wire calculator'!$C$19*'wire calculator'!$C$20</f>
        <v>0</v>
      </c>
      <c r="U9" s="22">
        <f>'310.15(B)(19)'!D9*'wire calculator'!$C$19*'wire calculator'!$C$20</f>
        <v>0</v>
      </c>
      <c r="V9" s="35">
        <f>'310.15(B)(19)'!E9*'wire calculator'!$C$19*'wire calculator'!$C$20</f>
        <v>0</v>
      </c>
      <c r="W9">
        <f>'310.15(B)(17)'!F9*'wire calculator'!$C$18*'wire calculator'!$C$20</f>
        <v>500</v>
      </c>
      <c r="X9">
        <f>'310.15(B)(17)'!G9*'wire calculator'!$C$18*'wire calculator'!$C$20</f>
        <v>595</v>
      </c>
      <c r="Y9">
        <f>'310.15(B)(17)'!H9*'wire calculator'!$C$18*'wire calculator'!$C$20</f>
        <v>670</v>
      </c>
      <c r="Z9" s="35">
        <f>'310.15(B)(19)'!F9*'wire calculator'!$C$19*'wire calculator'!$C$20</f>
        <v>0</v>
      </c>
      <c r="AA9" s="3" t="e">
        <f>$C$40*$C$36*((INDEX('chapter 9 table 9'!$E9:$G9,1,SUM('wire calculator'!$C$46:$C$50))*(1+0.00323*(60-75))*'wire calculator'!$C$41)+IF('wire calculator'!$C$49=3,'chapter 9 table 9'!$D9*SIN(ACOS('wire calculator'!$C$41)),'chapter 9 table 9'!$C9*SIN(ACOS('wire calculator'!$C$41))))/1000*($C$42+$C$43)*(100/$C$53)</f>
        <v>#DIV/0!</v>
      </c>
      <c r="AB9" s="26" t="e">
        <f>$C$40*$C$36*((INDEX('chapter 9 table 9'!$E9:$G9,1,SUM('wire calculator'!$C$46:$C$50))*(1+0.00323*(75-75))*'wire calculator'!$C$41)+IF('wire calculator'!$C$49=3,'chapter 9 table 9'!$D9*SIN(ACOS('wire calculator'!$C$41)),'chapter 9 table 9'!$C9*SIN(ACOS('wire calculator'!$C$41))))/1000*($C$42+$C$43)*(100/$C$53)</f>
        <v>#DIV/0!</v>
      </c>
      <c r="AC9" s="26" t="e">
        <f>$C$40*$C$36*((INDEX('chapter 9 table 9'!$E9:$G9,1,SUM('wire calculator'!$C$46:$C$50))*(1+0.00323*(90-75))*'wire calculator'!$C$41)+IF('wire calculator'!$C$49=3,'chapter 9 table 9'!$D9*SIN(ACOS('wire calculator'!$C$41)),'chapter 9 table 9'!$C9*SIN(ACOS('wire calculator'!$C$41))))/1000*($C$42+$C$43)*(100/$C$53)</f>
        <v>#DIV/0!</v>
      </c>
      <c r="AD9" s="26" t="e">
        <f>$C$40*$C$36*((INDEX('chapter 9 table 9'!$E9:$G9,1,SUM('wire calculator'!$C$46:$C$50))*(1+0.00323*(150-75))*'wire calculator'!$C$41)+IF('wire calculator'!$C$49=3,'chapter 9 table 9'!$D9*SIN(ACOS('wire calculator'!$C$41)),'chapter 9 table 9'!$C9*SIN(ACOS('wire calculator'!$C$41))))/1000*($C$42+$C$43)*(100/$C$53)</f>
        <v>#DIV/0!</v>
      </c>
      <c r="AE9" s="26" t="e">
        <f>$C$40*$C$36*((INDEX('chapter 9 table 9'!$E9:$G9,1,SUM('wire calculator'!$C$46:$C$50))*(1+0.00323*(200-75))*'wire calculator'!$C$41)+IF('wire calculator'!$C$49=3,'chapter 9 table 9'!$D9*SIN(ACOS('wire calculator'!$C$41)),'chapter 9 table 9'!$C9*SIN(ACOS('wire calculator'!$C$41))))/1000*($C$42+$C$43)*(100/$C$53)</f>
        <v>#DIV/0!</v>
      </c>
      <c r="AF9" s="26" t="e">
        <f>$C$40*$C$36*((INDEX('chapter 9 table 9'!$E9:$G9,1,SUM('wire calculator'!$C$46:$C$50))*(1+0.00323*(250-75))*'wire calculator'!$C$41)+IF('wire calculator'!$C$49=3,'chapter 9 table 9'!$D9*SIN(ACOS('wire calculator'!$C$41)),'chapter 9 table 9'!$C9*SIN(ACOS('wire calculator'!$C$41))))/1000*($C$42+$C$43)*(100/$C$53)</f>
        <v>#DIV/0!</v>
      </c>
      <c r="AG9" s="3" t="e">
        <f>$C$40*$C$36*((INDEX('chapter 9 table 9'!$H9:$J9,1,SUM('wire calculator'!$C$46:$C$50))*(1+0.0033*(60-75))*'wire calculator'!$C$41)+IF('wire calculator'!$C$49=3,'chapter 9 table 9'!$D9*SIN(ACOS('wire calculator'!$C$41)),'chapter 9 table 9'!$C9*SIN(ACOS('wire calculator'!$C$41))))/1000*($C$42+$C$43)*(100/$C$53)</f>
        <v>#DIV/0!</v>
      </c>
      <c r="AH9" s="3" t="e">
        <f>$C$40*$C$36*((INDEX('chapter 9 table 9'!$H9:$J9,1,SUM('wire calculator'!$C$46:$C$50))*(1+0.0033*(75-75))*'wire calculator'!$C$41)+IF('wire calculator'!$C$49=3,'chapter 9 table 9'!$D9*SIN(ACOS('wire calculator'!$C$41)),'chapter 9 table 9'!$C9*SIN(ACOS('wire calculator'!$C$41))))/1000*($C$42+$C$43)*(100/$C$53)</f>
        <v>#DIV/0!</v>
      </c>
      <c r="AI9" s="3" t="e">
        <f>$C$40*$C$36*((INDEX('chapter 9 table 9'!$H9:$J9,1,SUM('wire calculator'!$C$46:$C$50))*(1+0.0033*(90-75))*'wire calculator'!$C$41)+IF('wire calculator'!$C$49=3,'chapter 9 table 9'!$D9*SIN(ACOS('wire calculator'!$C$41)),'chapter 9 table 9'!$C9*SIN(ACOS('wire calculator'!$C$41))))/1000*($C$42+$C$43)*(100/$C$53)</f>
        <v>#DIV/0!</v>
      </c>
      <c r="AJ9" s="43" t="e">
        <f>$C$40*$C$36*((INDEX('chapter 9 table 9'!$H9:$J9,1,SUM('wire calculator'!$C$46:$C$50))*(1+0.0033*(150-75))*'wire calculator'!$C$41)+IF('wire calculator'!$C$49=3,'chapter 9 table 9'!$D9*SIN(ACOS('wire calculator'!$C$41)),'chapter 9 table 9'!$C9*SIN(ACOS('wire calculator'!$C$41))))/1000*($C$42+$C$43)*(100/$C$53)</f>
        <v>#DIV/0!</v>
      </c>
    </row>
    <row r="10" spans="1:36" x14ac:dyDescent="0.25">
      <c r="A10" s="31"/>
      <c r="B10" s="32" t="s">
        <v>86</v>
      </c>
      <c r="C10" s="31">
        <v>90</v>
      </c>
      <c r="D10" s="68"/>
      <c r="E10" s="1">
        <f>'310.15(B)(16)'!A10</f>
        <v>600</v>
      </c>
      <c r="F10" s="33">
        <f>VLOOKUP(E10,'Trade Size'!$A$1:$B$30,2,FALSE)</f>
        <v>600000</v>
      </c>
      <c r="G10" s="22">
        <f>'310.15(B)(16)'!C10*'wire calculator'!$C$18*'wire calculator'!$C$20</f>
        <v>350</v>
      </c>
      <c r="H10" s="22">
        <f>'310.15(B)(16)'!D10*'wire calculator'!$C$18*'wire calculator'!$C$20</f>
        <v>420</v>
      </c>
      <c r="I10" s="22">
        <f>'310.15(B)(16)'!E10*'wire calculator'!$C$18*'wire calculator'!$C$20</f>
        <v>475</v>
      </c>
      <c r="J10" s="22">
        <f>'310.15(B)(18)'!C10*'wire calculator'!$C$19*'wire calculator'!$C$20</f>
        <v>0</v>
      </c>
      <c r="K10" s="22">
        <f>'310.15(B)(18)'!D10*'wire calculator'!$C$19*'wire calculator'!$C$20</f>
        <v>0</v>
      </c>
      <c r="L10" s="35">
        <f>'310.15(B)(18)'!E10*'wire calculator'!$C$19*'wire calculator'!$C$20</f>
        <v>0</v>
      </c>
      <c r="M10" s="22">
        <f>'310.15(B)(16)'!F10*'wire calculator'!$C$18*'wire calculator'!$C$20</f>
        <v>285</v>
      </c>
      <c r="N10" s="22">
        <f>'310.15(B)(16)'!G10*'wire calculator'!$C$18*'wire calculator'!$C$20</f>
        <v>340</v>
      </c>
      <c r="O10" s="22">
        <f>'310.15(B)(16)'!H10*'wire calculator'!$C$18*'wire calculator'!$C$20</f>
        <v>385</v>
      </c>
      <c r="P10" s="35">
        <f>'310.15(B)(18)'!F10*'wire calculator'!$C$19*'wire calculator'!$C$20</f>
        <v>0</v>
      </c>
      <c r="Q10" s="22">
        <f>'310.15(B)(17)'!C10*'wire calculator'!$C$18*'wire calculator'!$C$20</f>
        <v>575</v>
      </c>
      <c r="R10" s="22">
        <f>'310.15(B)(17)'!D10*'wire calculator'!$C$18*'wire calculator'!$C$20</f>
        <v>690</v>
      </c>
      <c r="S10" s="22">
        <f>'310.15(B)(17)'!E10*'wire calculator'!$C$18*'wire calculator'!$C$20</f>
        <v>780</v>
      </c>
      <c r="T10" s="22">
        <f>'310.15(B)(19)'!C10*'wire calculator'!$C$19*'wire calculator'!$C$20</f>
        <v>0</v>
      </c>
      <c r="U10" s="22">
        <f>'310.15(B)(19)'!D10*'wire calculator'!$C$19*'wire calculator'!$C$20</f>
        <v>0</v>
      </c>
      <c r="V10" s="35">
        <f>'310.15(B)(19)'!E10*'wire calculator'!$C$19*'wire calculator'!$C$20</f>
        <v>0</v>
      </c>
      <c r="W10">
        <f>'310.15(B)(17)'!F10*'wire calculator'!$C$18*'wire calculator'!$C$20</f>
        <v>455</v>
      </c>
      <c r="X10">
        <f>'310.15(B)(17)'!G10*'wire calculator'!$C$18*'wire calculator'!$C$20</f>
        <v>545</v>
      </c>
      <c r="Y10">
        <f>'310.15(B)(17)'!H10*'wire calculator'!$C$18*'wire calculator'!$C$20</f>
        <v>615</v>
      </c>
      <c r="Z10" s="35">
        <f>'310.15(B)(19)'!F10*'wire calculator'!$C$19*'wire calculator'!$C$20</f>
        <v>0</v>
      </c>
      <c r="AA10" s="3" t="e">
        <f>$C$40*$C$36*((INDEX('chapter 9 table 9'!$E10:$G10,1,SUM('wire calculator'!$C$46:$C$50))*(1+0.00323*(60-75))*'wire calculator'!$C$41)+IF('wire calculator'!$C$49=3,'chapter 9 table 9'!$D10*SIN(ACOS('wire calculator'!$C$41)),'chapter 9 table 9'!$C10*SIN(ACOS('wire calculator'!$C$41))))/1000*($C$42+$C$43)*(100/$C$53)</f>
        <v>#DIV/0!</v>
      </c>
      <c r="AB10" s="26" t="e">
        <f>$C$40*$C$36*((INDEX('chapter 9 table 9'!$E10:$G10,1,SUM('wire calculator'!$C$46:$C$50))*(1+0.00323*(75-75))*'wire calculator'!$C$41)+IF('wire calculator'!$C$49=3,'chapter 9 table 9'!$D10*SIN(ACOS('wire calculator'!$C$41)),'chapter 9 table 9'!$C10*SIN(ACOS('wire calculator'!$C$41))))/1000*($C$42+$C$43)*(100/$C$53)</f>
        <v>#DIV/0!</v>
      </c>
      <c r="AC10" s="26" t="e">
        <f>$C$40*$C$36*((INDEX('chapter 9 table 9'!$E10:$G10,1,SUM('wire calculator'!$C$46:$C$50))*(1+0.00323*(90-75))*'wire calculator'!$C$41)+IF('wire calculator'!$C$49=3,'chapter 9 table 9'!$D10*SIN(ACOS('wire calculator'!$C$41)),'chapter 9 table 9'!$C10*SIN(ACOS('wire calculator'!$C$41))))/1000*($C$42+$C$43)*(100/$C$53)</f>
        <v>#DIV/0!</v>
      </c>
      <c r="AD10" s="26" t="e">
        <f>$C$40*$C$36*((INDEX('chapter 9 table 9'!$E10:$G10,1,SUM('wire calculator'!$C$46:$C$50))*(1+0.00323*(150-75))*'wire calculator'!$C$41)+IF('wire calculator'!$C$49=3,'chapter 9 table 9'!$D10*SIN(ACOS('wire calculator'!$C$41)),'chapter 9 table 9'!$C10*SIN(ACOS('wire calculator'!$C$41))))/1000*($C$42+$C$43)*(100/$C$53)</f>
        <v>#DIV/0!</v>
      </c>
      <c r="AE10" s="26" t="e">
        <f>$C$40*$C$36*((INDEX('chapter 9 table 9'!$E10:$G10,1,SUM('wire calculator'!$C$46:$C$50))*(1+0.00323*(200-75))*'wire calculator'!$C$41)+IF('wire calculator'!$C$49=3,'chapter 9 table 9'!$D10*SIN(ACOS('wire calculator'!$C$41)),'chapter 9 table 9'!$C10*SIN(ACOS('wire calculator'!$C$41))))/1000*($C$42+$C$43)*(100/$C$53)</f>
        <v>#DIV/0!</v>
      </c>
      <c r="AF10" s="26" t="e">
        <f>$C$40*$C$36*((INDEX('chapter 9 table 9'!$E10:$G10,1,SUM('wire calculator'!$C$46:$C$50))*(1+0.00323*(250-75))*'wire calculator'!$C$41)+IF('wire calculator'!$C$49=3,'chapter 9 table 9'!$D10*SIN(ACOS('wire calculator'!$C$41)),'chapter 9 table 9'!$C10*SIN(ACOS('wire calculator'!$C$41))))/1000*($C$42+$C$43)*(100/$C$53)</f>
        <v>#DIV/0!</v>
      </c>
      <c r="AG10" s="3" t="e">
        <f>$C$40*$C$36*((INDEX('chapter 9 table 9'!$H10:$J10,1,SUM('wire calculator'!$C$46:$C$50))*(1+0.0033*(60-75))*'wire calculator'!$C$41)+IF('wire calculator'!$C$49=3,'chapter 9 table 9'!$D10*SIN(ACOS('wire calculator'!$C$41)),'chapter 9 table 9'!$C10*SIN(ACOS('wire calculator'!$C$41))))/1000*($C$42+$C$43)*(100/$C$53)</f>
        <v>#DIV/0!</v>
      </c>
      <c r="AH10" s="3" t="e">
        <f>$C$40*$C$36*((INDEX('chapter 9 table 9'!$H10:$J10,1,SUM('wire calculator'!$C$46:$C$50))*(1+0.0033*(75-75))*'wire calculator'!$C$41)+IF('wire calculator'!$C$49=3,'chapter 9 table 9'!$D10*SIN(ACOS('wire calculator'!$C$41)),'chapter 9 table 9'!$C10*SIN(ACOS('wire calculator'!$C$41))))/1000*($C$42+$C$43)*(100/$C$53)</f>
        <v>#DIV/0!</v>
      </c>
      <c r="AI10" s="3" t="e">
        <f>$C$40*$C$36*((INDEX('chapter 9 table 9'!$H10:$J10,1,SUM('wire calculator'!$C$46:$C$50))*(1+0.0033*(90-75))*'wire calculator'!$C$41)+IF('wire calculator'!$C$49=3,'chapter 9 table 9'!$D10*SIN(ACOS('wire calculator'!$C$41)),'chapter 9 table 9'!$C10*SIN(ACOS('wire calculator'!$C$41))))/1000*($C$42+$C$43)*(100/$C$53)</f>
        <v>#DIV/0!</v>
      </c>
      <c r="AJ10" s="43" t="e">
        <f>$C$40*$C$36*((INDEX('chapter 9 table 9'!$H10:$J10,1,SUM('wire calculator'!$C$46:$C$50))*(1+0.0033*(150-75))*'wire calculator'!$C$41)+IF('wire calculator'!$C$49=3,'chapter 9 table 9'!$D10*SIN(ACOS('wire calculator'!$C$41)),'chapter 9 table 9'!$C10*SIN(ACOS('wire calculator'!$C$41))))/1000*($C$42+$C$43)*(100/$C$53)</f>
        <v>#DIV/0!</v>
      </c>
    </row>
    <row r="11" spans="1:36" x14ac:dyDescent="0.25">
      <c r="A11" s="31"/>
      <c r="B11" s="32" t="s">
        <v>87</v>
      </c>
      <c r="C11" s="31">
        <v>150</v>
      </c>
      <c r="D11" s="68"/>
      <c r="E11" s="1">
        <f>'310.15(B)(16)'!A11</f>
        <v>500</v>
      </c>
      <c r="F11" s="33">
        <f>VLOOKUP(E11,'Trade Size'!$A$1:$B$30,2,FALSE)</f>
        <v>500000</v>
      </c>
      <c r="G11" s="22">
        <f>'310.15(B)(16)'!C11*'wire calculator'!$C$18*'wire calculator'!$C$20</f>
        <v>320</v>
      </c>
      <c r="H11" s="22">
        <f>'310.15(B)(16)'!D11*'wire calculator'!$C$18*'wire calculator'!$C$20</f>
        <v>380</v>
      </c>
      <c r="I11" s="22">
        <f>'310.15(B)(16)'!E11*'wire calculator'!$C$18*'wire calculator'!$C$20</f>
        <v>430</v>
      </c>
      <c r="J11" s="22">
        <f>'310.15(B)(18)'!C11*'wire calculator'!$C$19*'wire calculator'!$C$20</f>
        <v>0</v>
      </c>
      <c r="K11" s="22">
        <f>'310.15(B)(18)'!D11*'wire calculator'!$C$19*'wire calculator'!$C$20</f>
        <v>0</v>
      </c>
      <c r="L11" s="35">
        <f>'310.15(B)(18)'!E11*'wire calculator'!$C$19*'wire calculator'!$C$20</f>
        <v>0</v>
      </c>
      <c r="M11" s="22">
        <f>'310.15(B)(16)'!F11*'wire calculator'!$C$18*'wire calculator'!$C$20</f>
        <v>260</v>
      </c>
      <c r="N11" s="22">
        <f>'310.15(B)(16)'!G11*'wire calculator'!$C$18*'wire calculator'!$C$20</f>
        <v>310</v>
      </c>
      <c r="O11" s="22">
        <f>'310.15(B)(16)'!H11*'wire calculator'!$C$18*'wire calculator'!$C$20</f>
        <v>350</v>
      </c>
      <c r="P11" s="35">
        <f>'310.15(B)(18)'!F11*'wire calculator'!$C$19*'wire calculator'!$C$20</f>
        <v>0</v>
      </c>
      <c r="Q11" s="22">
        <f>'310.15(B)(17)'!C11*'wire calculator'!$C$18*'wire calculator'!$C$20</f>
        <v>515</v>
      </c>
      <c r="R11" s="22">
        <f>'310.15(B)(17)'!D11*'wire calculator'!$C$18*'wire calculator'!$C$20</f>
        <v>620</v>
      </c>
      <c r="S11" s="22">
        <f>'310.15(B)(17)'!E11*'wire calculator'!$C$18*'wire calculator'!$C$20</f>
        <v>700</v>
      </c>
      <c r="T11" s="22">
        <f>'310.15(B)(19)'!C11*'wire calculator'!$C$19*'wire calculator'!$C$20</f>
        <v>0</v>
      </c>
      <c r="U11" s="22">
        <f>'310.15(B)(19)'!D11*'wire calculator'!$C$19*'wire calculator'!$C$20</f>
        <v>0</v>
      </c>
      <c r="V11" s="35">
        <f>'310.15(B)(19)'!E11*'wire calculator'!$C$19*'wire calculator'!$C$20</f>
        <v>0</v>
      </c>
      <c r="W11">
        <f>'310.15(B)(17)'!F11*'wire calculator'!$C$18*'wire calculator'!$C$20</f>
        <v>405</v>
      </c>
      <c r="X11">
        <f>'310.15(B)(17)'!G11*'wire calculator'!$C$18*'wire calculator'!$C$20</f>
        <v>485</v>
      </c>
      <c r="Y11">
        <f>'310.15(B)(17)'!H11*'wire calculator'!$C$18*'wire calculator'!$C$20</f>
        <v>545</v>
      </c>
      <c r="Z11" s="35">
        <f>'310.15(B)(19)'!F11*'wire calculator'!$C$19*'wire calculator'!$C$20</f>
        <v>0</v>
      </c>
      <c r="AA11" s="3" t="e">
        <f>$C$40*$C$36*((INDEX('chapter 9 table 9'!$E11:$G11,1,SUM('wire calculator'!$C$46:$C$50))*(1+0.00323*(60-75))*'wire calculator'!$C$41)+IF('wire calculator'!$C$49=3,'chapter 9 table 9'!$D11*SIN(ACOS('wire calculator'!$C$41)),'chapter 9 table 9'!$C11*SIN(ACOS('wire calculator'!$C$41))))/1000*($C$42+$C$43)*(100/$C$53)</f>
        <v>#DIV/0!</v>
      </c>
      <c r="AB11" s="26" t="e">
        <f>$C$40*$C$36*((INDEX('chapter 9 table 9'!$E11:$G11,1,SUM('wire calculator'!$C$46:$C$50))*(1+0.00323*(75-75))*'wire calculator'!$C$41)+IF('wire calculator'!$C$49=3,'chapter 9 table 9'!$D11*SIN(ACOS('wire calculator'!$C$41)),'chapter 9 table 9'!$C11*SIN(ACOS('wire calculator'!$C$41))))/1000*($C$42+$C$43)*(100/$C$53)</f>
        <v>#DIV/0!</v>
      </c>
      <c r="AC11" s="26" t="e">
        <f>$C$40*$C$36*((INDEX('chapter 9 table 9'!$E11:$G11,1,SUM('wire calculator'!$C$46:$C$50))*(1+0.00323*(90-75))*'wire calculator'!$C$41)+IF('wire calculator'!$C$49=3,'chapter 9 table 9'!$D11*SIN(ACOS('wire calculator'!$C$41)),'chapter 9 table 9'!$C11*SIN(ACOS('wire calculator'!$C$41))))/1000*($C$42+$C$43)*(100/$C$53)</f>
        <v>#DIV/0!</v>
      </c>
      <c r="AD11" s="26" t="e">
        <f>$C$40*$C$36*((INDEX('chapter 9 table 9'!$E11:$G11,1,SUM('wire calculator'!$C$46:$C$50))*(1+0.00323*(150-75))*'wire calculator'!$C$41)+IF('wire calculator'!$C$49=3,'chapter 9 table 9'!$D11*SIN(ACOS('wire calculator'!$C$41)),'chapter 9 table 9'!$C11*SIN(ACOS('wire calculator'!$C$41))))/1000*($C$42+$C$43)*(100/$C$53)</f>
        <v>#DIV/0!</v>
      </c>
      <c r="AE11" s="26" t="e">
        <f>$C$40*$C$36*((INDEX('chapter 9 table 9'!$E11:$G11,1,SUM('wire calculator'!$C$46:$C$50))*(1+0.00323*(200-75))*'wire calculator'!$C$41)+IF('wire calculator'!$C$49=3,'chapter 9 table 9'!$D11*SIN(ACOS('wire calculator'!$C$41)),'chapter 9 table 9'!$C11*SIN(ACOS('wire calculator'!$C$41))))/1000*($C$42+$C$43)*(100/$C$53)</f>
        <v>#DIV/0!</v>
      </c>
      <c r="AF11" s="26" t="e">
        <f>$C$40*$C$36*((INDEX('chapter 9 table 9'!$E11:$G11,1,SUM('wire calculator'!$C$46:$C$50))*(1+0.00323*(250-75))*'wire calculator'!$C$41)+IF('wire calculator'!$C$49=3,'chapter 9 table 9'!$D11*SIN(ACOS('wire calculator'!$C$41)),'chapter 9 table 9'!$C11*SIN(ACOS('wire calculator'!$C$41))))/1000*($C$42+$C$43)*(100/$C$53)</f>
        <v>#DIV/0!</v>
      </c>
      <c r="AG11" s="3" t="e">
        <f>$C$40*$C$36*((INDEX('chapter 9 table 9'!$H11:$J11,1,SUM('wire calculator'!$C$46:$C$50))*(1+0.0033*(60-75))*'wire calculator'!$C$41)+IF('wire calculator'!$C$49=3,'chapter 9 table 9'!$D11*SIN(ACOS('wire calculator'!$C$41)),'chapter 9 table 9'!$C11*SIN(ACOS('wire calculator'!$C$41))))/1000*($C$42+$C$43)*(100/$C$53)</f>
        <v>#DIV/0!</v>
      </c>
      <c r="AH11" s="3" t="e">
        <f>$C$40*$C$36*((INDEX('chapter 9 table 9'!$H11:$J11,1,SUM('wire calculator'!$C$46:$C$50))*(1+0.0033*(75-75))*'wire calculator'!$C$41)+IF('wire calculator'!$C$49=3,'chapter 9 table 9'!$D11*SIN(ACOS('wire calculator'!$C$41)),'chapter 9 table 9'!$C11*SIN(ACOS('wire calculator'!$C$41))))/1000*($C$42+$C$43)*(100/$C$53)</f>
        <v>#DIV/0!</v>
      </c>
      <c r="AI11" s="3" t="e">
        <f>$C$40*$C$36*((INDEX('chapter 9 table 9'!$H11:$J11,1,SUM('wire calculator'!$C$46:$C$50))*(1+0.0033*(90-75))*'wire calculator'!$C$41)+IF('wire calculator'!$C$49=3,'chapter 9 table 9'!$D11*SIN(ACOS('wire calculator'!$C$41)),'chapter 9 table 9'!$C11*SIN(ACOS('wire calculator'!$C$41))))/1000*($C$42+$C$43)*(100/$C$53)</f>
        <v>#DIV/0!</v>
      </c>
      <c r="AJ11" s="43" t="e">
        <f>$C$40*$C$36*((INDEX('chapter 9 table 9'!$H11:$J11,1,SUM('wire calculator'!$C$46:$C$50))*(1+0.0033*(150-75))*'wire calculator'!$C$41)+IF('wire calculator'!$C$49=3,'chapter 9 table 9'!$D11*SIN(ACOS('wire calculator'!$C$41)),'chapter 9 table 9'!$C11*SIN(ACOS('wire calculator'!$C$41))))/1000*($C$42+$C$43)*(100/$C$53)</f>
        <v>#DIV/0!</v>
      </c>
    </row>
    <row r="12" spans="1:36" x14ac:dyDescent="0.25">
      <c r="A12" s="31"/>
      <c r="B12" s="32" t="s">
        <v>88</v>
      </c>
      <c r="C12" s="31">
        <v>200</v>
      </c>
      <c r="D12" s="68"/>
      <c r="E12" s="1">
        <f>'310.15(B)(16)'!A12</f>
        <v>400</v>
      </c>
      <c r="F12" s="33">
        <f>VLOOKUP(E12,'Trade Size'!$A$1:$B$30,2,FALSE)</f>
        <v>400000</v>
      </c>
      <c r="G12" s="22">
        <f>'310.15(B)(16)'!C12*'wire calculator'!$C$18*'wire calculator'!$C$20</f>
        <v>280</v>
      </c>
      <c r="H12" s="22">
        <f>'310.15(B)(16)'!D12*'wire calculator'!$C$18*'wire calculator'!$C$20</f>
        <v>335</v>
      </c>
      <c r="I12" s="22">
        <f>'310.15(B)(16)'!E12*'wire calculator'!$C$18*'wire calculator'!$C$20</f>
        <v>380</v>
      </c>
      <c r="J12" s="22">
        <f>'310.15(B)(18)'!C12*'wire calculator'!$C$19*'wire calculator'!$C$20</f>
        <v>0</v>
      </c>
      <c r="K12" s="22">
        <f>'310.15(B)(18)'!D12*'wire calculator'!$C$19*'wire calculator'!$C$20</f>
        <v>0</v>
      </c>
      <c r="L12" s="35">
        <f>'310.15(B)(18)'!E12*'wire calculator'!$C$19*'wire calculator'!$C$20</f>
        <v>0</v>
      </c>
      <c r="M12" s="22">
        <f>'310.15(B)(16)'!F12*'wire calculator'!$C$18*'wire calculator'!$C$20</f>
        <v>225</v>
      </c>
      <c r="N12" s="22">
        <f>'310.15(B)(16)'!G12*'wire calculator'!$C$18*'wire calculator'!$C$20</f>
        <v>270</v>
      </c>
      <c r="O12" s="22">
        <f>'310.15(B)(16)'!H12*'wire calculator'!$C$18*'wire calculator'!$C$20</f>
        <v>305</v>
      </c>
      <c r="P12" s="35">
        <f>'310.15(B)(18)'!F12*'wire calculator'!$C$19*'wire calculator'!$C$20</f>
        <v>0</v>
      </c>
      <c r="Q12" s="22">
        <f>'310.15(B)(17)'!C12*'wire calculator'!$C$18*'wire calculator'!$C$20</f>
        <v>455</v>
      </c>
      <c r="R12" s="22">
        <f>'310.15(B)(17)'!D12*'wire calculator'!$C$18*'wire calculator'!$C$20</f>
        <v>545</v>
      </c>
      <c r="S12" s="22">
        <f>'310.15(B)(17)'!E12*'wire calculator'!$C$18*'wire calculator'!$C$20</f>
        <v>615</v>
      </c>
      <c r="T12" s="22">
        <f>'310.15(B)(19)'!C12*'wire calculator'!$C$19*'wire calculator'!$C$20</f>
        <v>0</v>
      </c>
      <c r="U12" s="22">
        <f>'310.15(B)(19)'!D12*'wire calculator'!$C$19*'wire calculator'!$C$20</f>
        <v>0</v>
      </c>
      <c r="V12" s="35">
        <f>'310.15(B)(19)'!E12*'wire calculator'!$C$19*'wire calculator'!$C$20</f>
        <v>0</v>
      </c>
      <c r="W12">
        <f>'310.15(B)(17)'!F12*'wire calculator'!$C$18*'wire calculator'!$C$20</f>
        <v>355</v>
      </c>
      <c r="X12">
        <f>'310.15(B)(17)'!G12*'wire calculator'!$C$18*'wire calculator'!$C$20</f>
        <v>425</v>
      </c>
      <c r="Y12">
        <f>'310.15(B)(17)'!H12*'wire calculator'!$C$18*'wire calculator'!$C$20</f>
        <v>480</v>
      </c>
      <c r="Z12" s="35">
        <f>'310.15(B)(19)'!F12*'wire calculator'!$C$19*'wire calculator'!$C$20</f>
        <v>0</v>
      </c>
      <c r="AA12" s="3" t="e">
        <f>$C$40*$C$36*((INDEX('chapter 9 table 9'!$E12:$G12,1,SUM('wire calculator'!$C$46:$C$50))*(1+0.00323*(60-75))*'wire calculator'!$C$41)+IF('wire calculator'!$C$49=3,'chapter 9 table 9'!$D12*SIN(ACOS('wire calculator'!$C$41)),'chapter 9 table 9'!$C12*SIN(ACOS('wire calculator'!$C$41))))/1000*($C$42+$C$43)*(100/$C$53)</f>
        <v>#DIV/0!</v>
      </c>
      <c r="AB12" s="26" t="e">
        <f>$C$40*$C$36*((INDEX('chapter 9 table 9'!$E12:$G12,1,SUM('wire calculator'!$C$46:$C$50))*(1+0.00323*(75-75))*'wire calculator'!$C$41)+IF('wire calculator'!$C$49=3,'chapter 9 table 9'!$D12*SIN(ACOS('wire calculator'!$C$41)),'chapter 9 table 9'!$C12*SIN(ACOS('wire calculator'!$C$41))))/1000*($C$42+$C$43)*(100/$C$53)</f>
        <v>#DIV/0!</v>
      </c>
      <c r="AC12" s="26" t="e">
        <f>$C$40*$C$36*((INDEX('chapter 9 table 9'!$E12:$G12,1,SUM('wire calculator'!$C$46:$C$50))*(1+0.00323*(90-75))*'wire calculator'!$C$41)+IF('wire calculator'!$C$49=3,'chapter 9 table 9'!$D12*SIN(ACOS('wire calculator'!$C$41)),'chapter 9 table 9'!$C12*SIN(ACOS('wire calculator'!$C$41))))/1000*($C$42+$C$43)*(100/$C$53)</f>
        <v>#DIV/0!</v>
      </c>
      <c r="AD12" s="26" t="e">
        <f>$C$40*$C$36*((INDEX('chapter 9 table 9'!$E12:$G12,1,SUM('wire calculator'!$C$46:$C$50))*(1+0.00323*(150-75))*'wire calculator'!$C$41)+IF('wire calculator'!$C$49=3,'chapter 9 table 9'!$D12*SIN(ACOS('wire calculator'!$C$41)),'chapter 9 table 9'!$C12*SIN(ACOS('wire calculator'!$C$41))))/1000*($C$42+$C$43)*(100/$C$53)</f>
        <v>#DIV/0!</v>
      </c>
      <c r="AE12" s="26" t="e">
        <f>$C$40*$C$36*((INDEX('chapter 9 table 9'!$E12:$G12,1,SUM('wire calculator'!$C$46:$C$50))*(1+0.00323*(200-75))*'wire calculator'!$C$41)+IF('wire calculator'!$C$49=3,'chapter 9 table 9'!$D12*SIN(ACOS('wire calculator'!$C$41)),'chapter 9 table 9'!$C12*SIN(ACOS('wire calculator'!$C$41))))/1000*($C$42+$C$43)*(100/$C$53)</f>
        <v>#DIV/0!</v>
      </c>
      <c r="AF12" s="26" t="e">
        <f>$C$40*$C$36*((INDEX('chapter 9 table 9'!$E12:$G12,1,SUM('wire calculator'!$C$46:$C$50))*(1+0.00323*(250-75))*'wire calculator'!$C$41)+IF('wire calculator'!$C$49=3,'chapter 9 table 9'!$D12*SIN(ACOS('wire calculator'!$C$41)),'chapter 9 table 9'!$C12*SIN(ACOS('wire calculator'!$C$41))))/1000*($C$42+$C$43)*(100/$C$53)</f>
        <v>#DIV/0!</v>
      </c>
      <c r="AG12" s="3" t="e">
        <f>$C$40*$C$36*((INDEX('chapter 9 table 9'!$H12:$J12,1,SUM('wire calculator'!$C$46:$C$50))*(1+0.0033*(60-75))*'wire calculator'!$C$41)+IF('wire calculator'!$C$49=3,'chapter 9 table 9'!$D12*SIN(ACOS('wire calculator'!$C$41)),'chapter 9 table 9'!$C12*SIN(ACOS('wire calculator'!$C$41))))/1000*($C$42+$C$43)*(100/$C$53)</f>
        <v>#DIV/0!</v>
      </c>
      <c r="AH12" s="3" t="e">
        <f>$C$40*$C$36*((INDEX('chapter 9 table 9'!$H12:$J12,1,SUM('wire calculator'!$C$46:$C$50))*(1+0.0033*(75-75))*'wire calculator'!$C$41)+IF('wire calculator'!$C$49=3,'chapter 9 table 9'!$D12*SIN(ACOS('wire calculator'!$C$41)),'chapter 9 table 9'!$C12*SIN(ACOS('wire calculator'!$C$41))))/1000*($C$42+$C$43)*(100/$C$53)</f>
        <v>#DIV/0!</v>
      </c>
      <c r="AI12" s="3" t="e">
        <f>$C$40*$C$36*((INDEX('chapter 9 table 9'!$H12:$J12,1,SUM('wire calculator'!$C$46:$C$50))*(1+0.0033*(90-75))*'wire calculator'!$C$41)+IF('wire calculator'!$C$49=3,'chapter 9 table 9'!$D12*SIN(ACOS('wire calculator'!$C$41)),'chapter 9 table 9'!$C12*SIN(ACOS('wire calculator'!$C$41))))/1000*($C$42+$C$43)*(100/$C$53)</f>
        <v>#DIV/0!</v>
      </c>
      <c r="AJ12" s="43" t="e">
        <f>$C$40*$C$36*((INDEX('chapter 9 table 9'!$H12:$J12,1,SUM('wire calculator'!$C$46:$C$50))*(1+0.0033*(150-75))*'wire calculator'!$C$41)+IF('wire calculator'!$C$49=3,'chapter 9 table 9'!$D12*SIN(ACOS('wire calculator'!$C$41)),'chapter 9 table 9'!$C12*SIN(ACOS('wire calculator'!$C$41))))/1000*($C$42+$C$43)*(100/$C$53)</f>
        <v>#DIV/0!</v>
      </c>
    </row>
    <row r="13" spans="1:36" x14ac:dyDescent="0.25">
      <c r="A13" s="31"/>
      <c r="B13" s="32" t="s">
        <v>84</v>
      </c>
      <c r="C13" s="31">
        <v>250</v>
      </c>
      <c r="D13" s="68"/>
      <c r="E13" s="1">
        <f>'310.15(B)(16)'!A13</f>
        <v>350</v>
      </c>
      <c r="F13" s="33">
        <f>VLOOKUP(E13,'Trade Size'!$A$1:$B$30,2,FALSE)</f>
        <v>350000</v>
      </c>
      <c r="G13" s="22">
        <f>'310.15(B)(16)'!C13*'wire calculator'!$C$18*'wire calculator'!$C$20</f>
        <v>260</v>
      </c>
      <c r="H13" s="22">
        <f>'310.15(B)(16)'!D13*'wire calculator'!$C$18*'wire calculator'!$C$20</f>
        <v>310</v>
      </c>
      <c r="I13" s="22">
        <f>'310.15(B)(16)'!E13*'wire calculator'!$C$18*'wire calculator'!$C$20</f>
        <v>350</v>
      </c>
      <c r="J13" s="22">
        <f>'310.15(B)(18)'!C13*'wire calculator'!$C$19*'wire calculator'!$C$20</f>
        <v>0</v>
      </c>
      <c r="K13" s="22">
        <f>'310.15(B)(18)'!D13*'wire calculator'!$C$19*'wire calculator'!$C$20</f>
        <v>0</v>
      </c>
      <c r="L13" s="35">
        <f>'310.15(B)(18)'!E13*'wire calculator'!$C$19*'wire calculator'!$C$20</f>
        <v>0</v>
      </c>
      <c r="M13" s="22">
        <f>'310.15(B)(16)'!F13*'wire calculator'!$C$18*'wire calculator'!$C$20</f>
        <v>210</v>
      </c>
      <c r="N13" s="22">
        <f>'310.15(B)(16)'!G13*'wire calculator'!$C$18*'wire calculator'!$C$20</f>
        <v>250</v>
      </c>
      <c r="O13" s="22">
        <f>'310.15(B)(16)'!H13*'wire calculator'!$C$18*'wire calculator'!$C$20</f>
        <v>280</v>
      </c>
      <c r="P13" s="35">
        <f>'310.15(B)(18)'!F13*'wire calculator'!$C$19*'wire calculator'!$C$20</f>
        <v>0</v>
      </c>
      <c r="Q13" s="22">
        <f>'310.15(B)(17)'!C13*'wire calculator'!$C$18*'wire calculator'!$C$20</f>
        <v>420</v>
      </c>
      <c r="R13" s="22">
        <f>'310.15(B)(17)'!D13*'wire calculator'!$C$18*'wire calculator'!$C$20</f>
        <v>505</v>
      </c>
      <c r="S13" s="22">
        <f>'310.15(B)(17)'!E13*'wire calculator'!$C$18*'wire calculator'!$C$20</f>
        <v>570</v>
      </c>
      <c r="T13" s="22">
        <f>'310.15(B)(19)'!C13*'wire calculator'!$C$19*'wire calculator'!$C$20</f>
        <v>0</v>
      </c>
      <c r="U13" s="22">
        <f>'310.15(B)(19)'!D13*'wire calculator'!$C$19*'wire calculator'!$C$20</f>
        <v>0</v>
      </c>
      <c r="V13" s="35">
        <f>'310.15(B)(19)'!E13*'wire calculator'!$C$19*'wire calculator'!$C$20</f>
        <v>0</v>
      </c>
      <c r="W13">
        <f>'310.15(B)(17)'!F13*'wire calculator'!$C$18*'wire calculator'!$C$20</f>
        <v>330</v>
      </c>
      <c r="X13">
        <f>'310.15(B)(17)'!G13*'wire calculator'!$C$18*'wire calculator'!$C$20</f>
        <v>395</v>
      </c>
      <c r="Y13">
        <f>'310.15(B)(17)'!H13*'wire calculator'!$C$18*'wire calculator'!$C$20</f>
        <v>445</v>
      </c>
      <c r="Z13" s="35">
        <f>'310.15(B)(19)'!F13*'wire calculator'!$C$19*'wire calculator'!$C$20</f>
        <v>0</v>
      </c>
      <c r="AA13" s="3" t="e">
        <f>$C$40*$C$36*((INDEX('chapter 9 table 9'!$E13:$G13,1,SUM('wire calculator'!$C$46:$C$50))*(1+0.00323*(60-75))*'wire calculator'!$C$41)+IF('wire calculator'!$C$49=3,'chapter 9 table 9'!$D13*SIN(ACOS('wire calculator'!$C$41)),'chapter 9 table 9'!$C13*SIN(ACOS('wire calculator'!$C$41))))/1000*($C$42+$C$43)*(100/$C$53)</f>
        <v>#DIV/0!</v>
      </c>
      <c r="AB13" s="26" t="e">
        <f>$C$40*$C$36*((INDEX('chapter 9 table 9'!$E13:$G13,1,SUM('wire calculator'!$C$46:$C$50))*(1+0.00323*(75-75))*'wire calculator'!$C$41)+IF('wire calculator'!$C$49=3,'chapter 9 table 9'!$D13*SIN(ACOS('wire calculator'!$C$41)),'chapter 9 table 9'!$C13*SIN(ACOS('wire calculator'!$C$41))))/1000*($C$42+$C$43)*(100/$C$53)</f>
        <v>#DIV/0!</v>
      </c>
      <c r="AC13" s="26" t="e">
        <f>$C$40*$C$36*((INDEX('chapter 9 table 9'!$E13:$G13,1,SUM('wire calculator'!$C$46:$C$50))*(1+0.00323*(90-75))*'wire calculator'!$C$41)+IF('wire calculator'!$C$49=3,'chapter 9 table 9'!$D13*SIN(ACOS('wire calculator'!$C$41)),'chapter 9 table 9'!$C13*SIN(ACOS('wire calculator'!$C$41))))/1000*($C$42+$C$43)*(100/$C$53)</f>
        <v>#DIV/0!</v>
      </c>
      <c r="AD13" s="26" t="e">
        <f>$C$40*$C$36*((INDEX('chapter 9 table 9'!$E13:$G13,1,SUM('wire calculator'!$C$46:$C$50))*(1+0.00323*(150-75))*'wire calculator'!$C$41)+IF('wire calculator'!$C$49=3,'chapter 9 table 9'!$D13*SIN(ACOS('wire calculator'!$C$41)),'chapter 9 table 9'!$C13*SIN(ACOS('wire calculator'!$C$41))))/1000*($C$42+$C$43)*(100/$C$53)</f>
        <v>#DIV/0!</v>
      </c>
      <c r="AE13" s="26" t="e">
        <f>$C$40*$C$36*((INDEX('chapter 9 table 9'!$E13:$G13,1,SUM('wire calculator'!$C$46:$C$50))*(1+0.00323*(200-75))*'wire calculator'!$C$41)+IF('wire calculator'!$C$49=3,'chapter 9 table 9'!$D13*SIN(ACOS('wire calculator'!$C$41)),'chapter 9 table 9'!$C13*SIN(ACOS('wire calculator'!$C$41))))/1000*($C$42+$C$43)*(100/$C$53)</f>
        <v>#DIV/0!</v>
      </c>
      <c r="AF13" s="26" t="e">
        <f>$C$40*$C$36*((INDEX('chapter 9 table 9'!$E13:$G13,1,SUM('wire calculator'!$C$46:$C$50))*(1+0.00323*(250-75))*'wire calculator'!$C$41)+IF('wire calculator'!$C$49=3,'chapter 9 table 9'!$D13*SIN(ACOS('wire calculator'!$C$41)),'chapter 9 table 9'!$C13*SIN(ACOS('wire calculator'!$C$41))))/1000*($C$42+$C$43)*(100/$C$53)</f>
        <v>#DIV/0!</v>
      </c>
      <c r="AG13" s="3" t="e">
        <f>$C$40*$C$36*((INDEX('chapter 9 table 9'!$H13:$J13,1,SUM('wire calculator'!$C$46:$C$50))*(1+0.0033*(60-75))*'wire calculator'!$C$41)+IF('wire calculator'!$C$49=3,'chapter 9 table 9'!$D13*SIN(ACOS('wire calculator'!$C$41)),'chapter 9 table 9'!$C13*SIN(ACOS('wire calculator'!$C$41))))/1000*($C$42+$C$43)*(100/$C$53)</f>
        <v>#DIV/0!</v>
      </c>
      <c r="AH13" s="3" t="e">
        <f>$C$40*$C$36*((INDEX('chapter 9 table 9'!$H13:$J13,1,SUM('wire calculator'!$C$46:$C$50))*(1+0.0033*(75-75))*'wire calculator'!$C$41)+IF('wire calculator'!$C$49=3,'chapter 9 table 9'!$D13*SIN(ACOS('wire calculator'!$C$41)),'chapter 9 table 9'!$C13*SIN(ACOS('wire calculator'!$C$41))))/1000*($C$42+$C$43)*(100/$C$53)</f>
        <v>#DIV/0!</v>
      </c>
      <c r="AI13" s="3" t="e">
        <f>$C$40*$C$36*((INDEX('chapter 9 table 9'!$H13:$J13,1,SUM('wire calculator'!$C$46:$C$50))*(1+0.0033*(90-75))*'wire calculator'!$C$41)+IF('wire calculator'!$C$49=3,'chapter 9 table 9'!$D13*SIN(ACOS('wire calculator'!$C$41)),'chapter 9 table 9'!$C13*SIN(ACOS('wire calculator'!$C$41))))/1000*($C$42+$C$43)*(100/$C$53)</f>
        <v>#DIV/0!</v>
      </c>
      <c r="AJ13" s="43" t="e">
        <f>$C$40*$C$36*((INDEX('chapter 9 table 9'!$H13:$J13,1,SUM('wire calculator'!$C$46:$C$50))*(1+0.0033*(150-75))*'wire calculator'!$C$41)+IF('wire calculator'!$C$49=3,'chapter 9 table 9'!$D13*SIN(ACOS('wire calculator'!$C$41)),'chapter 9 table 9'!$C13*SIN(ACOS('wire calculator'!$C$41))))/1000*($C$42+$C$43)*(100/$C$53)</f>
        <v>#DIV/0!</v>
      </c>
    </row>
    <row r="14" spans="1:36" x14ac:dyDescent="0.25">
      <c r="A14" s="81" t="s">
        <v>90</v>
      </c>
      <c r="B14" s="81"/>
      <c r="C14" s="81"/>
      <c r="D14" s="83"/>
      <c r="E14" s="1">
        <f>'310.15(B)(16)'!A14</f>
        <v>300</v>
      </c>
      <c r="F14" s="33">
        <f>VLOOKUP(E14,'Trade Size'!$A$1:$B$30,2,FALSE)</f>
        <v>300000</v>
      </c>
      <c r="G14" s="22">
        <f>'310.15(B)(16)'!C14*'wire calculator'!$C$18*'wire calculator'!$C$20</f>
        <v>240</v>
      </c>
      <c r="H14" s="22">
        <f>'310.15(B)(16)'!D14*'wire calculator'!$C$18*'wire calculator'!$C$20</f>
        <v>285</v>
      </c>
      <c r="I14" s="22">
        <f>'310.15(B)(16)'!E14*'wire calculator'!$C$18*'wire calculator'!$C$20</f>
        <v>320</v>
      </c>
      <c r="J14" s="22">
        <f>'310.15(B)(18)'!C14*'wire calculator'!$C$19*'wire calculator'!$C$20</f>
        <v>0</v>
      </c>
      <c r="K14" s="22">
        <f>'310.15(B)(18)'!D14*'wire calculator'!$C$19*'wire calculator'!$C$20</f>
        <v>0</v>
      </c>
      <c r="L14" s="35">
        <f>'310.15(B)(18)'!E14*'wire calculator'!$C$19*'wire calculator'!$C$20</f>
        <v>0</v>
      </c>
      <c r="M14" s="22">
        <f>'310.15(B)(16)'!F14*'wire calculator'!$C$18*'wire calculator'!$C$20</f>
        <v>195</v>
      </c>
      <c r="N14" s="22">
        <f>'310.15(B)(16)'!G14*'wire calculator'!$C$18*'wire calculator'!$C$20</f>
        <v>230</v>
      </c>
      <c r="O14" s="22">
        <f>'310.15(B)(16)'!H14*'wire calculator'!$C$18*'wire calculator'!$C$20</f>
        <v>260</v>
      </c>
      <c r="P14" s="35">
        <f>'310.15(B)(18)'!F14*'wire calculator'!$C$19*'wire calculator'!$C$20</f>
        <v>0</v>
      </c>
      <c r="Q14" s="22">
        <f>'310.15(B)(17)'!C14*'wire calculator'!$C$18*'wire calculator'!$C$20</f>
        <v>375</v>
      </c>
      <c r="R14" s="22">
        <f>'310.15(B)(17)'!D14*'wire calculator'!$C$18*'wire calculator'!$C$20</f>
        <v>445</v>
      </c>
      <c r="S14" s="22">
        <f>'310.15(B)(17)'!E14*'wire calculator'!$C$18*'wire calculator'!$C$20</f>
        <v>500</v>
      </c>
      <c r="T14" s="22">
        <f>'310.15(B)(19)'!C14*'wire calculator'!$C$19*'wire calculator'!$C$20</f>
        <v>0</v>
      </c>
      <c r="U14" s="22">
        <f>'310.15(B)(19)'!D14*'wire calculator'!$C$19*'wire calculator'!$C$20</f>
        <v>0</v>
      </c>
      <c r="V14" s="35">
        <f>'310.15(B)(19)'!E14*'wire calculator'!$C$19*'wire calculator'!$C$20</f>
        <v>0</v>
      </c>
      <c r="W14">
        <f>'310.15(B)(17)'!F14*'wire calculator'!$C$18*'wire calculator'!$C$20</f>
        <v>290</v>
      </c>
      <c r="X14">
        <f>'310.15(B)(17)'!G14*'wire calculator'!$C$18*'wire calculator'!$C$20</f>
        <v>350</v>
      </c>
      <c r="Y14">
        <f>'310.15(B)(17)'!H14*'wire calculator'!$C$18*'wire calculator'!$C$20</f>
        <v>395</v>
      </c>
      <c r="Z14" s="35">
        <f>'310.15(B)(19)'!F14*'wire calculator'!$C$19*'wire calculator'!$C$20</f>
        <v>0</v>
      </c>
      <c r="AA14" s="3" t="e">
        <f>$C$40*$C$36*((INDEX('chapter 9 table 9'!$E14:$G14,1,SUM('wire calculator'!$C$46:$C$50))*(1+0.00323*(60-75))*'wire calculator'!$C$41)+IF('wire calculator'!$C$49=3,'chapter 9 table 9'!$D14*SIN(ACOS('wire calculator'!$C$41)),'chapter 9 table 9'!$C14*SIN(ACOS('wire calculator'!$C$41))))/1000*($C$42+$C$43)*(100/$C$53)</f>
        <v>#DIV/0!</v>
      </c>
      <c r="AB14" s="26" t="e">
        <f>$C$40*$C$36*((INDEX('chapter 9 table 9'!$E14:$G14,1,SUM('wire calculator'!$C$46:$C$50))*(1+0.00323*(75-75))*'wire calculator'!$C$41)+IF('wire calculator'!$C$49=3,'chapter 9 table 9'!$D14*SIN(ACOS('wire calculator'!$C$41)),'chapter 9 table 9'!$C14*SIN(ACOS('wire calculator'!$C$41))))/1000*($C$42+$C$43)*(100/$C$53)</f>
        <v>#DIV/0!</v>
      </c>
      <c r="AC14" s="26" t="e">
        <f>$C$40*$C$36*((INDEX('chapter 9 table 9'!$E14:$G14,1,SUM('wire calculator'!$C$46:$C$50))*(1+0.00323*(90-75))*'wire calculator'!$C$41)+IF('wire calculator'!$C$49=3,'chapter 9 table 9'!$D14*SIN(ACOS('wire calculator'!$C$41)),'chapter 9 table 9'!$C14*SIN(ACOS('wire calculator'!$C$41))))/1000*($C$42+$C$43)*(100/$C$53)</f>
        <v>#DIV/0!</v>
      </c>
      <c r="AD14" s="26" t="e">
        <f>$C$40*$C$36*((INDEX('chapter 9 table 9'!$E14:$G14,1,SUM('wire calculator'!$C$46:$C$50))*(1+0.00323*(150-75))*'wire calculator'!$C$41)+IF('wire calculator'!$C$49=3,'chapter 9 table 9'!$D14*SIN(ACOS('wire calculator'!$C$41)),'chapter 9 table 9'!$C14*SIN(ACOS('wire calculator'!$C$41))))/1000*($C$42+$C$43)*(100/$C$53)</f>
        <v>#DIV/0!</v>
      </c>
      <c r="AE14" s="26" t="e">
        <f>$C$40*$C$36*((INDEX('chapter 9 table 9'!$E14:$G14,1,SUM('wire calculator'!$C$46:$C$50))*(1+0.00323*(200-75))*'wire calculator'!$C$41)+IF('wire calculator'!$C$49=3,'chapter 9 table 9'!$D14*SIN(ACOS('wire calculator'!$C$41)),'chapter 9 table 9'!$C14*SIN(ACOS('wire calculator'!$C$41))))/1000*($C$42+$C$43)*(100/$C$53)</f>
        <v>#DIV/0!</v>
      </c>
      <c r="AF14" s="26" t="e">
        <f>$C$40*$C$36*((INDEX('chapter 9 table 9'!$E14:$G14,1,SUM('wire calculator'!$C$46:$C$50))*(1+0.00323*(250-75))*'wire calculator'!$C$41)+IF('wire calculator'!$C$49=3,'chapter 9 table 9'!$D14*SIN(ACOS('wire calculator'!$C$41)),'chapter 9 table 9'!$C14*SIN(ACOS('wire calculator'!$C$41))))/1000*($C$42+$C$43)*(100/$C$53)</f>
        <v>#DIV/0!</v>
      </c>
      <c r="AG14" s="3" t="e">
        <f>$C$40*$C$36*((INDEX('chapter 9 table 9'!$H14:$J14,1,SUM('wire calculator'!$C$46:$C$50))*(1+0.0033*(60-75))*'wire calculator'!$C$41)+IF('wire calculator'!$C$49=3,'chapter 9 table 9'!$D14*SIN(ACOS('wire calculator'!$C$41)),'chapter 9 table 9'!$C14*SIN(ACOS('wire calculator'!$C$41))))/1000*($C$42+$C$43)*(100/$C$53)</f>
        <v>#DIV/0!</v>
      </c>
      <c r="AH14" s="3" t="e">
        <f>$C$40*$C$36*((INDEX('chapter 9 table 9'!$H14:$J14,1,SUM('wire calculator'!$C$46:$C$50))*(1+0.0033*(75-75))*'wire calculator'!$C$41)+IF('wire calculator'!$C$49=3,'chapter 9 table 9'!$D14*SIN(ACOS('wire calculator'!$C$41)),'chapter 9 table 9'!$C14*SIN(ACOS('wire calculator'!$C$41))))/1000*($C$42+$C$43)*(100/$C$53)</f>
        <v>#DIV/0!</v>
      </c>
      <c r="AI14" s="3" t="e">
        <f>$C$40*$C$36*((INDEX('chapter 9 table 9'!$H14:$J14,1,SUM('wire calculator'!$C$46:$C$50))*(1+0.0033*(90-75))*'wire calculator'!$C$41)+IF('wire calculator'!$C$49=3,'chapter 9 table 9'!$D14*SIN(ACOS('wire calculator'!$C$41)),'chapter 9 table 9'!$C14*SIN(ACOS('wire calculator'!$C$41))))/1000*($C$42+$C$43)*(100/$C$53)</f>
        <v>#DIV/0!</v>
      </c>
      <c r="AJ14" s="43" t="e">
        <f>$C$40*$C$36*((INDEX('chapter 9 table 9'!$H14:$J14,1,SUM('wire calculator'!$C$46:$C$50))*(1+0.0033*(150-75))*'wire calculator'!$C$41)+IF('wire calculator'!$C$49=3,'chapter 9 table 9'!$D14*SIN(ACOS('wire calculator'!$C$41)),'chapter 9 table 9'!$C14*SIN(ACOS('wire calculator'!$C$41))))/1000*($C$42+$C$43)*(100/$C$53)</f>
        <v>#DIV/0!</v>
      </c>
    </row>
    <row r="15" spans="1:36" x14ac:dyDescent="0.25">
      <c r="A15" s="34"/>
      <c r="B15" s="34"/>
      <c r="C15" s="34"/>
      <c r="D15" s="68"/>
      <c r="E15" s="1">
        <f>'310.15(B)(16)'!A15</f>
        <v>250</v>
      </c>
      <c r="F15" s="33">
        <f>VLOOKUP(E15,'Trade Size'!$A$1:$B$30,2,FALSE)</f>
        <v>250000</v>
      </c>
      <c r="G15" s="22">
        <f>'310.15(B)(16)'!C15*'wire calculator'!$C$18*'wire calculator'!$C$20</f>
        <v>215</v>
      </c>
      <c r="H15" s="22">
        <f>'310.15(B)(16)'!D15*'wire calculator'!$C$18*'wire calculator'!$C$20</f>
        <v>255</v>
      </c>
      <c r="I15" s="22">
        <f>'310.15(B)(16)'!E15*'wire calculator'!$C$18*'wire calculator'!$C$20</f>
        <v>290</v>
      </c>
      <c r="J15" s="22">
        <f>'310.15(B)(18)'!C15*'wire calculator'!$C$19*'wire calculator'!$C$20</f>
        <v>0</v>
      </c>
      <c r="K15" s="22">
        <f>'310.15(B)(18)'!D15*'wire calculator'!$C$19*'wire calculator'!$C$20</f>
        <v>0</v>
      </c>
      <c r="L15" s="35">
        <f>'310.15(B)(18)'!E15*'wire calculator'!$C$19*'wire calculator'!$C$20</f>
        <v>0</v>
      </c>
      <c r="M15" s="22">
        <f>'310.15(B)(16)'!F15*'wire calculator'!$C$18*'wire calculator'!$C$20</f>
        <v>170</v>
      </c>
      <c r="N15" s="22">
        <f>'310.15(B)(16)'!G15*'wire calculator'!$C$18*'wire calculator'!$C$20</f>
        <v>205</v>
      </c>
      <c r="O15" s="22">
        <f>'310.15(B)(16)'!H15*'wire calculator'!$C$18*'wire calculator'!$C$20</f>
        <v>230</v>
      </c>
      <c r="P15" s="35">
        <f>'310.15(B)(18)'!F15*'wire calculator'!$C$19*'wire calculator'!$C$20</f>
        <v>0</v>
      </c>
      <c r="Q15" s="22">
        <f>'310.15(B)(17)'!C15*'wire calculator'!$C$18*'wire calculator'!$C$20</f>
        <v>340</v>
      </c>
      <c r="R15" s="22">
        <f>'310.15(B)(17)'!D15*'wire calculator'!$C$18*'wire calculator'!$C$20</f>
        <v>405</v>
      </c>
      <c r="S15" s="22">
        <f>'310.15(B)(17)'!E15*'wire calculator'!$C$18*'wire calculator'!$C$20</f>
        <v>455</v>
      </c>
      <c r="T15" s="22">
        <f>'310.15(B)(19)'!C15*'wire calculator'!$C$19*'wire calculator'!$C$20</f>
        <v>0</v>
      </c>
      <c r="U15" s="22">
        <f>'310.15(B)(19)'!D15*'wire calculator'!$C$19*'wire calculator'!$C$20</f>
        <v>0</v>
      </c>
      <c r="V15" s="35">
        <f>'310.15(B)(19)'!E15*'wire calculator'!$C$19*'wire calculator'!$C$20</f>
        <v>0</v>
      </c>
      <c r="W15">
        <f>'310.15(B)(17)'!F15*'wire calculator'!$C$18*'wire calculator'!$C$20</f>
        <v>265</v>
      </c>
      <c r="X15">
        <f>'310.15(B)(17)'!G15*'wire calculator'!$C$18*'wire calculator'!$C$20</f>
        <v>315</v>
      </c>
      <c r="Y15">
        <f>'310.15(B)(17)'!H15*'wire calculator'!$C$18*'wire calculator'!$C$20</f>
        <v>355</v>
      </c>
      <c r="Z15" s="35">
        <f>'310.15(B)(19)'!F15*'wire calculator'!$C$19*'wire calculator'!$C$20</f>
        <v>0</v>
      </c>
      <c r="AA15" s="3" t="e">
        <f>$C$40*$C$36*((INDEX('chapter 9 table 9'!$E15:$G15,1,SUM('wire calculator'!$C$46:$C$50))*(1+0.00323*(60-75))*'wire calculator'!$C$41)+IF('wire calculator'!$C$49=3,'chapter 9 table 9'!$D15*SIN(ACOS('wire calculator'!$C$41)),'chapter 9 table 9'!$C15*SIN(ACOS('wire calculator'!$C$41))))/1000*($C$42+$C$43)*(100/$C$53)</f>
        <v>#DIV/0!</v>
      </c>
      <c r="AB15" s="26" t="e">
        <f>$C$40*$C$36*((INDEX('chapter 9 table 9'!$E15:$G15,1,SUM('wire calculator'!$C$46:$C$50))*(1+0.00323*(75-75))*'wire calculator'!$C$41)+IF('wire calculator'!$C$49=3,'chapter 9 table 9'!$D15*SIN(ACOS('wire calculator'!$C$41)),'chapter 9 table 9'!$C15*SIN(ACOS('wire calculator'!$C$41))))/1000*($C$42+$C$43)*(100/$C$53)</f>
        <v>#DIV/0!</v>
      </c>
      <c r="AC15" s="26" t="e">
        <f>$C$40*$C$36*((INDEX('chapter 9 table 9'!$E15:$G15,1,SUM('wire calculator'!$C$46:$C$50))*(1+0.00323*(90-75))*'wire calculator'!$C$41)+IF('wire calculator'!$C$49=3,'chapter 9 table 9'!$D15*SIN(ACOS('wire calculator'!$C$41)),'chapter 9 table 9'!$C15*SIN(ACOS('wire calculator'!$C$41))))/1000*($C$42+$C$43)*(100/$C$53)</f>
        <v>#DIV/0!</v>
      </c>
      <c r="AD15" s="26" t="e">
        <f>$C$40*$C$36*((INDEX('chapter 9 table 9'!$E15:$G15,1,SUM('wire calculator'!$C$46:$C$50))*(1+0.00323*(150-75))*'wire calculator'!$C$41)+IF('wire calculator'!$C$49=3,'chapter 9 table 9'!$D15*SIN(ACOS('wire calculator'!$C$41)),'chapter 9 table 9'!$C15*SIN(ACOS('wire calculator'!$C$41))))/1000*($C$42+$C$43)*(100/$C$53)</f>
        <v>#DIV/0!</v>
      </c>
      <c r="AE15" s="26" t="e">
        <f>$C$40*$C$36*((INDEX('chapter 9 table 9'!$E15:$G15,1,SUM('wire calculator'!$C$46:$C$50))*(1+0.00323*(200-75))*'wire calculator'!$C$41)+IF('wire calculator'!$C$49=3,'chapter 9 table 9'!$D15*SIN(ACOS('wire calculator'!$C$41)),'chapter 9 table 9'!$C15*SIN(ACOS('wire calculator'!$C$41))))/1000*($C$42+$C$43)*(100/$C$53)</f>
        <v>#DIV/0!</v>
      </c>
      <c r="AF15" s="26" t="e">
        <f>$C$40*$C$36*((INDEX('chapter 9 table 9'!$E15:$G15,1,SUM('wire calculator'!$C$46:$C$50))*(1+0.00323*(250-75))*'wire calculator'!$C$41)+IF('wire calculator'!$C$49=3,'chapter 9 table 9'!$D15*SIN(ACOS('wire calculator'!$C$41)),'chapter 9 table 9'!$C15*SIN(ACOS('wire calculator'!$C$41))))/1000*($C$42+$C$43)*(100/$C$53)</f>
        <v>#DIV/0!</v>
      </c>
      <c r="AG15" s="3" t="e">
        <f>$C$40*$C$36*((INDEX('chapter 9 table 9'!$H15:$J15,1,SUM('wire calculator'!$C$46:$C$50))*(1+0.0033*(60-75))*'wire calculator'!$C$41)+IF('wire calculator'!$C$49=3,'chapter 9 table 9'!$D15*SIN(ACOS('wire calculator'!$C$41)),'chapter 9 table 9'!$C15*SIN(ACOS('wire calculator'!$C$41))))/1000*($C$42+$C$43)*(100/$C$53)</f>
        <v>#DIV/0!</v>
      </c>
      <c r="AH15" s="3" t="e">
        <f>$C$40*$C$36*((INDEX('chapter 9 table 9'!$H15:$J15,1,SUM('wire calculator'!$C$46:$C$50))*(1+0.0033*(75-75))*'wire calculator'!$C$41)+IF('wire calculator'!$C$49=3,'chapter 9 table 9'!$D15*SIN(ACOS('wire calculator'!$C$41)),'chapter 9 table 9'!$C15*SIN(ACOS('wire calculator'!$C$41))))/1000*($C$42+$C$43)*(100/$C$53)</f>
        <v>#DIV/0!</v>
      </c>
      <c r="AI15" s="3" t="e">
        <f>$C$40*$C$36*((INDEX('chapter 9 table 9'!$H15:$J15,1,SUM('wire calculator'!$C$46:$C$50))*(1+0.0033*(90-75))*'wire calculator'!$C$41)+IF('wire calculator'!$C$49=3,'chapter 9 table 9'!$D15*SIN(ACOS('wire calculator'!$C$41)),'chapter 9 table 9'!$C15*SIN(ACOS('wire calculator'!$C$41))))/1000*($C$42+$C$43)*(100/$C$53)</f>
        <v>#DIV/0!</v>
      </c>
      <c r="AJ15" s="43" t="e">
        <f>$C$40*$C$36*((INDEX('chapter 9 table 9'!$H15:$J15,1,SUM('wire calculator'!$C$46:$C$50))*(1+0.0033*(150-75))*'wire calculator'!$C$41)+IF('wire calculator'!$C$49=3,'chapter 9 table 9'!$D15*SIN(ACOS('wire calculator'!$C$41)),'chapter 9 table 9'!$C15*SIN(ACOS('wire calculator'!$C$41))))/1000*($C$42+$C$43)*(100/$C$53)</f>
        <v>#DIV/0!</v>
      </c>
    </row>
    <row r="16" spans="1:36" x14ac:dyDescent="0.25">
      <c r="A16" s="34"/>
      <c r="B16" s="32" t="s">
        <v>92</v>
      </c>
      <c r="C16" s="32">
        <f>VLOOKUP(UI!$E$10,'wire calculator'!$B$8:$C$13,2,FALSE)</f>
        <v>75</v>
      </c>
      <c r="D16" s="68"/>
      <c r="E16" s="1" t="str">
        <f>'310.15(B)(16)'!A16</f>
        <v>4/0</v>
      </c>
      <c r="F16" s="33">
        <f>VLOOKUP(E16,'Trade Size'!$A$1:$B$30,2,FALSE)</f>
        <v>211600</v>
      </c>
      <c r="G16" s="22">
        <f>'310.15(B)(16)'!C16*'wire calculator'!$C$18*'wire calculator'!$C$20</f>
        <v>195</v>
      </c>
      <c r="H16" s="22">
        <f>'310.15(B)(16)'!D16*'wire calculator'!$C$18*'wire calculator'!$C$20</f>
        <v>230</v>
      </c>
      <c r="I16" s="22">
        <f>'310.15(B)(16)'!E16*'wire calculator'!$C$18*'wire calculator'!$C$20</f>
        <v>260</v>
      </c>
      <c r="J16" s="22">
        <f>'310.15(B)(18)'!C16*'wire calculator'!$C$19*'wire calculator'!$C$20</f>
        <v>376.45261511719031</v>
      </c>
      <c r="K16" s="22">
        <f>'310.15(B)(18)'!D16*'wire calculator'!$C$19*'wire calculator'!$C$20</f>
        <v>392.32712298357785</v>
      </c>
      <c r="L16" s="35">
        <f>'310.15(B)(18)'!E16*'wire calculator'!$C$19*'wire calculator'!$C$20</f>
        <v>409.33552426899308</v>
      </c>
      <c r="M16" s="22">
        <f>'310.15(B)(16)'!F16*'wire calculator'!$C$18*'wire calculator'!$C$20</f>
        <v>150</v>
      </c>
      <c r="N16" s="22">
        <f>'310.15(B)(16)'!G16*'wire calculator'!$C$18*'wire calculator'!$C$20</f>
        <v>180</v>
      </c>
      <c r="O16" s="22">
        <f>'310.15(B)(16)'!H16*'wire calculator'!$C$18*'wire calculator'!$C$20</f>
        <v>205</v>
      </c>
      <c r="P16" s="35">
        <f>'310.15(B)(18)'!F16*'wire calculator'!$C$19*'wire calculator'!$C$20</f>
        <v>294.81228894719726</v>
      </c>
      <c r="Q16" s="22">
        <f>'310.15(B)(17)'!C16*'wire calculator'!$C$18*'wire calculator'!$C$20</f>
        <v>300</v>
      </c>
      <c r="R16" s="22">
        <f>'310.15(B)(17)'!D16*'wire calculator'!$C$18*'wire calculator'!$C$20</f>
        <v>360</v>
      </c>
      <c r="S16" s="22">
        <f>'310.15(B)(17)'!E16*'wire calculator'!$C$18*'wire calculator'!$C$20</f>
        <v>405</v>
      </c>
      <c r="T16" s="22">
        <f>'310.15(B)(19)'!C16*'wire calculator'!$C$19*'wire calculator'!$C$20</f>
        <v>599.82961866564358</v>
      </c>
      <c r="U16" s="22">
        <f>'310.15(B)(19)'!D16*'wire calculator'!$C$19*'wire calculator'!$C$20</f>
        <v>713.21896056841183</v>
      </c>
      <c r="V16" s="35">
        <f>'310.15(B)(19)'!E16*'wire calculator'!$C$19*'wire calculator'!$C$20</f>
        <v>941.13153779297579</v>
      </c>
      <c r="W16">
        <f>'310.15(B)(17)'!F16*'wire calculator'!$C$18*'wire calculator'!$C$20</f>
        <v>235</v>
      </c>
      <c r="X16">
        <f>'310.15(B)(17)'!G16*'wire calculator'!$C$18*'wire calculator'!$C$20</f>
        <v>280</v>
      </c>
      <c r="Y16">
        <f>'310.15(B)(17)'!H16*'wire calculator'!$C$18*'wire calculator'!$C$20</f>
        <v>315</v>
      </c>
      <c r="Z16" s="35">
        <f>'310.15(B)(19)'!F16*'wire calculator'!$C$19*'wire calculator'!$C$20</f>
        <v>466.03019522037715</v>
      </c>
      <c r="AA16" s="3" t="e">
        <f>$C$40*$C$36*((INDEX('chapter 9 table 9'!$E16:$G16,1,SUM('wire calculator'!$C$46:$C$50))*(1+0.00323*(60-75))*'wire calculator'!$C$41)+IF('wire calculator'!$C$49=3,'chapter 9 table 9'!$D16*SIN(ACOS('wire calculator'!$C$41)),'chapter 9 table 9'!$C16*SIN(ACOS('wire calculator'!$C$41))))/1000*($C$42+$C$43)*(100/$C$53)</f>
        <v>#DIV/0!</v>
      </c>
      <c r="AB16" s="26" t="e">
        <f>$C$40*$C$36*((INDEX('chapter 9 table 9'!$E16:$G16,1,SUM('wire calculator'!$C$46:$C$50))*(1+0.00323*(75-75))*'wire calculator'!$C$41)+IF('wire calculator'!$C$49=3,'chapter 9 table 9'!$D16*SIN(ACOS('wire calculator'!$C$41)),'chapter 9 table 9'!$C16*SIN(ACOS('wire calculator'!$C$41))))/1000*($C$42+$C$43)*(100/$C$53)</f>
        <v>#DIV/0!</v>
      </c>
      <c r="AC16" s="26" t="e">
        <f>$C$40*$C$36*((INDEX('chapter 9 table 9'!$E16:$G16,1,SUM('wire calculator'!$C$46:$C$50))*(1+0.00323*(90-75))*'wire calculator'!$C$41)+IF('wire calculator'!$C$49=3,'chapter 9 table 9'!$D16*SIN(ACOS('wire calculator'!$C$41)),'chapter 9 table 9'!$C16*SIN(ACOS('wire calculator'!$C$41))))/1000*($C$42+$C$43)*(100/$C$53)</f>
        <v>#DIV/0!</v>
      </c>
      <c r="AD16" s="26" t="e">
        <f>$C$40*$C$36*((INDEX('chapter 9 table 9'!$E16:$G16,1,SUM('wire calculator'!$C$46:$C$50))*(1+0.00323*(150-75))*'wire calculator'!$C$41)+IF('wire calculator'!$C$49=3,'chapter 9 table 9'!$D16*SIN(ACOS('wire calculator'!$C$41)),'chapter 9 table 9'!$C16*SIN(ACOS('wire calculator'!$C$41))))/1000*($C$42+$C$43)*(100/$C$53)</f>
        <v>#DIV/0!</v>
      </c>
      <c r="AE16" s="26" t="e">
        <f>$C$40*$C$36*((INDEX('chapter 9 table 9'!$E16:$G16,1,SUM('wire calculator'!$C$46:$C$50))*(1+0.00323*(200-75))*'wire calculator'!$C$41)+IF('wire calculator'!$C$49=3,'chapter 9 table 9'!$D16*SIN(ACOS('wire calculator'!$C$41)),'chapter 9 table 9'!$C16*SIN(ACOS('wire calculator'!$C$41))))/1000*($C$42+$C$43)*(100/$C$53)</f>
        <v>#DIV/0!</v>
      </c>
      <c r="AF16" s="26" t="e">
        <f>$C$40*$C$36*((INDEX('chapter 9 table 9'!$E16:$G16,1,SUM('wire calculator'!$C$46:$C$50))*(1+0.00323*(250-75))*'wire calculator'!$C$41)+IF('wire calculator'!$C$49=3,'chapter 9 table 9'!$D16*SIN(ACOS('wire calculator'!$C$41)),'chapter 9 table 9'!$C16*SIN(ACOS('wire calculator'!$C$41))))/1000*($C$42+$C$43)*(100/$C$53)</f>
        <v>#DIV/0!</v>
      </c>
      <c r="AG16" s="3" t="e">
        <f>$C$40*$C$36*((INDEX('chapter 9 table 9'!$H16:$J16,1,SUM('wire calculator'!$C$46:$C$50))*(1+0.0033*(60-75))*'wire calculator'!$C$41)+IF('wire calculator'!$C$49=3,'chapter 9 table 9'!$D16*SIN(ACOS('wire calculator'!$C$41)),'chapter 9 table 9'!$C16*SIN(ACOS('wire calculator'!$C$41))))/1000*($C$42+$C$43)*(100/$C$53)</f>
        <v>#DIV/0!</v>
      </c>
      <c r="AH16" s="3" t="e">
        <f>$C$40*$C$36*((INDEX('chapter 9 table 9'!$H16:$J16,1,SUM('wire calculator'!$C$46:$C$50))*(1+0.0033*(75-75))*'wire calculator'!$C$41)+IF('wire calculator'!$C$49=3,'chapter 9 table 9'!$D16*SIN(ACOS('wire calculator'!$C$41)),'chapter 9 table 9'!$C16*SIN(ACOS('wire calculator'!$C$41))))/1000*($C$42+$C$43)*(100/$C$53)</f>
        <v>#DIV/0!</v>
      </c>
      <c r="AI16" s="3" t="e">
        <f>$C$40*$C$36*((INDEX('chapter 9 table 9'!$H16:$J16,1,SUM('wire calculator'!$C$46:$C$50))*(1+0.0033*(90-75))*'wire calculator'!$C$41)+IF('wire calculator'!$C$49=3,'chapter 9 table 9'!$D16*SIN(ACOS('wire calculator'!$C$41)),'chapter 9 table 9'!$C16*SIN(ACOS('wire calculator'!$C$41))))/1000*($C$42+$C$43)*(100/$C$53)</f>
        <v>#DIV/0!</v>
      </c>
      <c r="AJ16" s="43" t="e">
        <f>$C$40*$C$36*((INDEX('chapter 9 table 9'!$H16:$J16,1,SUM('wire calculator'!$C$46:$C$50))*(1+0.0033*(150-75))*'wire calculator'!$C$41)+IF('wire calculator'!$C$49=3,'chapter 9 table 9'!$D16*SIN(ACOS('wire calculator'!$C$41)),'chapter 9 table 9'!$C16*SIN(ACOS('wire calculator'!$C$41))))/1000*($C$42+$C$43)*(100/$C$53)</f>
        <v>#DIV/0!</v>
      </c>
    </row>
    <row r="17" spans="1:44" x14ac:dyDescent="0.25">
      <c r="A17" s="31"/>
      <c r="B17" s="31"/>
      <c r="C17" s="31"/>
      <c r="D17" s="68"/>
      <c r="E17" s="1" t="str">
        <f>'310.15(B)(16)'!A17</f>
        <v>3/0</v>
      </c>
      <c r="F17" s="33">
        <f>VLOOKUP(E17,'Trade Size'!$A$1:$B$30,2,FALSE)</f>
        <v>167800</v>
      </c>
      <c r="G17" s="22">
        <f>'310.15(B)(16)'!C17*'wire calculator'!$C$18*'wire calculator'!$C$20</f>
        <v>165</v>
      </c>
      <c r="H17" s="22">
        <f>'310.15(B)(16)'!D17*'wire calculator'!$C$18*'wire calculator'!$C$20</f>
        <v>200</v>
      </c>
      <c r="I17" s="22">
        <f>'310.15(B)(16)'!E17*'wire calculator'!$C$18*'wire calculator'!$C$20</f>
        <v>225</v>
      </c>
      <c r="J17" s="22">
        <f>'310.15(B)(18)'!C17*'wire calculator'!$C$19*'wire calculator'!$C$20</f>
        <v>326.56130467997235</v>
      </c>
      <c r="K17" s="22">
        <f>'310.15(B)(18)'!D17*'wire calculator'!$C$19*'wire calculator'!$C$20</f>
        <v>336.76634545122147</v>
      </c>
      <c r="L17" s="35">
        <f>'310.15(B)(18)'!E17*'wire calculator'!$C$19*'wire calculator'!$C$20</f>
        <v>349.23917306052596</v>
      </c>
      <c r="M17" s="22">
        <f>'310.15(B)(16)'!F17*'wire calculator'!$C$18*'wire calculator'!$C$20</f>
        <v>130</v>
      </c>
      <c r="N17" s="22">
        <f>'310.15(B)(16)'!G17*'wire calculator'!$C$18*'wire calculator'!$C$20</f>
        <v>155</v>
      </c>
      <c r="O17" s="22">
        <f>'310.15(B)(16)'!H17*'wire calculator'!$C$18*'wire calculator'!$C$20</f>
        <v>175</v>
      </c>
      <c r="P17" s="35">
        <f>'310.15(B)(18)'!F17*'wire calculator'!$C$19*'wire calculator'!$C$20</f>
        <v>257.39380611928374</v>
      </c>
      <c r="Q17" s="22">
        <f>'310.15(B)(17)'!C17*'wire calculator'!$C$18*'wire calculator'!$C$20</f>
        <v>260</v>
      </c>
      <c r="R17" s="22">
        <f>'310.15(B)(17)'!D17*'wire calculator'!$C$18*'wire calculator'!$C$20</f>
        <v>310</v>
      </c>
      <c r="S17" s="22">
        <f>'310.15(B)(17)'!E17*'wire calculator'!$C$18*'wire calculator'!$C$20</f>
        <v>350</v>
      </c>
      <c r="T17" s="22">
        <f>'310.15(B)(19)'!C17*'wire calculator'!$C$19*'wire calculator'!$C$20</f>
        <v>511.38593198148448</v>
      </c>
      <c r="U17" s="22">
        <f>'310.15(B)(19)'!D17*'wire calculator'!$C$19*'wire calculator'!$C$20</f>
        <v>619.10580678911424</v>
      </c>
      <c r="V17" s="35">
        <f>'310.15(B)(19)'!E17*'wire calculator'!$C$19*'wire calculator'!$C$20</f>
        <v>802.79654067159868</v>
      </c>
      <c r="W17">
        <f>'310.15(B)(17)'!F17*'wire calculator'!$C$18*'wire calculator'!$C$20</f>
        <v>200</v>
      </c>
      <c r="X17">
        <f>'310.15(B)(17)'!G17*'wire calculator'!$C$18*'wire calculator'!$C$20</f>
        <v>240</v>
      </c>
      <c r="Y17">
        <f>'310.15(B)(17)'!H17*'wire calculator'!$C$18*'wire calculator'!$C$20</f>
        <v>270</v>
      </c>
      <c r="Z17" s="35">
        <f>'310.15(B)(19)'!F17*'wire calculator'!$C$19*'wire calculator'!$C$20</f>
        <v>397.99659007871628</v>
      </c>
      <c r="AA17" s="3" t="e">
        <f>$C$40*$C$36*((INDEX('chapter 9 table 9'!$E17:$G17,1,SUM('wire calculator'!$C$46:$C$50))*(1+0.00323*(60-75))*'wire calculator'!$C$41)+IF('wire calculator'!$C$49=3,'chapter 9 table 9'!$D17*SIN(ACOS('wire calculator'!$C$41)),'chapter 9 table 9'!$C17*SIN(ACOS('wire calculator'!$C$41))))/1000*($C$42+$C$43)*(100/$C$53)</f>
        <v>#DIV/0!</v>
      </c>
      <c r="AB17" s="26" t="e">
        <f>$C$40*$C$36*((INDEX('chapter 9 table 9'!$E17:$G17,1,SUM('wire calculator'!$C$46:$C$50))*(1+0.00323*(75-75))*'wire calculator'!$C$41)+IF('wire calculator'!$C$49=3,'chapter 9 table 9'!$D17*SIN(ACOS('wire calculator'!$C$41)),'chapter 9 table 9'!$C17*SIN(ACOS('wire calculator'!$C$41))))/1000*($C$42+$C$43)*(100/$C$53)</f>
        <v>#DIV/0!</v>
      </c>
      <c r="AC17" s="26" t="e">
        <f>$C$40*$C$36*((INDEX('chapter 9 table 9'!$E17:$G17,1,SUM('wire calculator'!$C$46:$C$50))*(1+0.00323*(90-75))*'wire calculator'!$C$41)+IF('wire calculator'!$C$49=3,'chapter 9 table 9'!$D17*SIN(ACOS('wire calculator'!$C$41)),'chapter 9 table 9'!$C17*SIN(ACOS('wire calculator'!$C$41))))/1000*($C$42+$C$43)*(100/$C$53)</f>
        <v>#DIV/0!</v>
      </c>
      <c r="AD17" s="26" t="e">
        <f>$C$40*$C$36*((INDEX('chapter 9 table 9'!$E17:$G17,1,SUM('wire calculator'!$C$46:$C$50))*(1+0.00323*(150-75))*'wire calculator'!$C$41)+IF('wire calculator'!$C$49=3,'chapter 9 table 9'!$D17*SIN(ACOS('wire calculator'!$C$41)),'chapter 9 table 9'!$C17*SIN(ACOS('wire calculator'!$C$41))))/1000*($C$42+$C$43)*(100/$C$53)</f>
        <v>#DIV/0!</v>
      </c>
      <c r="AE17" s="26" t="e">
        <f>$C$40*$C$36*((INDEX('chapter 9 table 9'!$E17:$G17,1,SUM('wire calculator'!$C$46:$C$50))*(1+0.00323*(200-75))*'wire calculator'!$C$41)+IF('wire calculator'!$C$49=3,'chapter 9 table 9'!$D17*SIN(ACOS('wire calculator'!$C$41)),'chapter 9 table 9'!$C17*SIN(ACOS('wire calculator'!$C$41))))/1000*($C$42+$C$43)*(100/$C$53)</f>
        <v>#DIV/0!</v>
      </c>
      <c r="AF17" s="26" t="e">
        <f>$C$40*$C$36*((INDEX('chapter 9 table 9'!$E17:$G17,1,SUM('wire calculator'!$C$46:$C$50))*(1+0.00323*(250-75))*'wire calculator'!$C$41)+IF('wire calculator'!$C$49=3,'chapter 9 table 9'!$D17*SIN(ACOS('wire calculator'!$C$41)),'chapter 9 table 9'!$C17*SIN(ACOS('wire calculator'!$C$41))))/1000*($C$42+$C$43)*(100/$C$53)</f>
        <v>#DIV/0!</v>
      </c>
      <c r="AG17" s="3" t="e">
        <f>$C$40*$C$36*((INDEX('chapter 9 table 9'!$H17:$J17,1,SUM('wire calculator'!$C$46:$C$50))*(1+0.0033*(60-75))*'wire calculator'!$C$41)+IF('wire calculator'!$C$49=3,'chapter 9 table 9'!$D17*SIN(ACOS('wire calculator'!$C$41)),'chapter 9 table 9'!$C17*SIN(ACOS('wire calculator'!$C$41))))/1000*($C$42+$C$43)*(100/$C$53)</f>
        <v>#DIV/0!</v>
      </c>
      <c r="AH17" s="3" t="e">
        <f>$C$40*$C$36*((INDEX('chapter 9 table 9'!$H17:$J17,1,SUM('wire calculator'!$C$46:$C$50))*(1+0.0033*(75-75))*'wire calculator'!$C$41)+IF('wire calculator'!$C$49=3,'chapter 9 table 9'!$D17*SIN(ACOS('wire calculator'!$C$41)),'chapter 9 table 9'!$C17*SIN(ACOS('wire calculator'!$C$41))))/1000*($C$42+$C$43)*(100/$C$53)</f>
        <v>#DIV/0!</v>
      </c>
      <c r="AI17" s="3" t="e">
        <f>$C$40*$C$36*((INDEX('chapter 9 table 9'!$H17:$J17,1,SUM('wire calculator'!$C$46:$C$50))*(1+0.0033*(90-75))*'wire calculator'!$C$41)+IF('wire calculator'!$C$49=3,'chapter 9 table 9'!$D17*SIN(ACOS('wire calculator'!$C$41)),'chapter 9 table 9'!$C17*SIN(ACOS('wire calculator'!$C$41))))/1000*($C$42+$C$43)*(100/$C$53)</f>
        <v>#DIV/0!</v>
      </c>
      <c r="AJ17" s="43" t="e">
        <f>$C$40*$C$36*((INDEX('chapter 9 table 9'!$H17:$J17,1,SUM('wire calculator'!$C$46:$C$50))*(1+0.0033*(150-75))*'wire calculator'!$C$41)+IF('wire calculator'!$C$49=3,'chapter 9 table 9'!$D17*SIN(ACOS('wire calculator'!$C$41)),'chapter 9 table 9'!$C17*SIN(ACOS('wire calculator'!$C$41))))/1000*($C$42+$C$43)*(100/$C$53)</f>
        <v>#DIV/0!</v>
      </c>
    </row>
    <row r="18" spans="1:44" x14ac:dyDescent="0.25">
      <c r="A18" s="31"/>
      <c r="B18" s="32" t="s">
        <v>48</v>
      </c>
      <c r="C18" s="63">
        <f>SQRT((C16-((UI!$E$9-32)/1.8))/(C16-30))</f>
        <v>1</v>
      </c>
      <c r="D18" s="68"/>
      <c r="E18" s="1" t="str">
        <f>'310.15(B)(16)'!A18</f>
        <v>2/0</v>
      </c>
      <c r="F18" s="33">
        <f>VLOOKUP(E18,'Trade Size'!$A$1:$B$30,2,FALSE)</f>
        <v>133100</v>
      </c>
      <c r="G18" s="22">
        <f>'310.15(B)(16)'!C18*'wire calculator'!$C$18*'wire calculator'!$C$20</f>
        <v>145</v>
      </c>
      <c r="H18" s="22">
        <f>'310.15(B)(16)'!D18*'wire calculator'!$C$18*'wire calculator'!$C$20</f>
        <v>175</v>
      </c>
      <c r="I18" s="22">
        <f>'310.15(B)(16)'!E18*'wire calculator'!$C$18*'wire calculator'!$C$20</f>
        <v>195</v>
      </c>
      <c r="J18" s="22">
        <f>'310.15(B)(18)'!C18*'wire calculator'!$C$19*'wire calculator'!$C$20</f>
        <v>284.60724817594809</v>
      </c>
      <c r="K18" s="22">
        <f>'310.15(B)(18)'!D18*'wire calculator'!$C$19*'wire calculator'!$C$20</f>
        <v>294.81228894719726</v>
      </c>
      <c r="L18" s="35">
        <f>'310.15(B)(18)'!E18*'wire calculator'!$C$19*'wire calculator'!$C$20</f>
        <v>309.55290339455712</v>
      </c>
      <c r="M18" s="22">
        <f>'310.15(B)(16)'!F18*'wire calculator'!$C$18*'wire calculator'!$C$20</f>
        <v>115</v>
      </c>
      <c r="N18" s="22">
        <f>'310.15(B)(16)'!G18*'wire calculator'!$C$18*'wire calculator'!$C$20</f>
        <v>135</v>
      </c>
      <c r="O18" s="22">
        <f>'310.15(B)(16)'!H18*'wire calculator'!$C$18*'wire calculator'!$C$20</f>
        <v>150</v>
      </c>
      <c r="P18" s="35">
        <f>'310.15(B)(18)'!F18*'wire calculator'!$C$19*'wire calculator'!$C$20</f>
        <v>224.51089696748099</v>
      </c>
      <c r="Q18" s="22">
        <f>'310.15(B)(17)'!C18*'wire calculator'!$C$18*'wire calculator'!$C$20</f>
        <v>225</v>
      </c>
      <c r="R18" s="22">
        <f>'310.15(B)(17)'!D18*'wire calculator'!$C$18*'wire calculator'!$C$20</f>
        <v>265</v>
      </c>
      <c r="S18" s="22">
        <f>'310.15(B)(17)'!E18*'wire calculator'!$C$18*'wire calculator'!$C$20</f>
        <v>300</v>
      </c>
      <c r="T18" s="22">
        <f>'310.15(B)(19)'!C18*'wire calculator'!$C$19*'wire calculator'!$C$20</f>
        <v>442.21843342079586</v>
      </c>
      <c r="U18" s="22">
        <f>'310.15(B)(19)'!D18*'wire calculator'!$C$19*'wire calculator'!$C$20</f>
        <v>529.52822668592739</v>
      </c>
      <c r="V18" s="35">
        <f>'310.15(B)(19)'!E18*'wire calculator'!$C$19*'wire calculator'!$C$20</f>
        <v>670.13101064535988</v>
      </c>
      <c r="W18">
        <f>'310.15(B)(17)'!F18*'wire calculator'!$C$18*'wire calculator'!$C$20</f>
        <v>175</v>
      </c>
      <c r="X18">
        <f>'310.15(B)(17)'!G18*'wire calculator'!$C$18*'wire calculator'!$C$20</f>
        <v>210</v>
      </c>
      <c r="Y18">
        <f>'310.15(B)(17)'!H18*'wire calculator'!$C$18*'wire calculator'!$C$20</f>
        <v>235</v>
      </c>
      <c r="Z18" s="35">
        <f>'310.15(B)(19)'!F18*'wire calculator'!$C$19*'wire calculator'!$C$20</f>
        <v>345.8374928034429</v>
      </c>
      <c r="AA18" s="3" t="e">
        <f>$C$40*$C$36*((INDEX('chapter 9 table 9'!$E18:$G18,1,SUM('wire calculator'!$C$46:$C$50))*(1+0.00323*(60-75))*'wire calculator'!$C$41)+IF('wire calculator'!$C$49=3,'chapter 9 table 9'!$D18*SIN(ACOS('wire calculator'!$C$41)),'chapter 9 table 9'!$C18*SIN(ACOS('wire calculator'!$C$41))))/1000*($C$42+$C$43)*(100/$C$53)</f>
        <v>#DIV/0!</v>
      </c>
      <c r="AB18" s="26" t="e">
        <f>$C$40*$C$36*((INDEX('chapter 9 table 9'!$E18:$G18,1,SUM('wire calculator'!$C$46:$C$50))*(1+0.00323*(75-75))*'wire calculator'!$C$41)+IF('wire calculator'!$C$49=3,'chapter 9 table 9'!$D18*SIN(ACOS('wire calculator'!$C$41)),'chapter 9 table 9'!$C18*SIN(ACOS('wire calculator'!$C$41))))/1000*($C$42+$C$43)*(100/$C$53)</f>
        <v>#DIV/0!</v>
      </c>
      <c r="AC18" s="26" t="e">
        <f>$C$40*$C$36*((INDEX('chapter 9 table 9'!$E18:$G18,1,SUM('wire calculator'!$C$46:$C$50))*(1+0.00323*(90-75))*'wire calculator'!$C$41)+IF('wire calculator'!$C$49=3,'chapter 9 table 9'!$D18*SIN(ACOS('wire calculator'!$C$41)),'chapter 9 table 9'!$C18*SIN(ACOS('wire calculator'!$C$41))))/1000*($C$42+$C$43)*(100/$C$53)</f>
        <v>#DIV/0!</v>
      </c>
      <c r="AD18" s="26" t="e">
        <f>$C$40*$C$36*((INDEX('chapter 9 table 9'!$E18:$G18,1,SUM('wire calculator'!$C$46:$C$50))*(1+0.00323*(150-75))*'wire calculator'!$C$41)+IF('wire calculator'!$C$49=3,'chapter 9 table 9'!$D18*SIN(ACOS('wire calculator'!$C$41)),'chapter 9 table 9'!$C18*SIN(ACOS('wire calculator'!$C$41))))/1000*($C$42+$C$43)*(100/$C$53)</f>
        <v>#DIV/0!</v>
      </c>
      <c r="AE18" s="26" t="e">
        <f>$C$40*$C$36*((INDEX('chapter 9 table 9'!$E18:$G18,1,SUM('wire calculator'!$C$46:$C$50))*(1+0.00323*(200-75))*'wire calculator'!$C$41)+IF('wire calculator'!$C$49=3,'chapter 9 table 9'!$D18*SIN(ACOS('wire calculator'!$C$41)),'chapter 9 table 9'!$C18*SIN(ACOS('wire calculator'!$C$41))))/1000*($C$42+$C$43)*(100/$C$53)</f>
        <v>#DIV/0!</v>
      </c>
      <c r="AF18" s="26" t="e">
        <f>$C$40*$C$36*((INDEX('chapter 9 table 9'!$E18:$G18,1,SUM('wire calculator'!$C$46:$C$50))*(1+0.00323*(250-75))*'wire calculator'!$C$41)+IF('wire calculator'!$C$49=3,'chapter 9 table 9'!$D18*SIN(ACOS('wire calculator'!$C$41)),'chapter 9 table 9'!$C18*SIN(ACOS('wire calculator'!$C$41))))/1000*($C$42+$C$43)*(100/$C$53)</f>
        <v>#DIV/0!</v>
      </c>
      <c r="AG18" s="3" t="e">
        <f>$C$40*$C$36*((INDEX('chapter 9 table 9'!$H18:$J18,1,SUM('wire calculator'!$C$46:$C$50))*(1+0.0033*(60-75))*'wire calculator'!$C$41)+IF('wire calculator'!$C$49=3,'chapter 9 table 9'!$D18*SIN(ACOS('wire calculator'!$C$41)),'chapter 9 table 9'!$C18*SIN(ACOS('wire calculator'!$C$41))))/1000*($C$42+$C$43)*(100/$C$53)</f>
        <v>#DIV/0!</v>
      </c>
      <c r="AH18" s="3" t="e">
        <f>$C$40*$C$36*((INDEX('chapter 9 table 9'!$H18:$J18,1,SUM('wire calculator'!$C$46:$C$50))*(1+0.0033*(75-75))*'wire calculator'!$C$41)+IF('wire calculator'!$C$49=3,'chapter 9 table 9'!$D18*SIN(ACOS('wire calculator'!$C$41)),'chapter 9 table 9'!$C18*SIN(ACOS('wire calculator'!$C$41))))/1000*($C$42+$C$43)*(100/$C$53)</f>
        <v>#DIV/0!</v>
      </c>
      <c r="AI18" s="3" t="e">
        <f>$C$40*$C$36*((INDEX('chapter 9 table 9'!$H18:$J18,1,SUM('wire calculator'!$C$46:$C$50))*(1+0.0033*(90-75))*'wire calculator'!$C$41)+IF('wire calculator'!$C$49=3,'chapter 9 table 9'!$D18*SIN(ACOS('wire calculator'!$C$41)),'chapter 9 table 9'!$C18*SIN(ACOS('wire calculator'!$C$41))))/1000*($C$42+$C$43)*(100/$C$53)</f>
        <v>#DIV/0!</v>
      </c>
      <c r="AJ18" s="43" t="e">
        <f>$C$40*$C$36*((INDEX('chapter 9 table 9'!$H18:$J18,1,SUM('wire calculator'!$C$46:$C$50))*(1+0.0033*(150-75))*'wire calculator'!$C$41)+IF('wire calculator'!$C$49=3,'chapter 9 table 9'!$D18*SIN(ACOS('wire calculator'!$C$41)),'chapter 9 table 9'!$C18*SIN(ACOS('wire calculator'!$C$41))))/1000*($C$42+$C$43)*(100/$C$53)</f>
        <v>#DIV/0!</v>
      </c>
    </row>
    <row r="19" spans="1:44" x14ac:dyDescent="0.25">
      <c r="A19" s="31"/>
      <c r="B19" s="32" t="s">
        <v>47</v>
      </c>
      <c r="C19" s="63">
        <f>SQRT((C16-((UI!$E$9-32)/1.8))/(C16-40))</f>
        <v>1.1338934190276817</v>
      </c>
      <c r="D19" s="68"/>
      <c r="E19" s="1" t="str">
        <f>'310.15(B)(16)'!A19</f>
        <v>1/0</v>
      </c>
      <c r="F19" s="33">
        <f>VLOOKUP(E19,'Trade Size'!$A$1:$B$30,2,FALSE)</f>
        <v>105600</v>
      </c>
      <c r="G19" s="22">
        <f>'310.15(B)(16)'!C19*'wire calculator'!$C$18*'wire calculator'!$C$20</f>
        <v>125</v>
      </c>
      <c r="H19" s="22">
        <f>'310.15(B)(16)'!D19*'wire calculator'!$C$18*'wire calculator'!$C$20</f>
        <v>150</v>
      </c>
      <c r="I19" s="22">
        <f>'310.15(B)(16)'!E19*'wire calculator'!$C$18*'wire calculator'!$C$20</f>
        <v>170</v>
      </c>
      <c r="J19" s="22">
        <f>'310.15(B)(18)'!C19*'wire calculator'!$C$19*'wire calculator'!$C$20</f>
        <v>243.78708509095156</v>
      </c>
      <c r="K19" s="22">
        <f>'310.15(B)(18)'!D19*'wire calculator'!$C$19*'wire calculator'!$C$20</f>
        <v>259.66159295733911</v>
      </c>
      <c r="L19" s="35">
        <f>'310.15(B)(18)'!E19*'wire calculator'!$C$19*'wire calculator'!$C$20</f>
        <v>276.66999424275434</v>
      </c>
      <c r="M19" s="22">
        <f>'310.15(B)(16)'!F19*'wire calculator'!$C$18*'wire calculator'!$C$20</f>
        <v>100</v>
      </c>
      <c r="N19" s="22">
        <f>'310.15(B)(16)'!G19*'wire calculator'!$C$18*'wire calculator'!$C$20</f>
        <v>120</v>
      </c>
      <c r="O19" s="22">
        <f>'310.15(B)(16)'!H19*'wire calculator'!$C$18*'wire calculator'!$C$20</f>
        <v>135</v>
      </c>
      <c r="P19" s="35">
        <f>'310.15(B)(18)'!F19*'wire calculator'!$C$19*'wire calculator'!$C$20</f>
        <v>191.62798781567821</v>
      </c>
      <c r="Q19" s="22">
        <f>'310.15(B)(17)'!C19*'wire calculator'!$C$18*'wire calculator'!$C$20</f>
        <v>195</v>
      </c>
      <c r="R19" s="22">
        <f>'310.15(B)(17)'!D19*'wire calculator'!$C$18*'wire calculator'!$C$20</f>
        <v>230</v>
      </c>
      <c r="S19" s="22">
        <f>'310.15(B)(17)'!E19*'wire calculator'!$C$18*'wire calculator'!$C$20</f>
        <v>260</v>
      </c>
      <c r="T19" s="22">
        <f>'310.15(B)(19)'!C19*'wire calculator'!$C$19*'wire calculator'!$C$20</f>
        <v>384.38986905038411</v>
      </c>
      <c r="U19" s="22">
        <f>'310.15(B)(19)'!D19*'wire calculator'!$C$19*'wire calculator'!$C$20</f>
        <v>452.42347419204498</v>
      </c>
      <c r="V19" s="35">
        <f>'310.15(B)(19)'!E19*'wire calculator'!$C$19*'wire calculator'!$C$20</f>
        <v>603.23129892272664</v>
      </c>
      <c r="W19">
        <f>'310.15(B)(17)'!F19*'wire calculator'!$C$18*'wire calculator'!$C$20</f>
        <v>150</v>
      </c>
      <c r="X19">
        <f>'310.15(B)(17)'!G19*'wire calculator'!$C$18*'wire calculator'!$C$20</f>
        <v>180</v>
      </c>
      <c r="Y19">
        <f>'310.15(B)(17)'!H19*'wire calculator'!$C$18*'wire calculator'!$C$20</f>
        <v>205</v>
      </c>
      <c r="Z19" s="35">
        <f>'310.15(B)(19)'!F19*'wire calculator'!$C$19*'wire calculator'!$C$20</f>
        <v>298.21396920428026</v>
      </c>
      <c r="AA19" s="3" t="e">
        <f>$C$40*$C$36*((INDEX('chapter 9 table 9'!$E19:$G19,1,SUM('wire calculator'!$C$46:$C$50))*(1+0.00323*(60-75))*'wire calculator'!$C$41)+IF('wire calculator'!$C$49=3,'chapter 9 table 9'!$D19*SIN(ACOS('wire calculator'!$C$41)),'chapter 9 table 9'!$C19*SIN(ACOS('wire calculator'!$C$41))))/1000*($C$42+$C$43)*(100/$C$53)</f>
        <v>#DIV/0!</v>
      </c>
      <c r="AB19" s="26" t="e">
        <f>$C$40*$C$36*((INDEX('chapter 9 table 9'!$E19:$G19,1,SUM('wire calculator'!$C$46:$C$50))*(1+0.00323*(75-75))*'wire calculator'!$C$41)+IF('wire calculator'!$C$49=3,'chapter 9 table 9'!$D19*SIN(ACOS('wire calculator'!$C$41)),'chapter 9 table 9'!$C19*SIN(ACOS('wire calculator'!$C$41))))/1000*($C$42+$C$43)*(100/$C$53)</f>
        <v>#DIV/0!</v>
      </c>
      <c r="AC19" s="26" t="e">
        <f>$C$40*$C$36*((INDEX('chapter 9 table 9'!$E19:$G19,1,SUM('wire calculator'!$C$46:$C$50))*(1+0.00323*(90-75))*'wire calculator'!$C$41)+IF('wire calculator'!$C$49=3,'chapter 9 table 9'!$D19*SIN(ACOS('wire calculator'!$C$41)),'chapter 9 table 9'!$C19*SIN(ACOS('wire calculator'!$C$41))))/1000*($C$42+$C$43)*(100/$C$53)</f>
        <v>#DIV/0!</v>
      </c>
      <c r="AD19" s="26" t="e">
        <f>$C$40*$C$36*((INDEX('chapter 9 table 9'!$E19:$G19,1,SUM('wire calculator'!$C$46:$C$50))*(1+0.00323*(150-75))*'wire calculator'!$C$41)+IF('wire calculator'!$C$49=3,'chapter 9 table 9'!$D19*SIN(ACOS('wire calculator'!$C$41)),'chapter 9 table 9'!$C19*SIN(ACOS('wire calculator'!$C$41))))/1000*($C$42+$C$43)*(100/$C$53)</f>
        <v>#DIV/0!</v>
      </c>
      <c r="AE19" s="26" t="e">
        <f>$C$40*$C$36*((INDEX('chapter 9 table 9'!$E19:$G19,1,SUM('wire calculator'!$C$46:$C$50))*(1+0.00323*(200-75))*'wire calculator'!$C$41)+IF('wire calculator'!$C$49=3,'chapter 9 table 9'!$D19*SIN(ACOS('wire calculator'!$C$41)),'chapter 9 table 9'!$C19*SIN(ACOS('wire calculator'!$C$41))))/1000*($C$42+$C$43)*(100/$C$53)</f>
        <v>#DIV/0!</v>
      </c>
      <c r="AF19" s="26" t="e">
        <f>$C$40*$C$36*((INDEX('chapter 9 table 9'!$E19:$G19,1,SUM('wire calculator'!$C$46:$C$50))*(1+0.00323*(250-75))*'wire calculator'!$C$41)+IF('wire calculator'!$C$49=3,'chapter 9 table 9'!$D19*SIN(ACOS('wire calculator'!$C$41)),'chapter 9 table 9'!$C19*SIN(ACOS('wire calculator'!$C$41))))/1000*($C$42+$C$43)*(100/$C$53)</f>
        <v>#DIV/0!</v>
      </c>
      <c r="AG19" s="3" t="e">
        <f>$C$40*$C$36*((INDEX('chapter 9 table 9'!$H19:$J19,1,SUM('wire calculator'!$C$46:$C$50))*(1+0.0033*(60-75))*'wire calculator'!$C$41)+IF('wire calculator'!$C$49=3,'chapter 9 table 9'!$D19*SIN(ACOS('wire calculator'!$C$41)),'chapter 9 table 9'!$C19*SIN(ACOS('wire calculator'!$C$41))))/1000*($C$42+$C$43)*(100/$C$53)</f>
        <v>#DIV/0!</v>
      </c>
      <c r="AH19" s="3" t="e">
        <f>$C$40*$C$36*((INDEX('chapter 9 table 9'!$H19:$J19,1,SUM('wire calculator'!$C$46:$C$50))*(1+0.0033*(75-75))*'wire calculator'!$C$41)+IF('wire calculator'!$C$49=3,'chapter 9 table 9'!$D19*SIN(ACOS('wire calculator'!$C$41)),'chapter 9 table 9'!$C19*SIN(ACOS('wire calculator'!$C$41))))/1000*($C$42+$C$43)*(100/$C$53)</f>
        <v>#DIV/0!</v>
      </c>
      <c r="AI19" s="3" t="e">
        <f>$C$40*$C$36*((INDEX('chapter 9 table 9'!$H19:$J19,1,SUM('wire calculator'!$C$46:$C$50))*(1+0.0033*(90-75))*'wire calculator'!$C$41)+IF('wire calculator'!$C$49=3,'chapter 9 table 9'!$D19*SIN(ACOS('wire calculator'!$C$41)),'chapter 9 table 9'!$C19*SIN(ACOS('wire calculator'!$C$41))))/1000*($C$42+$C$43)*(100/$C$53)</f>
        <v>#DIV/0!</v>
      </c>
      <c r="AJ19" s="43" t="e">
        <f>$C$40*$C$36*((INDEX('chapter 9 table 9'!$H19:$J19,1,SUM('wire calculator'!$C$46:$C$50))*(1+0.0033*(150-75))*'wire calculator'!$C$41)+IF('wire calculator'!$C$49=3,'chapter 9 table 9'!$D19*SIN(ACOS('wire calculator'!$C$41)),'chapter 9 table 9'!$C19*SIN(ACOS('wire calculator'!$C$41))))/1000*($C$42+$C$43)*(100/$C$53)</f>
        <v>#DIV/0!</v>
      </c>
    </row>
    <row r="20" spans="1:44" x14ac:dyDescent="0.25">
      <c r="A20" s="31"/>
      <c r="B20" s="32" t="s">
        <v>37</v>
      </c>
      <c r="C20" s="63">
        <f>VLOOKUP(UI!E14,'310.15(b)(3)(a)'!A1:B7,2,FALSE)</f>
        <v>1</v>
      </c>
      <c r="D20" s="68"/>
      <c r="E20" s="1">
        <f>'310.15(B)(16)'!A20</f>
        <v>1</v>
      </c>
      <c r="F20" s="33">
        <f>VLOOKUP(E20,'Trade Size'!$A$1:$B$30,2,FALSE)</f>
        <v>83690</v>
      </c>
      <c r="G20" s="22">
        <f>'310.15(B)(16)'!C20*'wire calculator'!$C$18*'wire calculator'!$C$20</f>
        <v>110</v>
      </c>
      <c r="H20" s="22">
        <f>'310.15(B)(16)'!D20*'wire calculator'!$C$18*'wire calculator'!$C$20</f>
        <v>130</v>
      </c>
      <c r="I20" s="22">
        <f>'310.15(B)(16)'!E20*'wire calculator'!$C$18*'wire calculator'!$C$20</f>
        <v>145</v>
      </c>
      <c r="J20" s="22">
        <f>'310.15(B)(18)'!C20*'wire calculator'!$C$19*'wire calculator'!$C$20</f>
        <v>210.90417593914879</v>
      </c>
      <c r="K20" s="22">
        <f>'310.15(B)(18)'!D20*'wire calculator'!$C$19*'wire calculator'!$C$20</f>
        <v>223.3770035484533</v>
      </c>
      <c r="L20" s="35">
        <f>'310.15(B)(18)'!E20*'wire calculator'!$C$19*'wire calculator'!$C$20</f>
        <v>243.78708509095156</v>
      </c>
      <c r="M20" s="22">
        <f>'310.15(B)(16)'!F20*'wire calculator'!$C$18*'wire calculator'!$C$20</f>
        <v>85</v>
      </c>
      <c r="N20" s="22">
        <f>'310.15(B)(16)'!G20*'wire calculator'!$C$18*'wire calculator'!$C$20</f>
        <v>100</v>
      </c>
      <c r="O20" s="22">
        <f>'310.15(B)(16)'!H20*'wire calculator'!$C$18*'wire calculator'!$C$20</f>
        <v>115</v>
      </c>
      <c r="P20" s="35">
        <f>'310.15(B)(18)'!F20*'wire calculator'!$C$19*'wire calculator'!$C$20</f>
        <v>164.41454575901383</v>
      </c>
      <c r="Q20" s="22">
        <f>'310.15(B)(17)'!C20*'wire calculator'!$C$18*'wire calculator'!$C$20</f>
        <v>165</v>
      </c>
      <c r="R20" s="22">
        <f>'310.15(B)(17)'!D20*'wire calculator'!$C$18*'wire calculator'!$C$20</f>
        <v>195</v>
      </c>
      <c r="S20" s="22">
        <f>'310.15(B)(17)'!E20*'wire calculator'!$C$18*'wire calculator'!$C$20</f>
        <v>220</v>
      </c>
      <c r="T20" s="22">
        <f>'310.15(B)(19)'!C20*'wire calculator'!$C$19*'wire calculator'!$C$20</f>
        <v>332.23077177511072</v>
      </c>
      <c r="U20" s="22">
        <f>'310.15(B)(19)'!D20*'wire calculator'!$C$19*'wire calculator'!$C$20</f>
        <v>390.05933614552248</v>
      </c>
      <c r="V20" s="35">
        <f>'310.15(B)(19)'!E20*'wire calculator'!$C$19*'wire calculator'!$C$20</f>
        <v>498.91310437217993</v>
      </c>
      <c r="W20">
        <f>'310.15(B)(17)'!F20*'wire calculator'!$C$18*'wire calculator'!$C$20</f>
        <v>130</v>
      </c>
      <c r="X20">
        <f>'310.15(B)(17)'!G20*'wire calculator'!$C$18*'wire calculator'!$C$20</f>
        <v>155</v>
      </c>
      <c r="Y20">
        <f>'310.15(B)(17)'!H20*'wire calculator'!$C$18*'wire calculator'!$C$20</f>
        <v>175</v>
      </c>
      <c r="Z20" s="35">
        <f>'310.15(B)(19)'!F20*'wire calculator'!$C$19*'wire calculator'!$C$20</f>
        <v>258.52769953831142</v>
      </c>
      <c r="AA20" s="3" t="e">
        <f>$C$40*$C$36*((INDEX('chapter 9 table 9'!$E20:$G20,1,SUM('wire calculator'!$C$46:$C$50))*(1+0.00323*(60-75))*'wire calculator'!$C$41)+IF('wire calculator'!$C$49=3,'chapter 9 table 9'!$D20*SIN(ACOS('wire calculator'!$C$41)),'chapter 9 table 9'!$C20*SIN(ACOS('wire calculator'!$C$41))))/1000*($C$42+$C$43)*(100/$C$53)</f>
        <v>#DIV/0!</v>
      </c>
      <c r="AB20" s="26" t="e">
        <f>$C$40*$C$36*((INDEX('chapter 9 table 9'!$E20:$G20,1,SUM('wire calculator'!$C$46:$C$50))*(1+0.00323*(75-75))*'wire calculator'!$C$41)+IF('wire calculator'!$C$49=3,'chapter 9 table 9'!$D20*SIN(ACOS('wire calculator'!$C$41)),'chapter 9 table 9'!$C20*SIN(ACOS('wire calculator'!$C$41))))/1000*($C$42+$C$43)*(100/$C$53)</f>
        <v>#DIV/0!</v>
      </c>
      <c r="AC20" s="26" t="e">
        <f>$C$40*$C$36*((INDEX('chapter 9 table 9'!$E20:$G20,1,SUM('wire calculator'!$C$46:$C$50))*(1+0.00323*(90-75))*'wire calculator'!$C$41)+IF('wire calculator'!$C$49=3,'chapter 9 table 9'!$D20*SIN(ACOS('wire calculator'!$C$41)),'chapter 9 table 9'!$C20*SIN(ACOS('wire calculator'!$C$41))))/1000*($C$42+$C$43)*(100/$C$53)</f>
        <v>#DIV/0!</v>
      </c>
      <c r="AD20" s="26" t="e">
        <f>$C$40*$C$36*((INDEX('chapter 9 table 9'!$E20:$G20,1,SUM('wire calculator'!$C$46:$C$50))*(1+0.00323*(150-75))*'wire calculator'!$C$41)+IF('wire calculator'!$C$49=3,'chapter 9 table 9'!$D20*SIN(ACOS('wire calculator'!$C$41)),'chapter 9 table 9'!$C20*SIN(ACOS('wire calculator'!$C$41))))/1000*($C$42+$C$43)*(100/$C$53)</f>
        <v>#DIV/0!</v>
      </c>
      <c r="AE20" s="26" t="e">
        <f>$C$40*$C$36*((INDEX('chapter 9 table 9'!$E20:$G20,1,SUM('wire calculator'!$C$46:$C$50))*(1+0.00323*(200-75))*'wire calculator'!$C$41)+IF('wire calculator'!$C$49=3,'chapter 9 table 9'!$D20*SIN(ACOS('wire calculator'!$C$41)),'chapter 9 table 9'!$C20*SIN(ACOS('wire calculator'!$C$41))))/1000*($C$42+$C$43)*(100/$C$53)</f>
        <v>#DIV/0!</v>
      </c>
      <c r="AF20" s="26" t="e">
        <f>$C$40*$C$36*((INDEX('chapter 9 table 9'!$E20:$G20,1,SUM('wire calculator'!$C$46:$C$50))*(1+0.00323*(250-75))*'wire calculator'!$C$41)+IF('wire calculator'!$C$49=3,'chapter 9 table 9'!$D20*SIN(ACOS('wire calculator'!$C$41)),'chapter 9 table 9'!$C20*SIN(ACOS('wire calculator'!$C$41))))/1000*($C$42+$C$43)*(100/$C$53)</f>
        <v>#DIV/0!</v>
      </c>
      <c r="AG20" s="3" t="e">
        <f>$C$40*$C$36*((INDEX('chapter 9 table 9'!$H20:$J20,1,SUM('wire calculator'!$C$46:$C$50))*(1+0.0033*(60-75))*'wire calculator'!$C$41)+IF('wire calculator'!$C$49=3,'chapter 9 table 9'!$D20*SIN(ACOS('wire calculator'!$C$41)),'chapter 9 table 9'!$C20*SIN(ACOS('wire calculator'!$C$41))))/1000*($C$42+$C$43)*(100/$C$53)</f>
        <v>#DIV/0!</v>
      </c>
      <c r="AH20" s="3" t="e">
        <f>$C$40*$C$36*((INDEX('chapter 9 table 9'!$H20:$J20,1,SUM('wire calculator'!$C$46:$C$50))*(1+0.0033*(75-75))*'wire calculator'!$C$41)+IF('wire calculator'!$C$49=3,'chapter 9 table 9'!$D20*SIN(ACOS('wire calculator'!$C$41)),'chapter 9 table 9'!$C20*SIN(ACOS('wire calculator'!$C$41))))/1000*($C$42+$C$43)*(100/$C$53)</f>
        <v>#DIV/0!</v>
      </c>
      <c r="AI20" s="3" t="e">
        <f>$C$40*$C$36*((INDEX('chapter 9 table 9'!$H20:$J20,1,SUM('wire calculator'!$C$46:$C$50))*(1+0.0033*(90-75))*'wire calculator'!$C$41)+IF('wire calculator'!$C$49=3,'chapter 9 table 9'!$D20*SIN(ACOS('wire calculator'!$C$41)),'chapter 9 table 9'!$C20*SIN(ACOS('wire calculator'!$C$41))))/1000*($C$42+$C$43)*(100/$C$53)</f>
        <v>#DIV/0!</v>
      </c>
      <c r="AJ20" s="43" t="e">
        <f>$C$40*$C$36*((INDEX('chapter 9 table 9'!$H20:$J20,1,SUM('wire calculator'!$C$46:$C$50))*(1+0.0033*(150-75))*'wire calculator'!$C$41)+IF('wire calculator'!$C$49=3,'chapter 9 table 9'!$D20*SIN(ACOS('wire calculator'!$C$41)),'chapter 9 table 9'!$C20*SIN(ACOS('wire calculator'!$C$41))))/1000*($C$42+$C$43)*(100/$C$53)</f>
        <v>#DIV/0!</v>
      </c>
    </row>
    <row r="21" spans="1:44" x14ac:dyDescent="0.25">
      <c r="A21" s="81" t="s">
        <v>91</v>
      </c>
      <c r="B21" s="81"/>
      <c r="C21" s="81"/>
      <c r="D21" s="83"/>
      <c r="E21" s="1">
        <f>'310.15(B)(16)'!A21</f>
        <v>2</v>
      </c>
      <c r="F21" s="33">
        <f>VLOOKUP(E21,'Trade Size'!$A$1:$B$30,2,FALSE)</f>
        <v>66360</v>
      </c>
      <c r="G21" s="22">
        <f>'310.15(B)(16)'!C21*'wire calculator'!$C$18*'wire calculator'!$C$20</f>
        <v>95</v>
      </c>
      <c r="H21" s="22">
        <f>'310.15(B)(16)'!D21*'wire calculator'!$C$18*'wire calculator'!$C$20</f>
        <v>115</v>
      </c>
      <c r="I21" s="22">
        <f>'310.15(B)(16)'!E21*'wire calculator'!$C$18*'wire calculator'!$C$20</f>
        <v>130</v>
      </c>
      <c r="J21" s="22">
        <f>'310.15(B)(18)'!C21*'wire calculator'!$C$19*'wire calculator'!$C$20</f>
        <v>181.42294704442907</v>
      </c>
      <c r="K21" s="22">
        <f>'310.15(B)(18)'!D21*'wire calculator'!$C$19*'wire calculator'!$C$20</f>
        <v>193.89577465373358</v>
      </c>
      <c r="L21" s="35">
        <f>'310.15(B)(18)'!E21*'wire calculator'!$C$19*'wire calculator'!$C$20</f>
        <v>216.57364303428722</v>
      </c>
      <c r="M21" s="22">
        <f>'310.15(B)(16)'!F21*'wire calculator'!$C$18*'wire calculator'!$C$20</f>
        <v>75</v>
      </c>
      <c r="N21" s="22">
        <f>'310.15(B)(16)'!G21*'wire calculator'!$C$18*'wire calculator'!$C$20</f>
        <v>90</v>
      </c>
      <c r="O21" s="22">
        <f>'310.15(B)(16)'!H21*'wire calculator'!$C$18*'wire calculator'!$C$20</f>
        <v>100</v>
      </c>
      <c r="P21" s="35">
        <f>'310.15(B)(18)'!F21*'wire calculator'!$C$19*'wire calculator'!$C$20</f>
        <v>140.60278395943254</v>
      </c>
      <c r="Q21" s="22">
        <f>'310.15(B)(17)'!C21*'wire calculator'!$C$18*'wire calculator'!$C$20</f>
        <v>140</v>
      </c>
      <c r="R21" s="22">
        <f>'310.15(B)(17)'!D21*'wire calculator'!$C$18*'wire calculator'!$C$20</f>
        <v>170</v>
      </c>
      <c r="S21" s="22">
        <f>'310.15(B)(17)'!E21*'wire calculator'!$C$18*'wire calculator'!$C$20</f>
        <v>190</v>
      </c>
      <c r="T21" s="22">
        <f>'310.15(B)(19)'!C21*'wire calculator'!$C$19*'wire calculator'!$C$20</f>
        <v>289.14282185205883</v>
      </c>
      <c r="U21" s="22">
        <f>'310.15(B)(19)'!D21*'wire calculator'!$C$19*'wire calculator'!$C$20</f>
        <v>332.23077177511072</v>
      </c>
      <c r="V21" s="35">
        <f>'310.15(B)(19)'!E21*'wire calculator'!$C$19*'wire calculator'!$C$20</f>
        <v>432.01339264954674</v>
      </c>
      <c r="W21">
        <f>'310.15(B)(17)'!F21*'wire calculator'!$C$18*'wire calculator'!$C$20</f>
        <v>110</v>
      </c>
      <c r="X21">
        <f>'310.15(B)(17)'!G21*'wire calculator'!$C$18*'wire calculator'!$C$20</f>
        <v>135</v>
      </c>
      <c r="Y21">
        <f>'310.15(B)(17)'!H21*'wire calculator'!$C$18*'wire calculator'!$C$20</f>
        <v>150</v>
      </c>
      <c r="Z21" s="35">
        <f>'310.15(B)(19)'!F21*'wire calculator'!$C$19*'wire calculator'!$C$20</f>
        <v>224.51089696748099</v>
      </c>
      <c r="AA21" s="3" t="e">
        <f>$C$40*$C$36*((INDEX('chapter 9 table 9'!$E21:$G21,1,SUM('wire calculator'!$C$46:$C$50))*(1+0.00323*(60-75))*'wire calculator'!$C$41)+IF('wire calculator'!$C$49=3,'chapter 9 table 9'!$D21*SIN(ACOS('wire calculator'!$C$41)),'chapter 9 table 9'!$C21*SIN(ACOS('wire calculator'!$C$41))))/1000*($C$42+$C$43)*(100/$C$53)</f>
        <v>#DIV/0!</v>
      </c>
      <c r="AB21" s="26" t="e">
        <f>$C$40*$C$36*((INDEX('chapter 9 table 9'!$E21:$G21,1,SUM('wire calculator'!$C$46:$C$50))*(1+0.00323*(75-75))*'wire calculator'!$C$41)+IF('wire calculator'!$C$49=3,'chapter 9 table 9'!$D21*SIN(ACOS('wire calculator'!$C$41)),'chapter 9 table 9'!$C21*SIN(ACOS('wire calculator'!$C$41))))/1000*($C$42+$C$43)*(100/$C$53)</f>
        <v>#DIV/0!</v>
      </c>
      <c r="AC21" s="26" t="e">
        <f>$C$40*$C$36*((INDEX('chapter 9 table 9'!$E21:$G21,1,SUM('wire calculator'!$C$46:$C$50))*(1+0.00323*(90-75))*'wire calculator'!$C$41)+IF('wire calculator'!$C$49=3,'chapter 9 table 9'!$D21*SIN(ACOS('wire calculator'!$C$41)),'chapter 9 table 9'!$C21*SIN(ACOS('wire calculator'!$C$41))))/1000*($C$42+$C$43)*(100/$C$53)</f>
        <v>#DIV/0!</v>
      </c>
      <c r="AD21" s="26" t="e">
        <f>$C$40*$C$36*((INDEX('chapter 9 table 9'!$E21:$G21,1,SUM('wire calculator'!$C$46:$C$50))*(1+0.00323*(150-75))*'wire calculator'!$C$41)+IF('wire calculator'!$C$49=3,'chapter 9 table 9'!$D21*SIN(ACOS('wire calculator'!$C$41)),'chapter 9 table 9'!$C21*SIN(ACOS('wire calculator'!$C$41))))/1000*($C$42+$C$43)*(100/$C$53)</f>
        <v>#DIV/0!</v>
      </c>
      <c r="AE21" s="26" t="e">
        <f>$C$40*$C$36*((INDEX('chapter 9 table 9'!$E21:$G21,1,SUM('wire calculator'!$C$46:$C$50))*(1+0.00323*(200-75))*'wire calculator'!$C$41)+IF('wire calculator'!$C$49=3,'chapter 9 table 9'!$D21*SIN(ACOS('wire calculator'!$C$41)),'chapter 9 table 9'!$C21*SIN(ACOS('wire calculator'!$C$41))))/1000*($C$42+$C$43)*(100/$C$53)</f>
        <v>#DIV/0!</v>
      </c>
      <c r="AF21" s="26" t="e">
        <f>$C$40*$C$36*((INDEX('chapter 9 table 9'!$E21:$G21,1,SUM('wire calculator'!$C$46:$C$50))*(1+0.00323*(250-75))*'wire calculator'!$C$41)+IF('wire calculator'!$C$49=3,'chapter 9 table 9'!$D21*SIN(ACOS('wire calculator'!$C$41)),'chapter 9 table 9'!$C21*SIN(ACOS('wire calculator'!$C$41))))/1000*($C$42+$C$43)*(100/$C$53)</f>
        <v>#DIV/0!</v>
      </c>
      <c r="AG21" s="3" t="e">
        <f>$C$40*$C$36*((INDEX('chapter 9 table 9'!$H21:$J21,1,SUM('wire calculator'!$C$46:$C$50))*(1+0.0033*(60-75))*'wire calculator'!$C$41)+IF('wire calculator'!$C$49=3,'chapter 9 table 9'!$D21*SIN(ACOS('wire calculator'!$C$41)),'chapter 9 table 9'!$C21*SIN(ACOS('wire calculator'!$C$41))))/1000*($C$42+$C$43)*(100/$C$53)</f>
        <v>#DIV/0!</v>
      </c>
      <c r="AH21" s="3" t="e">
        <f>$C$40*$C$36*((INDEX('chapter 9 table 9'!$H21:$J21,1,SUM('wire calculator'!$C$46:$C$50))*(1+0.0033*(75-75))*'wire calculator'!$C$41)+IF('wire calculator'!$C$49=3,'chapter 9 table 9'!$D21*SIN(ACOS('wire calculator'!$C$41)),'chapter 9 table 9'!$C21*SIN(ACOS('wire calculator'!$C$41))))/1000*($C$42+$C$43)*(100/$C$53)</f>
        <v>#DIV/0!</v>
      </c>
      <c r="AI21" s="3" t="e">
        <f>$C$40*$C$36*((INDEX('chapter 9 table 9'!$H21:$J21,1,SUM('wire calculator'!$C$46:$C$50))*(1+0.0033*(90-75))*'wire calculator'!$C$41)+IF('wire calculator'!$C$49=3,'chapter 9 table 9'!$D21*SIN(ACOS('wire calculator'!$C$41)),'chapter 9 table 9'!$C21*SIN(ACOS('wire calculator'!$C$41))))/1000*($C$42+$C$43)*(100/$C$53)</f>
        <v>#DIV/0!</v>
      </c>
      <c r="AJ21" s="43" t="e">
        <f>$C$40*$C$36*((INDEX('chapter 9 table 9'!$H21:$J21,1,SUM('wire calculator'!$C$46:$C$50))*(1+0.0033*(150-75))*'wire calculator'!$C$41)+IF('wire calculator'!$C$49=3,'chapter 9 table 9'!$D21*SIN(ACOS('wire calculator'!$C$41)),'chapter 9 table 9'!$C21*SIN(ACOS('wire calculator'!$C$41))))/1000*($C$42+$C$43)*(100/$C$53)</f>
        <v>#DIV/0!</v>
      </c>
    </row>
    <row r="22" spans="1:44" x14ac:dyDescent="0.25">
      <c r="A22" s="31"/>
      <c r="B22" s="31"/>
      <c r="C22" s="31"/>
      <c r="D22" s="68"/>
      <c r="E22" s="1">
        <f>'310.15(B)(16)'!A22</f>
        <v>3</v>
      </c>
      <c r="F22" s="33">
        <f>VLOOKUP(E22,'Trade Size'!$A$1:$B$30,2,FALSE)</f>
        <v>52620</v>
      </c>
      <c r="G22" s="22">
        <f>'310.15(B)(16)'!C22*'wire calculator'!$C$18*'wire calculator'!$C$20</f>
        <v>85</v>
      </c>
      <c r="H22" s="22">
        <f>'310.15(B)(16)'!D22*'wire calculator'!$C$18*'wire calculator'!$C$20</f>
        <v>100</v>
      </c>
      <c r="I22" s="22">
        <f>'310.15(B)(16)'!E22*'wire calculator'!$C$18*'wire calculator'!$C$20</f>
        <v>115</v>
      </c>
      <c r="J22" s="22">
        <f>'310.15(B)(18)'!C22*'wire calculator'!$C$19*'wire calculator'!$C$20</f>
        <v>162.14675892095849</v>
      </c>
      <c r="K22" s="22">
        <f>'310.15(B)(18)'!D22*'wire calculator'!$C$19*'wire calculator'!$C$20</f>
        <v>172.35179969220761</v>
      </c>
      <c r="L22" s="35">
        <f>'310.15(B)(18)'!E22*'wire calculator'!$C$19*'wire calculator'!$C$20</f>
        <v>188.22630755859515</v>
      </c>
      <c r="M22" s="22">
        <f>'310.15(B)(16)'!F22*'wire calculator'!$C$18*'wire calculator'!$C$20</f>
        <v>65</v>
      </c>
      <c r="N22" s="22">
        <f>'310.15(B)(16)'!G22*'wire calculator'!$C$18*'wire calculator'!$C$20</f>
        <v>75</v>
      </c>
      <c r="O22" s="22">
        <f>'310.15(B)(16)'!H22*'wire calculator'!$C$18*'wire calculator'!$C$20</f>
        <v>85</v>
      </c>
      <c r="P22" s="35">
        <f>'310.15(B)(18)'!F22*'wire calculator'!$C$19*'wire calculator'!$C$20</f>
        <v>123.59438267401731</v>
      </c>
      <c r="Q22" s="22">
        <f>'310.15(B)(17)'!C22*'wire calculator'!$C$18*'wire calculator'!$C$20</f>
        <v>120</v>
      </c>
      <c r="R22" s="22">
        <f>'310.15(B)(17)'!D22*'wire calculator'!$C$18*'wire calculator'!$C$20</f>
        <v>145</v>
      </c>
      <c r="S22" s="22">
        <f>'310.15(B)(17)'!E22*'wire calculator'!$C$18*'wire calculator'!$C$20</f>
        <v>165</v>
      </c>
      <c r="T22" s="22">
        <f>'310.15(B)(19)'!C22*'wire calculator'!$C$19*'wire calculator'!$C$20</f>
        <v>242.65319167192388</v>
      </c>
      <c r="U22" s="22">
        <f>'310.15(B)(19)'!D22*'wire calculator'!$C$19*'wire calculator'!$C$20</f>
        <v>285.74114159497577</v>
      </c>
      <c r="V22" s="35">
        <f>'310.15(B)(19)'!E22*'wire calculator'!$C$19*'wire calculator'!$C$20</f>
        <v>370.78314802205193</v>
      </c>
      <c r="W22">
        <f>'310.15(B)(17)'!F22*'wire calculator'!$C$18*'wire calculator'!$C$20</f>
        <v>95</v>
      </c>
      <c r="X22">
        <f>'310.15(B)(17)'!G22*'wire calculator'!$C$18*'wire calculator'!$C$20</f>
        <v>115</v>
      </c>
      <c r="Y22">
        <f>'310.15(B)(17)'!H22*'wire calculator'!$C$18*'wire calculator'!$C$20</f>
        <v>130</v>
      </c>
      <c r="Z22" s="35">
        <f>'310.15(B)(19)'!F22*'wire calculator'!$C$19*'wire calculator'!$C$20</f>
        <v>192.7618812347059</v>
      </c>
      <c r="AA22" s="3" t="e">
        <f>$C$40*$C$36*((INDEX('chapter 9 table 9'!$E22:$G22,1,SUM('wire calculator'!$C$46:$C$50))*(1+0.00323*(60-75))*'wire calculator'!$C$41)+IF('wire calculator'!$C$49=3,'chapter 9 table 9'!$D22*SIN(ACOS('wire calculator'!$C$41)),'chapter 9 table 9'!$C22*SIN(ACOS('wire calculator'!$C$41))))/1000*($C$42+$C$43)*(100/$C$53)</f>
        <v>#DIV/0!</v>
      </c>
      <c r="AB22" s="26" t="e">
        <f>$C$40*$C$36*((INDEX('chapter 9 table 9'!$E22:$G22,1,SUM('wire calculator'!$C$46:$C$50))*(1+0.00323*(75-75))*'wire calculator'!$C$41)+IF('wire calculator'!$C$49=3,'chapter 9 table 9'!$D22*SIN(ACOS('wire calculator'!$C$41)),'chapter 9 table 9'!$C22*SIN(ACOS('wire calculator'!$C$41))))/1000*($C$42+$C$43)*(100/$C$53)</f>
        <v>#DIV/0!</v>
      </c>
      <c r="AC22" s="26" t="e">
        <f>$C$40*$C$36*((INDEX('chapter 9 table 9'!$E22:$G22,1,SUM('wire calculator'!$C$46:$C$50))*(1+0.00323*(90-75))*'wire calculator'!$C$41)+IF('wire calculator'!$C$49=3,'chapter 9 table 9'!$D22*SIN(ACOS('wire calculator'!$C$41)),'chapter 9 table 9'!$C22*SIN(ACOS('wire calculator'!$C$41))))/1000*($C$42+$C$43)*(100/$C$53)</f>
        <v>#DIV/0!</v>
      </c>
      <c r="AD22" s="26" t="e">
        <f>$C$40*$C$36*((INDEX('chapter 9 table 9'!$E22:$G22,1,SUM('wire calculator'!$C$46:$C$50))*(1+0.00323*(150-75))*'wire calculator'!$C$41)+IF('wire calculator'!$C$49=3,'chapter 9 table 9'!$D22*SIN(ACOS('wire calculator'!$C$41)),'chapter 9 table 9'!$C22*SIN(ACOS('wire calculator'!$C$41))))/1000*($C$42+$C$43)*(100/$C$53)</f>
        <v>#DIV/0!</v>
      </c>
      <c r="AE22" s="26" t="e">
        <f>$C$40*$C$36*((INDEX('chapter 9 table 9'!$E22:$G22,1,SUM('wire calculator'!$C$46:$C$50))*(1+0.00323*(200-75))*'wire calculator'!$C$41)+IF('wire calculator'!$C$49=3,'chapter 9 table 9'!$D22*SIN(ACOS('wire calculator'!$C$41)),'chapter 9 table 9'!$C22*SIN(ACOS('wire calculator'!$C$41))))/1000*($C$42+$C$43)*(100/$C$53)</f>
        <v>#DIV/0!</v>
      </c>
      <c r="AF22" s="26" t="e">
        <f>$C$40*$C$36*((INDEX('chapter 9 table 9'!$E22:$G22,1,SUM('wire calculator'!$C$46:$C$50))*(1+0.00323*(250-75))*'wire calculator'!$C$41)+IF('wire calculator'!$C$49=3,'chapter 9 table 9'!$D22*SIN(ACOS('wire calculator'!$C$41)),'chapter 9 table 9'!$C22*SIN(ACOS('wire calculator'!$C$41))))/1000*($C$42+$C$43)*(100/$C$53)</f>
        <v>#DIV/0!</v>
      </c>
      <c r="AG22" s="3" t="e">
        <f>$C$40*$C$36*((INDEX('chapter 9 table 9'!$H22:$J22,1,SUM('wire calculator'!$C$46:$C$50))*(1+0.0033*(60-75))*'wire calculator'!$C$41)+IF('wire calculator'!$C$49=3,'chapter 9 table 9'!$D22*SIN(ACOS('wire calculator'!$C$41)),'chapter 9 table 9'!$C22*SIN(ACOS('wire calculator'!$C$41))))/1000*($C$42+$C$43)*(100/$C$53)</f>
        <v>#DIV/0!</v>
      </c>
      <c r="AH22" s="3" t="e">
        <f>$C$40*$C$36*((INDEX('chapter 9 table 9'!$H22:$J22,1,SUM('wire calculator'!$C$46:$C$50))*(1+0.0033*(75-75))*'wire calculator'!$C$41)+IF('wire calculator'!$C$49=3,'chapter 9 table 9'!$D22*SIN(ACOS('wire calculator'!$C$41)),'chapter 9 table 9'!$C22*SIN(ACOS('wire calculator'!$C$41))))/1000*($C$42+$C$43)*(100/$C$53)</f>
        <v>#DIV/0!</v>
      </c>
      <c r="AI22" s="3" t="e">
        <f>$C$40*$C$36*((INDEX('chapter 9 table 9'!$H22:$J22,1,SUM('wire calculator'!$C$46:$C$50))*(1+0.0033*(90-75))*'wire calculator'!$C$41)+IF('wire calculator'!$C$49=3,'chapter 9 table 9'!$D22*SIN(ACOS('wire calculator'!$C$41)),'chapter 9 table 9'!$C22*SIN(ACOS('wire calculator'!$C$41))))/1000*($C$42+$C$43)*(100/$C$53)</f>
        <v>#DIV/0!</v>
      </c>
      <c r="AJ22" s="43" t="e">
        <f>$C$40*$C$36*((INDEX('chapter 9 table 9'!$H22:$J22,1,SUM('wire calculator'!$C$46:$C$50))*(1+0.0033*(150-75))*'wire calculator'!$C$41)+IF('wire calculator'!$C$49=3,'chapter 9 table 9'!$D22*SIN(ACOS('wire calculator'!$C$41)),'chapter 9 table 9'!$C22*SIN(ACOS('wire calculator'!$C$41))))/1000*($C$42+$C$43)*(100/$C$53)</f>
        <v>#DIV/0!</v>
      </c>
    </row>
    <row r="23" spans="1:44" x14ac:dyDescent="0.25">
      <c r="A23" s="31"/>
      <c r="B23" s="32" t="s">
        <v>95</v>
      </c>
      <c r="C23" s="37">
        <f>IF(UI!$E$11="open air",(10),0)</f>
        <v>0</v>
      </c>
      <c r="D23" s="68"/>
      <c r="E23" s="1">
        <f>'310.15(B)(16)'!A23</f>
        <v>4</v>
      </c>
      <c r="F23" s="33">
        <f>VLOOKUP(E23,'Trade Size'!$A$1:$B$30,2,FALSE)</f>
        <v>41740</v>
      </c>
      <c r="G23" s="22">
        <f>'310.15(B)(16)'!C23*'wire calculator'!$C$18*'wire calculator'!$C$20</f>
        <v>70</v>
      </c>
      <c r="H23" s="22">
        <f>'310.15(B)(16)'!D23*'wire calculator'!$C$18*'wire calculator'!$C$20</f>
        <v>85</v>
      </c>
      <c r="I23" s="22">
        <f>'310.15(B)(16)'!E23*'wire calculator'!$C$18*'wire calculator'!$C$20</f>
        <v>95</v>
      </c>
      <c r="J23" s="22">
        <f>'310.15(B)(18)'!C23*'wire calculator'!$C$19*'wire calculator'!$C$20</f>
        <v>136.0672102833218</v>
      </c>
      <c r="K23" s="22">
        <f>'310.15(B)(18)'!D23*'wire calculator'!$C$19*'wire calculator'!$C$20</f>
        <v>141.7366773784602</v>
      </c>
      <c r="L23" s="35">
        <f>'310.15(B)(18)'!E23*'wire calculator'!$C$19*'wire calculator'!$C$20</f>
        <v>167.81622601609689</v>
      </c>
      <c r="M23" s="22">
        <f>'310.15(B)(16)'!F23*'wire calculator'!$C$18*'wire calculator'!$C$20</f>
        <v>55</v>
      </c>
      <c r="N23" s="22">
        <f>'310.15(B)(16)'!G23*'wire calculator'!$C$18*'wire calculator'!$C$20</f>
        <v>65</v>
      </c>
      <c r="O23" s="22">
        <f>'310.15(B)(16)'!H23*'wire calculator'!$C$18*'wire calculator'!$C$20</f>
        <v>75</v>
      </c>
      <c r="P23" s="35">
        <f>'310.15(B)(18)'!F23*'wire calculator'!$C$19*'wire calculator'!$C$20</f>
        <v>106.58598138860208</v>
      </c>
      <c r="Q23" s="22">
        <f>'310.15(B)(17)'!C23*'wire calculator'!$C$18*'wire calculator'!$C$20</f>
        <v>105</v>
      </c>
      <c r="R23" s="22">
        <f>'310.15(B)(17)'!D23*'wire calculator'!$C$18*'wire calculator'!$C$20</f>
        <v>125</v>
      </c>
      <c r="S23" s="22">
        <f>'310.15(B)(17)'!E23*'wire calculator'!$C$18*'wire calculator'!$C$20</f>
        <v>140</v>
      </c>
      <c r="T23" s="22">
        <f>'310.15(B)(19)'!C23*'wire calculator'!$C$19*'wire calculator'!$C$20</f>
        <v>215.43974961525953</v>
      </c>
      <c r="U23" s="22">
        <f>'310.15(B)(19)'!D23*'wire calculator'!$C$19*'wire calculator'!$C$20</f>
        <v>249.45655218608997</v>
      </c>
      <c r="V23" s="35">
        <f>'310.15(B)(19)'!E23*'wire calculator'!$C$19*'wire calculator'!$C$20</f>
        <v>315.22237048969549</v>
      </c>
      <c r="W23">
        <f>'310.15(B)(17)'!F23*'wire calculator'!$C$18*'wire calculator'!$C$20</f>
        <v>80</v>
      </c>
      <c r="X23">
        <f>'310.15(B)(17)'!G23*'wire calculator'!$C$18*'wire calculator'!$C$20</f>
        <v>100</v>
      </c>
      <c r="Y23">
        <f>'310.15(B)(17)'!H23*'wire calculator'!$C$18*'wire calculator'!$C$20</f>
        <v>115</v>
      </c>
      <c r="Z23" s="35">
        <f>'310.15(B)(19)'!F23*'wire calculator'!$C$19*'wire calculator'!$C$20</f>
        <v>167.81622601609689</v>
      </c>
      <c r="AA23" s="3" t="e">
        <f>$C$40*$C$36*((INDEX('chapter 9 table 9'!$E23:$G23,1,SUM('wire calculator'!$C$46:$C$50))*(1+0.00323*(60-75))*'wire calculator'!$C$41)+IF('wire calculator'!$C$49=3,'chapter 9 table 9'!$D23*SIN(ACOS('wire calculator'!$C$41)),'chapter 9 table 9'!$C23*SIN(ACOS('wire calculator'!$C$41))))/1000*($C$42+$C$43)*(100/$C$53)</f>
        <v>#DIV/0!</v>
      </c>
      <c r="AB23" s="26" t="e">
        <f>$C$40*$C$36*((INDEX('chapter 9 table 9'!$E23:$G23,1,SUM('wire calculator'!$C$46:$C$50))*(1+0.00323*(75-75))*'wire calculator'!$C$41)+IF('wire calculator'!$C$49=3,'chapter 9 table 9'!$D23*SIN(ACOS('wire calculator'!$C$41)),'chapter 9 table 9'!$C23*SIN(ACOS('wire calculator'!$C$41))))/1000*($C$42+$C$43)*(100/$C$53)</f>
        <v>#DIV/0!</v>
      </c>
      <c r="AC23" s="26" t="e">
        <f>$C$40*$C$36*((INDEX('chapter 9 table 9'!$E23:$G23,1,SUM('wire calculator'!$C$46:$C$50))*(1+0.00323*(90-75))*'wire calculator'!$C$41)+IF('wire calculator'!$C$49=3,'chapter 9 table 9'!$D23*SIN(ACOS('wire calculator'!$C$41)),'chapter 9 table 9'!$C23*SIN(ACOS('wire calculator'!$C$41))))/1000*($C$42+$C$43)*(100/$C$53)</f>
        <v>#DIV/0!</v>
      </c>
      <c r="AD23" s="26" t="e">
        <f>$C$40*$C$36*((INDEX('chapter 9 table 9'!$E23:$G23,1,SUM('wire calculator'!$C$46:$C$50))*(1+0.00323*(150-75))*'wire calculator'!$C$41)+IF('wire calculator'!$C$49=3,'chapter 9 table 9'!$D23*SIN(ACOS('wire calculator'!$C$41)),'chapter 9 table 9'!$C23*SIN(ACOS('wire calculator'!$C$41))))/1000*($C$42+$C$43)*(100/$C$53)</f>
        <v>#DIV/0!</v>
      </c>
      <c r="AE23" s="26" t="e">
        <f>$C$40*$C$36*((INDEX('chapter 9 table 9'!$E23:$G23,1,SUM('wire calculator'!$C$46:$C$50))*(1+0.00323*(200-75))*'wire calculator'!$C$41)+IF('wire calculator'!$C$49=3,'chapter 9 table 9'!$D23*SIN(ACOS('wire calculator'!$C$41)),'chapter 9 table 9'!$C23*SIN(ACOS('wire calculator'!$C$41))))/1000*($C$42+$C$43)*(100/$C$53)</f>
        <v>#DIV/0!</v>
      </c>
      <c r="AF23" s="26" t="e">
        <f>$C$40*$C$36*((INDEX('chapter 9 table 9'!$E23:$G23,1,SUM('wire calculator'!$C$46:$C$50))*(1+0.00323*(250-75))*'wire calculator'!$C$41)+IF('wire calculator'!$C$49=3,'chapter 9 table 9'!$D23*SIN(ACOS('wire calculator'!$C$41)),'chapter 9 table 9'!$C23*SIN(ACOS('wire calculator'!$C$41))))/1000*($C$42+$C$43)*(100/$C$53)</f>
        <v>#DIV/0!</v>
      </c>
      <c r="AG23" s="3" t="e">
        <f>$C$40*$C$36*((INDEX('chapter 9 table 9'!$H23:$J23,1,SUM('wire calculator'!$C$46:$C$50))*(1+0.0033*(60-75))*'wire calculator'!$C$41)+IF('wire calculator'!$C$49=3,'chapter 9 table 9'!$D23*SIN(ACOS('wire calculator'!$C$41)),'chapter 9 table 9'!$C23*SIN(ACOS('wire calculator'!$C$41))))/1000*($C$42+$C$43)*(100/$C$53)</f>
        <v>#DIV/0!</v>
      </c>
      <c r="AH23" s="3" t="e">
        <f>$C$40*$C$36*((INDEX('chapter 9 table 9'!$H23:$J23,1,SUM('wire calculator'!$C$46:$C$50))*(1+0.0033*(75-75))*'wire calculator'!$C$41)+IF('wire calculator'!$C$49=3,'chapter 9 table 9'!$D23*SIN(ACOS('wire calculator'!$C$41)),'chapter 9 table 9'!$C23*SIN(ACOS('wire calculator'!$C$41))))/1000*($C$42+$C$43)*(100/$C$53)</f>
        <v>#DIV/0!</v>
      </c>
      <c r="AI23" s="3" t="e">
        <f>$C$40*$C$36*((INDEX('chapter 9 table 9'!$H23:$J23,1,SUM('wire calculator'!$C$46:$C$50))*(1+0.0033*(90-75))*'wire calculator'!$C$41)+IF('wire calculator'!$C$49=3,'chapter 9 table 9'!$D23*SIN(ACOS('wire calculator'!$C$41)),'chapter 9 table 9'!$C23*SIN(ACOS('wire calculator'!$C$41))))/1000*($C$42+$C$43)*(100/$C$53)</f>
        <v>#DIV/0!</v>
      </c>
      <c r="AJ23" s="43" t="e">
        <f>$C$40*$C$36*((INDEX('chapter 9 table 9'!$H23:$J23,1,SUM('wire calculator'!$C$46:$C$50))*(1+0.0033*(150-75))*'wire calculator'!$C$41)+IF('wire calculator'!$C$49=3,'chapter 9 table 9'!$D23*SIN(ACOS('wire calculator'!$C$41)),'chapter 9 table 9'!$C23*SIN(ACOS('wire calculator'!$C$41))))/1000*($C$42+$C$43)*(100/$C$53)</f>
        <v>#DIV/0!</v>
      </c>
    </row>
    <row r="24" spans="1:44" x14ac:dyDescent="0.25">
      <c r="A24" s="31"/>
      <c r="B24" s="32" t="s">
        <v>55</v>
      </c>
      <c r="C24" s="37">
        <f>IF(C16=60,(7),0)</f>
        <v>0</v>
      </c>
      <c r="D24" s="68"/>
      <c r="E24" s="1">
        <f>'310.15(B)(16)'!A24</f>
        <v>6</v>
      </c>
      <c r="F24" s="33">
        <f>VLOOKUP(E24,'Trade Size'!$A$1:$B$30,2,FALSE)</f>
        <v>26240</v>
      </c>
      <c r="G24" s="22">
        <f>'310.15(B)(16)'!C24*'wire calculator'!$C$18*'wire calculator'!$C$20</f>
        <v>55</v>
      </c>
      <c r="H24" s="22">
        <f>'310.15(B)(16)'!D24*'wire calculator'!$C$18*'wire calculator'!$C$20</f>
        <v>65</v>
      </c>
      <c r="I24" s="22">
        <f>'310.15(B)(16)'!E24*'wire calculator'!$C$18*'wire calculator'!$C$20</f>
        <v>75</v>
      </c>
      <c r="J24" s="22">
        <f>'310.15(B)(18)'!C24*'wire calculator'!$C$19*'wire calculator'!$C$20</f>
        <v>108.85376822665745</v>
      </c>
      <c r="K24" s="22">
        <f>'310.15(B)(18)'!D24*'wire calculator'!$C$19*'wire calculator'!$C$20</f>
        <v>124.72827609304498</v>
      </c>
      <c r="L24" s="35">
        <f>'310.15(B)(18)'!E24*'wire calculator'!$C$19*'wire calculator'!$C$20</f>
        <v>132.66553002623877</v>
      </c>
      <c r="M24" s="22">
        <f>'310.15(B)(16)'!F24*'wire calculator'!$C$18*'wire calculator'!$C$20</f>
        <v>40</v>
      </c>
      <c r="N24" s="22">
        <f>'310.15(B)(16)'!G24*'wire calculator'!$C$18*'wire calculator'!$C$20</f>
        <v>50</v>
      </c>
      <c r="O24" s="22">
        <f>'310.15(B)(16)'!H24*'wire calculator'!$C$18*'wire calculator'!$C$20</f>
        <v>55</v>
      </c>
      <c r="P24" s="35">
        <f>'310.15(B)(18)'!F24*'wire calculator'!$C$19*'wire calculator'!$C$20</f>
        <v>85.042006427076132</v>
      </c>
      <c r="Q24" s="22">
        <f>'310.15(B)(17)'!C24*'wire calculator'!$C$18*'wire calculator'!$C$20</f>
        <v>80</v>
      </c>
      <c r="R24" s="22">
        <f>'310.15(B)(17)'!D24*'wire calculator'!$C$18*'wire calculator'!$C$20</f>
        <v>95</v>
      </c>
      <c r="S24" s="22">
        <f>'310.15(B)(17)'!E24*'wire calculator'!$C$18*'wire calculator'!$C$20</f>
        <v>105</v>
      </c>
      <c r="T24" s="22">
        <f>'310.15(B)(19)'!C24*'wire calculator'!$C$19*'wire calculator'!$C$20</f>
        <v>175.75347994929066</v>
      </c>
      <c r="U24" s="22">
        <f>'310.15(B)(19)'!D24*'wire calculator'!$C$19*'wire calculator'!$C$20</f>
        <v>187.0924141395675</v>
      </c>
      <c r="V24" s="35">
        <f>'310.15(B)(19)'!E24*'wire calculator'!$C$19*'wire calculator'!$C$20</f>
        <v>232.44815090067476</v>
      </c>
      <c r="W24">
        <f>'310.15(B)(17)'!F24*'wire calculator'!$C$18*'wire calculator'!$C$20</f>
        <v>60</v>
      </c>
      <c r="X24">
        <f>'310.15(B)(17)'!G24*'wire calculator'!$C$18*'wire calculator'!$C$20</f>
        <v>75</v>
      </c>
      <c r="Y24">
        <f>'310.15(B)(17)'!H24*'wire calculator'!$C$18*'wire calculator'!$C$20</f>
        <v>85</v>
      </c>
      <c r="Z24" s="35">
        <f>'310.15(B)(19)'!F24*'wire calculator'!$C$19*'wire calculator'!$C$20</f>
        <v>126.99606293110035</v>
      </c>
      <c r="AA24" s="3" t="e">
        <f>$C$40*$C$36*((INDEX('chapter 9 table 9'!$E24:$G24,1,SUM('wire calculator'!$C$46:$C$50))*(1+0.00323*(60-75))*'wire calculator'!$C$41)+IF('wire calculator'!$C$49=3,'chapter 9 table 9'!$D24*SIN(ACOS('wire calculator'!$C$41)),'chapter 9 table 9'!$C24*SIN(ACOS('wire calculator'!$C$41))))/1000*($C$42+$C$43)*(100/$C$53)</f>
        <v>#DIV/0!</v>
      </c>
      <c r="AB24" s="26" t="e">
        <f>$C$40*$C$36*((INDEX('chapter 9 table 9'!$E24:$G24,1,SUM('wire calculator'!$C$46:$C$50))*(1+0.00323*(75-75))*'wire calculator'!$C$41)+IF('wire calculator'!$C$49=3,'chapter 9 table 9'!$D24*SIN(ACOS('wire calculator'!$C$41)),'chapter 9 table 9'!$C24*SIN(ACOS('wire calculator'!$C$41))))/1000*($C$42+$C$43)*(100/$C$53)</f>
        <v>#DIV/0!</v>
      </c>
      <c r="AC24" s="26" t="e">
        <f>$C$40*$C$36*((INDEX('chapter 9 table 9'!$E24:$G24,1,SUM('wire calculator'!$C$46:$C$50))*(1+0.00323*(90-75))*'wire calculator'!$C$41)+IF('wire calculator'!$C$49=3,'chapter 9 table 9'!$D24*SIN(ACOS('wire calculator'!$C$41)),'chapter 9 table 9'!$C24*SIN(ACOS('wire calculator'!$C$41))))/1000*($C$42+$C$43)*(100/$C$53)</f>
        <v>#DIV/0!</v>
      </c>
      <c r="AD24" s="26" t="e">
        <f>$C$40*$C$36*((INDEX('chapter 9 table 9'!$E24:$G24,1,SUM('wire calculator'!$C$46:$C$50))*(1+0.00323*(150-75))*'wire calculator'!$C$41)+IF('wire calculator'!$C$49=3,'chapter 9 table 9'!$D24*SIN(ACOS('wire calculator'!$C$41)),'chapter 9 table 9'!$C24*SIN(ACOS('wire calculator'!$C$41))))/1000*($C$42+$C$43)*(100/$C$53)</f>
        <v>#DIV/0!</v>
      </c>
      <c r="AE24" s="26" t="e">
        <f>$C$40*$C$36*((INDEX('chapter 9 table 9'!$E24:$G24,1,SUM('wire calculator'!$C$46:$C$50))*(1+0.00323*(200-75))*'wire calculator'!$C$41)+IF('wire calculator'!$C$49=3,'chapter 9 table 9'!$D24*SIN(ACOS('wire calculator'!$C$41)),'chapter 9 table 9'!$C24*SIN(ACOS('wire calculator'!$C$41))))/1000*($C$42+$C$43)*(100/$C$53)</f>
        <v>#DIV/0!</v>
      </c>
      <c r="AF24" s="26" t="e">
        <f>$C$40*$C$36*((INDEX('chapter 9 table 9'!$E24:$G24,1,SUM('wire calculator'!$C$46:$C$50))*(1+0.00323*(250-75))*'wire calculator'!$C$41)+IF('wire calculator'!$C$49=3,'chapter 9 table 9'!$D24*SIN(ACOS('wire calculator'!$C$41)),'chapter 9 table 9'!$C24*SIN(ACOS('wire calculator'!$C$41))))/1000*($C$42+$C$43)*(100/$C$53)</f>
        <v>#DIV/0!</v>
      </c>
      <c r="AG24" s="3" t="e">
        <f>$C$40*$C$36*((INDEX('chapter 9 table 9'!$H24:$J24,1,SUM('wire calculator'!$C$46:$C$50))*(1+0.0033*(60-75))*'wire calculator'!$C$41)+IF('wire calculator'!$C$49=3,'chapter 9 table 9'!$D24*SIN(ACOS('wire calculator'!$C$41)),'chapter 9 table 9'!$C24*SIN(ACOS('wire calculator'!$C$41))))/1000*($C$42+$C$43)*(100/$C$53)</f>
        <v>#DIV/0!</v>
      </c>
      <c r="AH24" s="3" t="e">
        <f>$C$40*$C$36*((INDEX('chapter 9 table 9'!$H24:$J24,1,SUM('wire calculator'!$C$46:$C$50))*(1+0.0033*(75-75))*'wire calculator'!$C$41)+IF('wire calculator'!$C$49=3,'chapter 9 table 9'!$D24*SIN(ACOS('wire calculator'!$C$41)),'chapter 9 table 9'!$C24*SIN(ACOS('wire calculator'!$C$41))))/1000*($C$42+$C$43)*(100/$C$53)</f>
        <v>#DIV/0!</v>
      </c>
      <c r="AI24" s="3" t="e">
        <f>$C$40*$C$36*((INDEX('chapter 9 table 9'!$H24:$J24,1,SUM('wire calculator'!$C$46:$C$50))*(1+0.0033*(90-75))*'wire calculator'!$C$41)+IF('wire calculator'!$C$49=3,'chapter 9 table 9'!$D24*SIN(ACOS('wire calculator'!$C$41)),'chapter 9 table 9'!$C24*SIN(ACOS('wire calculator'!$C$41))))/1000*($C$42+$C$43)*(100/$C$53)</f>
        <v>#DIV/0!</v>
      </c>
      <c r="AJ24" s="43" t="e">
        <f>$C$40*$C$36*((INDEX('chapter 9 table 9'!$H24:$J24,1,SUM('wire calculator'!$C$46:$C$50))*(1+0.0033*(150-75))*'wire calculator'!$C$41)+IF('wire calculator'!$C$49=3,'chapter 9 table 9'!$D24*SIN(ACOS('wire calculator'!$C$41)),'chapter 9 table 9'!$C24*SIN(ACOS('wire calculator'!$C$41))))/1000*($C$42+$C$43)*(100/$C$53)</f>
        <v>#DIV/0!</v>
      </c>
    </row>
    <row r="25" spans="1:44" x14ac:dyDescent="0.25">
      <c r="A25" s="31"/>
      <c r="B25" s="32" t="s">
        <v>39</v>
      </c>
      <c r="C25" s="37">
        <f>IF(C16=75,(8),0)</f>
        <v>8</v>
      </c>
      <c r="D25" s="68"/>
      <c r="E25" s="1">
        <f>'310.15(B)(16)'!A25</f>
        <v>8</v>
      </c>
      <c r="F25" s="33">
        <f>VLOOKUP(E25,'Trade Size'!$A$1:$B$30,2,FALSE)</f>
        <v>16510</v>
      </c>
      <c r="G25" s="22">
        <f>'310.15(B)(16)'!C25*'wire calculator'!$C$18*'wire calculator'!$C$20</f>
        <v>40</v>
      </c>
      <c r="H25" s="22">
        <f>'310.15(B)(16)'!D25*'wire calculator'!$C$18*'wire calculator'!$C$20</f>
        <v>50</v>
      </c>
      <c r="I25" s="22">
        <f>'310.15(B)(16)'!E25*'wire calculator'!$C$18*'wire calculator'!$C$20</f>
        <v>55</v>
      </c>
      <c r="J25" s="22">
        <f>'310.15(B)(18)'!C25*'wire calculator'!$C$19*'wire calculator'!$C$20</f>
        <v>86.175899846103803</v>
      </c>
      <c r="K25" s="22">
        <f>'310.15(B)(18)'!D25*'wire calculator'!$C$19*'wire calculator'!$C$20</f>
        <v>94.113153779297576</v>
      </c>
      <c r="L25" s="35">
        <f>'310.15(B)(18)'!E25*'wire calculator'!$C$19*'wire calculator'!$C$20</f>
        <v>105.45208796957439</v>
      </c>
      <c r="M25" s="22">
        <f>'310.15(B)(16)'!F25*'wire calculator'!$C$18*'wire calculator'!$C$20</f>
        <v>35</v>
      </c>
      <c r="N25" s="22">
        <f>'310.15(B)(16)'!G25*'wire calculator'!$C$18*'wire calculator'!$C$20</f>
        <v>40</v>
      </c>
      <c r="O25" s="22">
        <f>'310.15(B)(16)'!H25*'wire calculator'!$C$18*'wire calculator'!$C$20</f>
        <v>45</v>
      </c>
      <c r="P25" s="35">
        <f>'310.15(B)(18)'!F25*'wire calculator'!$C$19*'wire calculator'!$C$20</f>
        <v>64.631924884577856</v>
      </c>
      <c r="Q25" s="22">
        <f>'310.15(B)(17)'!C25*'wire calculator'!$C$18*'wire calculator'!$C$20</f>
        <v>60</v>
      </c>
      <c r="R25" s="22">
        <f>'310.15(B)(17)'!D25*'wire calculator'!$C$18*'wire calculator'!$C$20</f>
        <v>70</v>
      </c>
      <c r="S25" s="22">
        <f>'310.15(B)(17)'!E25*'wire calculator'!$C$18*'wire calculator'!$C$20</f>
        <v>80</v>
      </c>
      <c r="T25" s="22">
        <f>'310.15(B)(19)'!C25*'wire calculator'!$C$19*'wire calculator'!$C$20</f>
        <v>120.19270241693427</v>
      </c>
      <c r="U25" s="22">
        <f>'310.15(B)(19)'!D25*'wire calculator'!$C$19*'wire calculator'!$C$20</f>
        <v>140.60278395943254</v>
      </c>
      <c r="V25" s="35">
        <f>'310.15(B)(19)'!E25*'wire calculator'!$C$19*'wire calculator'!$C$20</f>
        <v>161.0128655019308</v>
      </c>
      <c r="W25">
        <f>'310.15(B)(17)'!F25*'wire calculator'!$C$18*'wire calculator'!$C$20</f>
        <v>45</v>
      </c>
      <c r="X25">
        <f>'310.15(B)(17)'!G25*'wire calculator'!$C$18*'wire calculator'!$C$20</f>
        <v>55</v>
      </c>
      <c r="Y25">
        <f>'310.15(B)(17)'!H25*'wire calculator'!$C$18*'wire calculator'!$C$20</f>
        <v>60</v>
      </c>
      <c r="Z25" s="35">
        <f>'310.15(B)(19)'!F25*'wire calculator'!$C$19*'wire calculator'!$C$20</f>
        <v>94.113153779297576</v>
      </c>
      <c r="AA25" s="3" t="e">
        <f>$C$40*$C$36*((INDEX('chapter 9 table 9'!$E25:$G25,1,SUM('wire calculator'!$C$46:$C$50))*(1+0.00323*(60-75))*'wire calculator'!$C$41)+IF('wire calculator'!$C$49=3,'chapter 9 table 9'!$D25*SIN(ACOS('wire calculator'!$C$41)),'chapter 9 table 9'!$C25*SIN(ACOS('wire calculator'!$C$41))))/1000*($C$42+$C$43)*(100/$C$53)</f>
        <v>#DIV/0!</v>
      </c>
      <c r="AB25" s="26" t="e">
        <f>$C$40*$C$36*((INDEX('chapter 9 table 9'!$E25:$G25,1,SUM('wire calculator'!$C$46:$C$50))*(1+0.00323*(75-75))*'wire calculator'!$C$41)+IF('wire calculator'!$C$49=3,'chapter 9 table 9'!$D25*SIN(ACOS('wire calculator'!$C$41)),'chapter 9 table 9'!$C25*SIN(ACOS('wire calculator'!$C$41))))/1000*($C$42+$C$43)*(100/$C$53)</f>
        <v>#DIV/0!</v>
      </c>
      <c r="AC25" s="26" t="e">
        <f>$C$40*$C$36*((INDEX('chapter 9 table 9'!$E25:$G25,1,SUM('wire calculator'!$C$46:$C$50))*(1+0.00323*(90-75))*'wire calculator'!$C$41)+IF('wire calculator'!$C$49=3,'chapter 9 table 9'!$D25*SIN(ACOS('wire calculator'!$C$41)),'chapter 9 table 9'!$C25*SIN(ACOS('wire calculator'!$C$41))))/1000*($C$42+$C$43)*(100/$C$53)</f>
        <v>#DIV/0!</v>
      </c>
      <c r="AD25" s="26" t="e">
        <f>$C$40*$C$36*((INDEX('chapter 9 table 9'!$E25:$G25,1,SUM('wire calculator'!$C$46:$C$50))*(1+0.00323*(150-75))*'wire calculator'!$C$41)+IF('wire calculator'!$C$49=3,'chapter 9 table 9'!$D25*SIN(ACOS('wire calculator'!$C$41)),'chapter 9 table 9'!$C25*SIN(ACOS('wire calculator'!$C$41))))/1000*($C$42+$C$43)*(100/$C$53)</f>
        <v>#DIV/0!</v>
      </c>
      <c r="AE25" s="26" t="e">
        <f>$C$40*$C$36*((INDEX('chapter 9 table 9'!$E25:$G25,1,SUM('wire calculator'!$C$46:$C$50))*(1+0.00323*(200-75))*'wire calculator'!$C$41)+IF('wire calculator'!$C$49=3,'chapter 9 table 9'!$D25*SIN(ACOS('wire calculator'!$C$41)),'chapter 9 table 9'!$C25*SIN(ACOS('wire calculator'!$C$41))))/1000*($C$42+$C$43)*(100/$C$53)</f>
        <v>#DIV/0!</v>
      </c>
      <c r="AF25" s="26" t="e">
        <f>$C$40*$C$36*((INDEX('chapter 9 table 9'!$E25:$G25,1,SUM('wire calculator'!$C$46:$C$50))*(1+0.00323*(250-75))*'wire calculator'!$C$41)+IF('wire calculator'!$C$49=3,'chapter 9 table 9'!$D25*SIN(ACOS('wire calculator'!$C$41)),'chapter 9 table 9'!$C25*SIN(ACOS('wire calculator'!$C$41))))/1000*($C$42+$C$43)*(100/$C$53)</f>
        <v>#DIV/0!</v>
      </c>
      <c r="AG25" s="3" t="e">
        <f>$C$40*$C$36*((INDEX('chapter 9 table 9'!$H25:$J25,1,SUM('wire calculator'!$C$46:$C$50))*(1+0.0033*(60-75))*'wire calculator'!$C$41)+IF('wire calculator'!$C$49=3,'chapter 9 table 9'!$D25*SIN(ACOS('wire calculator'!$C$41)),'chapter 9 table 9'!$C25*SIN(ACOS('wire calculator'!$C$41))))/1000*($C$42+$C$43)*(100/$C$53)</f>
        <v>#DIV/0!</v>
      </c>
      <c r="AH25" s="3" t="e">
        <f>$C$40*$C$36*((INDEX('chapter 9 table 9'!$H25:$J25,1,SUM('wire calculator'!$C$46:$C$50))*(1+0.0033*(75-75))*'wire calculator'!$C$41)+IF('wire calculator'!$C$49=3,'chapter 9 table 9'!$D25*SIN(ACOS('wire calculator'!$C$41)),'chapter 9 table 9'!$C25*SIN(ACOS('wire calculator'!$C$41))))/1000*($C$42+$C$43)*(100/$C$53)</f>
        <v>#DIV/0!</v>
      </c>
      <c r="AI25" s="3" t="e">
        <f>$C$40*$C$36*((INDEX('chapter 9 table 9'!$H25:$J25,1,SUM('wire calculator'!$C$46:$C$50))*(1+0.0033*(90-75))*'wire calculator'!$C$41)+IF('wire calculator'!$C$49=3,'chapter 9 table 9'!$D25*SIN(ACOS('wire calculator'!$C$41)),'chapter 9 table 9'!$C25*SIN(ACOS('wire calculator'!$C$41))))/1000*($C$42+$C$43)*(100/$C$53)</f>
        <v>#DIV/0!</v>
      </c>
      <c r="AJ25" s="43" t="e">
        <f>$C$40*$C$36*((INDEX('chapter 9 table 9'!$H25:$J25,1,SUM('wire calculator'!$C$46:$C$50))*(1+0.0033*(150-75))*'wire calculator'!$C$41)+IF('wire calculator'!$C$49=3,'chapter 9 table 9'!$D25*SIN(ACOS('wire calculator'!$C$41)),'chapter 9 table 9'!$C25*SIN(ACOS('wire calculator'!$C$41))))/1000*($C$42+$C$43)*(100/$C$53)</f>
        <v>#DIV/0!</v>
      </c>
    </row>
    <row r="26" spans="1:44" x14ac:dyDescent="0.25">
      <c r="A26" s="31"/>
      <c r="B26" s="32" t="s">
        <v>38</v>
      </c>
      <c r="C26" s="37">
        <f>IF(C16=90,(9),0)</f>
        <v>0</v>
      </c>
      <c r="D26" s="68"/>
      <c r="E26" s="1">
        <f>'310.15(B)(16)'!A26</f>
        <v>10</v>
      </c>
      <c r="F26" s="33">
        <f>VLOOKUP(E26,'Trade Size'!$A$1:$B$30,2,FALSE)</f>
        <v>10380</v>
      </c>
      <c r="G26" s="22">
        <f>'310.15(B)(16)'!C26*'wire calculator'!$C$18*'wire calculator'!$C$20</f>
        <v>30</v>
      </c>
      <c r="H26" s="22">
        <f>'310.15(B)(16)'!D26*'wire calculator'!$C$18*'wire calculator'!$C$20</f>
        <v>35</v>
      </c>
      <c r="I26" s="22">
        <f>'310.15(B)(16)'!E26*'wire calculator'!$C$18*'wire calculator'!$C$20</f>
        <v>40</v>
      </c>
      <c r="J26" s="22">
        <f>'310.15(B)(18)'!C26*'wire calculator'!$C$19*'wire calculator'!$C$20</f>
        <v>62.364138046522491</v>
      </c>
      <c r="K26" s="22">
        <f>'310.15(B)(18)'!D26*'wire calculator'!$C$19*'wire calculator'!$C$20</f>
        <v>68.0336051416609</v>
      </c>
      <c r="L26" s="35">
        <f>'310.15(B)(18)'!E26*'wire calculator'!$C$19*'wire calculator'!$C$20</f>
        <v>82.77421958902076</v>
      </c>
      <c r="M26" s="22">
        <f>'310.15(B)(16)'!F26*'wire calculator'!$C$18*'wire calculator'!$C$20</f>
        <v>25</v>
      </c>
      <c r="N26" s="22">
        <f>'310.15(B)(16)'!G26*'wire calculator'!$C$18*'wire calculator'!$C$20</f>
        <v>30</v>
      </c>
      <c r="O26" s="22">
        <f>'310.15(B)(16)'!H26*'wire calculator'!$C$18*'wire calculator'!$C$20</f>
        <v>35</v>
      </c>
      <c r="P26" s="35">
        <f>'310.15(B)(18)'!F26*'wire calculator'!$C$19*'wire calculator'!$C$20</f>
        <v>49.891310437217996</v>
      </c>
      <c r="Q26" s="22">
        <f>'310.15(B)(17)'!C26*'wire calculator'!$C$18*'wire calculator'!$C$20</f>
        <v>40</v>
      </c>
      <c r="R26" s="22">
        <f>'310.15(B)(17)'!D26*'wire calculator'!$C$18*'wire calculator'!$C$20</f>
        <v>50</v>
      </c>
      <c r="S26" s="22">
        <f>'310.15(B)(17)'!E26*'wire calculator'!$C$18*'wire calculator'!$C$20</f>
        <v>55</v>
      </c>
      <c r="T26" s="22">
        <f>'310.15(B)(19)'!C26*'wire calculator'!$C$19*'wire calculator'!$C$20</f>
        <v>90.711473522214533</v>
      </c>
      <c r="U26" s="22">
        <f>'310.15(B)(19)'!D26*'wire calculator'!$C$19*'wire calculator'!$C$20</f>
        <v>102.05040771249135</v>
      </c>
      <c r="V26" s="35">
        <f>'310.15(B)(19)'!E26*'wire calculator'!$C$19*'wire calculator'!$C$20</f>
        <v>121.32659583596194</v>
      </c>
      <c r="W26">
        <f>'310.15(B)(17)'!F26*'wire calculator'!$C$18*'wire calculator'!$C$20</f>
        <v>35</v>
      </c>
      <c r="X26">
        <f>'310.15(B)(17)'!G26*'wire calculator'!$C$18*'wire calculator'!$C$20</f>
        <v>40</v>
      </c>
      <c r="Y26">
        <f>'310.15(B)(17)'!H26*'wire calculator'!$C$18*'wire calculator'!$C$20</f>
        <v>45</v>
      </c>
      <c r="Z26" s="35">
        <f>'310.15(B)(19)'!F26*'wire calculator'!$C$19*'wire calculator'!$C$20</f>
        <v>71.435285398743943</v>
      </c>
      <c r="AA26" s="3" t="e">
        <f>$C$40*$C$36*((INDEX('chapter 9 table 9'!$E26:$G26,1,SUM('wire calculator'!$C$46:$C$50))*(1+0.00323*(60-75))*'wire calculator'!$C$41)+IF('wire calculator'!$C$49=3,'chapter 9 table 9'!$D26*SIN(ACOS('wire calculator'!$C$41)),'chapter 9 table 9'!$C26*SIN(ACOS('wire calculator'!$C$41))))/1000*($C$42+$C$43)*(100/$C$53)</f>
        <v>#DIV/0!</v>
      </c>
      <c r="AB26" s="26" t="e">
        <f>$C$40*$C$36*((INDEX('chapter 9 table 9'!$E26:$G26,1,SUM('wire calculator'!$C$46:$C$50))*(1+0.00323*(75-75))*'wire calculator'!$C$41)+IF('wire calculator'!$C$49=3,'chapter 9 table 9'!$D26*SIN(ACOS('wire calculator'!$C$41)),'chapter 9 table 9'!$C26*SIN(ACOS('wire calculator'!$C$41))))/1000*($C$42+$C$43)*(100/$C$53)</f>
        <v>#DIV/0!</v>
      </c>
      <c r="AC26" s="26" t="e">
        <f>$C$40*$C$36*((INDEX('chapter 9 table 9'!$E26:$G26,1,SUM('wire calculator'!$C$46:$C$50))*(1+0.00323*(90-75))*'wire calculator'!$C$41)+IF('wire calculator'!$C$49=3,'chapter 9 table 9'!$D26*SIN(ACOS('wire calculator'!$C$41)),'chapter 9 table 9'!$C26*SIN(ACOS('wire calculator'!$C$41))))/1000*($C$42+$C$43)*(100/$C$53)</f>
        <v>#DIV/0!</v>
      </c>
      <c r="AD26" s="26" t="e">
        <f>$C$40*$C$36*((INDEX('chapter 9 table 9'!$E26:$G26,1,SUM('wire calculator'!$C$46:$C$50))*(1+0.00323*(150-75))*'wire calculator'!$C$41)+IF('wire calculator'!$C$49=3,'chapter 9 table 9'!$D26*SIN(ACOS('wire calculator'!$C$41)),'chapter 9 table 9'!$C26*SIN(ACOS('wire calculator'!$C$41))))/1000*($C$42+$C$43)*(100/$C$53)</f>
        <v>#DIV/0!</v>
      </c>
      <c r="AE26" s="26" t="e">
        <f>$C$40*$C$36*((INDEX('chapter 9 table 9'!$E26:$G26,1,SUM('wire calculator'!$C$46:$C$50))*(1+0.00323*(200-75))*'wire calculator'!$C$41)+IF('wire calculator'!$C$49=3,'chapter 9 table 9'!$D26*SIN(ACOS('wire calculator'!$C$41)),'chapter 9 table 9'!$C26*SIN(ACOS('wire calculator'!$C$41))))/1000*($C$42+$C$43)*(100/$C$53)</f>
        <v>#DIV/0!</v>
      </c>
      <c r="AF26" s="26" t="e">
        <f>$C$40*$C$36*((INDEX('chapter 9 table 9'!$E26:$G26,1,SUM('wire calculator'!$C$46:$C$50))*(1+0.00323*(250-75))*'wire calculator'!$C$41)+IF('wire calculator'!$C$49=3,'chapter 9 table 9'!$D26*SIN(ACOS('wire calculator'!$C$41)),'chapter 9 table 9'!$C26*SIN(ACOS('wire calculator'!$C$41))))/1000*($C$42+$C$43)*(100/$C$53)</f>
        <v>#DIV/0!</v>
      </c>
      <c r="AG26" s="3" t="e">
        <f>$C$40*$C$36*((INDEX('chapter 9 table 9'!$H26:$J26,1,SUM('wire calculator'!$C$46:$C$50))*(1+0.0033*(60-75))*'wire calculator'!$C$41)+IF('wire calculator'!$C$49=3,'chapter 9 table 9'!$D26*SIN(ACOS('wire calculator'!$C$41)),'chapter 9 table 9'!$C26*SIN(ACOS('wire calculator'!$C$41))))/1000*($C$42+$C$43)*(100/$C$53)</f>
        <v>#DIV/0!</v>
      </c>
      <c r="AH26" s="3" t="e">
        <f>$C$40*$C$36*((INDEX('chapter 9 table 9'!$H26:$J26,1,SUM('wire calculator'!$C$46:$C$50))*(1+0.0033*(75-75))*'wire calculator'!$C$41)+IF('wire calculator'!$C$49=3,'chapter 9 table 9'!$D26*SIN(ACOS('wire calculator'!$C$41)),'chapter 9 table 9'!$C26*SIN(ACOS('wire calculator'!$C$41))))/1000*($C$42+$C$43)*(100/$C$53)</f>
        <v>#DIV/0!</v>
      </c>
      <c r="AI26" s="3" t="e">
        <f>$C$40*$C$36*((INDEX('chapter 9 table 9'!$H26:$J26,1,SUM('wire calculator'!$C$46:$C$50))*(1+0.0033*(90-75))*'wire calculator'!$C$41)+IF('wire calculator'!$C$49=3,'chapter 9 table 9'!$D26*SIN(ACOS('wire calculator'!$C$41)),'chapter 9 table 9'!$C26*SIN(ACOS('wire calculator'!$C$41))))/1000*($C$42+$C$43)*(100/$C$53)</f>
        <v>#DIV/0!</v>
      </c>
      <c r="AJ26" s="43" t="e">
        <f>$C$40*$C$36*((INDEX('chapter 9 table 9'!$H26:$J26,1,SUM('wire calculator'!$C$46:$C$50))*(1+0.0033*(150-75))*'wire calculator'!$C$41)+IF('wire calculator'!$C$49=3,'chapter 9 table 9'!$D26*SIN(ACOS('wire calculator'!$C$41)),'chapter 9 table 9'!$C26*SIN(ACOS('wire calculator'!$C$41))))/1000*($C$42+$C$43)*(100/$C$53)</f>
        <v>#DIV/0!</v>
      </c>
    </row>
    <row r="27" spans="1:44" x14ac:dyDescent="0.25">
      <c r="A27" s="31"/>
      <c r="B27" s="32" t="s">
        <v>54</v>
      </c>
      <c r="C27" s="37">
        <f>IF(C16=150,(10),0)</f>
        <v>0</v>
      </c>
      <c r="D27" s="68"/>
      <c r="E27" s="1">
        <f>'310.15(B)(16)'!A27</f>
        <v>12</v>
      </c>
      <c r="F27" s="33">
        <f>VLOOKUP(E27,'Trade Size'!$A$1:$B$30,2,FALSE)</f>
        <v>6530</v>
      </c>
      <c r="G27" s="22">
        <f>'310.15(B)(16)'!C27*'wire calculator'!$C$18*'wire calculator'!$C$20</f>
        <v>20</v>
      </c>
      <c r="H27" s="22">
        <f>'310.15(B)(16)'!D27*'wire calculator'!$C$18*'wire calculator'!$C$20</f>
        <v>25</v>
      </c>
      <c r="I27" s="22">
        <f>'310.15(B)(16)'!E27*'wire calculator'!$C$18*'wire calculator'!$C$20</f>
        <v>30</v>
      </c>
      <c r="J27" s="22">
        <f>'310.15(B)(18)'!C27*'wire calculator'!$C$19*'wire calculator'!$C$20</f>
        <v>48.75741701819031</v>
      </c>
      <c r="K27" s="22">
        <f>'310.15(B)(18)'!D27*'wire calculator'!$C$19*'wire calculator'!$C$20</f>
        <v>51.025203856245675</v>
      </c>
      <c r="L27" s="35">
        <f>'310.15(B)(18)'!E27*'wire calculator'!$C$19*'wire calculator'!$C$20</f>
        <v>61.230244627494812</v>
      </c>
      <c r="M27" s="22">
        <f>'310.15(B)(16)'!F27*'wire calculator'!$C$18*'wire calculator'!$C$20</f>
        <v>15</v>
      </c>
      <c r="N27" s="22">
        <f>'310.15(B)(16)'!G27*'wire calculator'!$C$18*'wire calculator'!$C$20</f>
        <v>20</v>
      </c>
      <c r="O27" s="22">
        <f>'310.15(B)(16)'!H27*'wire calculator'!$C$18*'wire calculator'!$C$20</f>
        <v>25</v>
      </c>
      <c r="P27" s="35">
        <f>'310.15(B)(18)'!F27*'wire calculator'!$C$19*'wire calculator'!$C$20</f>
        <v>34.01680257083045</v>
      </c>
      <c r="Q27" s="22">
        <f>'310.15(B)(17)'!C27*'wire calculator'!$C$18*'wire calculator'!$C$20</f>
        <v>30</v>
      </c>
      <c r="R27" s="22">
        <f>'310.15(B)(17)'!D27*'wire calculator'!$C$18*'wire calculator'!$C$20</f>
        <v>35</v>
      </c>
      <c r="S27" s="22">
        <f>'310.15(B)(17)'!E27*'wire calculator'!$C$18*'wire calculator'!$C$20</f>
        <v>40</v>
      </c>
      <c r="T27" s="22">
        <f>'310.15(B)(19)'!C27*'wire calculator'!$C$19*'wire calculator'!$C$20</f>
        <v>68.0336051416609</v>
      </c>
      <c r="U27" s="22">
        <f>'310.15(B)(19)'!D27*'wire calculator'!$C$19*'wire calculator'!$C$20</f>
        <v>77.104752493882359</v>
      </c>
      <c r="V27" s="35">
        <f>'310.15(B)(19)'!E27*'wire calculator'!$C$19*'wire calculator'!$C$20</f>
        <v>88.443686684159175</v>
      </c>
      <c r="W27">
        <f>'310.15(B)(17)'!F27*'wire calculator'!$C$18*'wire calculator'!$C$20</f>
        <v>25</v>
      </c>
      <c r="X27">
        <f>'310.15(B)(17)'!G27*'wire calculator'!$C$18*'wire calculator'!$C$20</f>
        <v>30</v>
      </c>
      <c r="Y27">
        <f>'310.15(B)(17)'!H27*'wire calculator'!$C$18*'wire calculator'!$C$20</f>
        <v>35</v>
      </c>
      <c r="Z27" s="35">
        <f>'310.15(B)(19)'!F27*'wire calculator'!$C$19*'wire calculator'!$C$20</f>
        <v>53.292990694301039</v>
      </c>
      <c r="AA27" s="3" t="e">
        <f>$C$40*$C$36*((INDEX('chapter 9 table 9'!$E27:$G27,1,SUM('wire calculator'!$C$46:$C$50))*(1+0.00323*(60-75))*'wire calculator'!$C$41)+IF('wire calculator'!$C$49=3,'chapter 9 table 9'!$D27*SIN(ACOS('wire calculator'!$C$41)),'chapter 9 table 9'!$C27*SIN(ACOS('wire calculator'!$C$41))))/1000*($C$42+$C$43)*(100/$C$53)</f>
        <v>#DIV/0!</v>
      </c>
      <c r="AB27" s="26" t="e">
        <f>$C$40*$C$36*((INDEX('chapter 9 table 9'!$E27:$G27,1,SUM('wire calculator'!$C$46:$C$50))*(1+0.00323*(75-75))*'wire calculator'!$C$41)+IF('wire calculator'!$C$49=3,'chapter 9 table 9'!$D27*SIN(ACOS('wire calculator'!$C$41)),'chapter 9 table 9'!$C27*SIN(ACOS('wire calculator'!$C$41))))/1000*($C$42+$C$43)*(100/$C$53)</f>
        <v>#DIV/0!</v>
      </c>
      <c r="AC27" s="26" t="e">
        <f>$C$40*$C$36*((INDEX('chapter 9 table 9'!$E27:$G27,1,SUM('wire calculator'!$C$46:$C$50))*(1+0.00323*(90-75))*'wire calculator'!$C$41)+IF('wire calculator'!$C$49=3,'chapter 9 table 9'!$D27*SIN(ACOS('wire calculator'!$C$41)),'chapter 9 table 9'!$C27*SIN(ACOS('wire calculator'!$C$41))))/1000*($C$42+$C$43)*(100/$C$53)</f>
        <v>#DIV/0!</v>
      </c>
      <c r="AD27" s="26" t="e">
        <f>$C$40*$C$36*((INDEX('chapter 9 table 9'!$E27:$G27,1,SUM('wire calculator'!$C$46:$C$50))*(1+0.00323*(150-75))*'wire calculator'!$C$41)+IF('wire calculator'!$C$49=3,'chapter 9 table 9'!$D27*SIN(ACOS('wire calculator'!$C$41)),'chapter 9 table 9'!$C27*SIN(ACOS('wire calculator'!$C$41))))/1000*($C$42+$C$43)*(100/$C$53)</f>
        <v>#DIV/0!</v>
      </c>
      <c r="AE27" s="26" t="e">
        <f>$C$40*$C$36*((INDEX('chapter 9 table 9'!$E27:$G27,1,SUM('wire calculator'!$C$46:$C$50))*(1+0.00323*(200-75))*'wire calculator'!$C$41)+IF('wire calculator'!$C$49=3,'chapter 9 table 9'!$D27*SIN(ACOS('wire calculator'!$C$41)),'chapter 9 table 9'!$C27*SIN(ACOS('wire calculator'!$C$41))))/1000*($C$42+$C$43)*(100/$C$53)</f>
        <v>#DIV/0!</v>
      </c>
      <c r="AF27" s="26" t="e">
        <f>$C$40*$C$36*((INDEX('chapter 9 table 9'!$E27:$G27,1,SUM('wire calculator'!$C$46:$C$50))*(1+0.00323*(250-75))*'wire calculator'!$C$41)+IF('wire calculator'!$C$49=3,'chapter 9 table 9'!$D27*SIN(ACOS('wire calculator'!$C$41)),'chapter 9 table 9'!$C27*SIN(ACOS('wire calculator'!$C$41))))/1000*($C$42+$C$43)*(100/$C$53)</f>
        <v>#DIV/0!</v>
      </c>
      <c r="AG27" s="3" t="e">
        <f>$C$40*$C$36*((INDEX('chapter 9 table 9'!$H27:$J27,1,SUM('wire calculator'!$C$46:$C$50))*(1+0.0033*(60-75))*'wire calculator'!$C$41)+IF('wire calculator'!$C$49=3,'chapter 9 table 9'!$D27*SIN(ACOS('wire calculator'!$C$41)),'chapter 9 table 9'!$C27*SIN(ACOS('wire calculator'!$C$41))))/1000*($C$42+$C$43)*(100/$C$53)</f>
        <v>#DIV/0!</v>
      </c>
      <c r="AH27" s="3" t="e">
        <f>$C$40*$C$36*((INDEX('chapter 9 table 9'!$H27:$J27,1,SUM('wire calculator'!$C$46:$C$50))*(1+0.0033*(75-75))*'wire calculator'!$C$41)+IF('wire calculator'!$C$49=3,'chapter 9 table 9'!$D27*SIN(ACOS('wire calculator'!$C$41)),'chapter 9 table 9'!$C27*SIN(ACOS('wire calculator'!$C$41))))/1000*($C$42+$C$43)*(100/$C$53)</f>
        <v>#DIV/0!</v>
      </c>
      <c r="AI27" s="3" t="e">
        <f>$C$40*$C$36*((INDEX('chapter 9 table 9'!$H27:$J27,1,SUM('wire calculator'!$C$46:$C$50))*(1+0.0033*(90-75))*'wire calculator'!$C$41)+IF('wire calculator'!$C$49=3,'chapter 9 table 9'!$D27*SIN(ACOS('wire calculator'!$C$41)),'chapter 9 table 9'!$C27*SIN(ACOS('wire calculator'!$C$41))))/1000*($C$42+$C$43)*(100/$C$53)</f>
        <v>#DIV/0!</v>
      </c>
      <c r="AJ27" s="43" t="e">
        <f>$C$40*$C$36*((INDEX('chapter 9 table 9'!$H27:$J27,1,SUM('wire calculator'!$C$46:$C$50))*(1+0.0033*(150-75))*'wire calculator'!$C$41)+IF('wire calculator'!$C$49=3,'chapter 9 table 9'!$D27*SIN(ACOS('wire calculator'!$C$41)),'chapter 9 table 9'!$C27*SIN(ACOS('wire calculator'!$C$41))))/1000*($C$42+$C$43)*(100/$C$53)</f>
        <v>#DIV/0!</v>
      </c>
    </row>
    <row r="28" spans="1:44" x14ac:dyDescent="0.25">
      <c r="A28" s="31"/>
      <c r="B28" s="32" t="s">
        <v>50</v>
      </c>
      <c r="C28" s="37">
        <f>IF(C16=60,(1),0)</f>
        <v>0</v>
      </c>
      <c r="D28" s="68"/>
      <c r="E28" s="1">
        <f>'310.15(B)(16)'!A28</f>
        <v>14</v>
      </c>
      <c r="F28" s="33">
        <f>VLOOKUP(E28,'Trade Size'!$A$1:$B$30,2,FALSE)</f>
        <v>4110</v>
      </c>
      <c r="G28" s="22">
        <f>'310.15(B)(16)'!C28*'wire calculator'!$C$18*'wire calculator'!$C$20</f>
        <v>15</v>
      </c>
      <c r="H28" s="22">
        <f>'310.15(B)(16)'!D28*'wire calculator'!$C$18*'wire calculator'!$C$20</f>
        <v>20</v>
      </c>
      <c r="I28" s="22">
        <f>'310.15(B)(16)'!E28*'wire calculator'!$C$18*'wire calculator'!$C$20</f>
        <v>25</v>
      </c>
      <c r="J28" s="22">
        <f>'310.15(B)(18)'!C28*'wire calculator'!$C$19*'wire calculator'!$C$20</f>
        <v>38.552376246941179</v>
      </c>
      <c r="K28" s="22">
        <f>'310.15(B)(18)'!D28*'wire calculator'!$C$19*'wire calculator'!$C$20</f>
        <v>40.820163084996544</v>
      </c>
      <c r="L28" s="35">
        <f>'310.15(B)(18)'!E28*'wire calculator'!$C$19*'wire calculator'!$C$20</f>
        <v>44.221843342079588</v>
      </c>
      <c r="M28" s="22">
        <f>'310.15(B)(16)'!F28*'wire calculator'!$C$18*'wire calculator'!$C$20</f>
        <v>0</v>
      </c>
      <c r="N28" s="22">
        <f>'310.15(B)(16)'!G28*'wire calculator'!$C$18*'wire calculator'!$C$20</f>
        <v>0</v>
      </c>
      <c r="O28" s="22">
        <f>'310.15(B)(16)'!H28*'wire calculator'!$C$18*'wire calculator'!$C$20</f>
        <v>0</v>
      </c>
      <c r="P28" s="35">
        <f>'310.15(B)(18)'!F28*'wire calculator'!$C$19*'wire calculator'!$C$20</f>
        <v>0</v>
      </c>
      <c r="Q28" s="22">
        <f>'310.15(B)(17)'!C28*'wire calculator'!$C$18*'wire calculator'!$C$20</f>
        <v>25</v>
      </c>
      <c r="R28" s="22">
        <f>'310.15(B)(17)'!D28*'wire calculator'!$C$18*'wire calculator'!$C$20</f>
        <v>30</v>
      </c>
      <c r="S28" s="22">
        <f>'310.15(B)(17)'!E28*'wire calculator'!$C$18*'wire calculator'!$C$20</f>
        <v>35</v>
      </c>
      <c r="T28" s="22">
        <f>'310.15(B)(19)'!C28*'wire calculator'!$C$19*'wire calculator'!$C$20</f>
        <v>52.159097275273361</v>
      </c>
      <c r="U28" s="22">
        <f>'310.15(B)(19)'!D28*'wire calculator'!$C$19*'wire calculator'!$C$20</f>
        <v>61.230244627494812</v>
      </c>
      <c r="V28" s="35">
        <f>'310.15(B)(19)'!E28*'wire calculator'!$C$19*'wire calculator'!$C$20</f>
        <v>66.899711722633214</v>
      </c>
      <c r="W28">
        <f>'310.15(B)(17)'!F28*'wire calculator'!$C$18*'wire calculator'!$C$20</f>
        <v>0</v>
      </c>
      <c r="X28">
        <f>'310.15(B)(17)'!G28*'wire calculator'!$C$18*'wire calculator'!$C$20</f>
        <v>0</v>
      </c>
      <c r="Y28">
        <f>'310.15(B)(17)'!H28*'wire calculator'!$C$18*'wire calculator'!$C$20</f>
        <v>0</v>
      </c>
      <c r="Z28" s="35">
        <f>'310.15(B)(19)'!F28*'wire calculator'!$C$19*'wire calculator'!$C$20</f>
        <v>0</v>
      </c>
      <c r="AA28" s="3" t="e">
        <f>$C$40*$C$36*((INDEX('chapter 9 table 9'!$E28:$G28,1,SUM('wire calculator'!$C$46:$C$50))*(1+0.00323*(60-75))*'wire calculator'!$C$41)+IF('wire calculator'!$C$49=3,'chapter 9 table 9'!$D28*SIN(ACOS('wire calculator'!$C$41)),'chapter 9 table 9'!$C28*SIN(ACOS('wire calculator'!$C$41))))/1000*($C$42+$C$43)*(100/$C$53)</f>
        <v>#DIV/0!</v>
      </c>
      <c r="AB28" s="26" t="e">
        <f>$C$40*$C$36*((INDEX('chapter 9 table 9'!$E28:$G28,1,SUM('wire calculator'!$C$46:$C$50))*(1+0.00323*(75-75))*'wire calculator'!$C$41)+IF('wire calculator'!$C$49=3,'chapter 9 table 9'!$D28*SIN(ACOS('wire calculator'!$C$41)),'chapter 9 table 9'!$C28*SIN(ACOS('wire calculator'!$C$41))))/1000*($C$42+$C$43)*(100/$C$53)</f>
        <v>#DIV/0!</v>
      </c>
      <c r="AC28" s="26" t="e">
        <f>$C$40*$C$36*((INDEX('chapter 9 table 9'!$E28:$G28,1,SUM('wire calculator'!$C$46:$C$50))*(1+0.00323*(90-75))*'wire calculator'!$C$41)+IF('wire calculator'!$C$49=3,'chapter 9 table 9'!$D28*SIN(ACOS('wire calculator'!$C$41)),'chapter 9 table 9'!$C28*SIN(ACOS('wire calculator'!$C$41))))/1000*($C$42+$C$43)*(100/$C$53)</f>
        <v>#DIV/0!</v>
      </c>
      <c r="AD28" s="26" t="e">
        <f>$C$40*$C$36*((INDEX('chapter 9 table 9'!$E28:$G28,1,SUM('wire calculator'!$C$46:$C$50))*(1+0.00323*(150-75))*'wire calculator'!$C$41)+IF('wire calculator'!$C$49=3,'chapter 9 table 9'!$D28*SIN(ACOS('wire calculator'!$C$41)),'chapter 9 table 9'!$C28*SIN(ACOS('wire calculator'!$C$41))))/1000*($C$42+$C$43)*(100/$C$53)</f>
        <v>#DIV/0!</v>
      </c>
      <c r="AE28" s="26" t="e">
        <f>$C$40*$C$36*((INDEX('chapter 9 table 9'!$E28:$G28,1,SUM('wire calculator'!$C$46:$C$50))*(1+0.00323*(200-75))*'wire calculator'!$C$41)+IF('wire calculator'!$C$49=3,'chapter 9 table 9'!$D28*SIN(ACOS('wire calculator'!$C$41)),'chapter 9 table 9'!$C28*SIN(ACOS('wire calculator'!$C$41))))/1000*($C$42+$C$43)*(100/$C$53)</f>
        <v>#DIV/0!</v>
      </c>
      <c r="AF28" s="26" t="e">
        <f>$C$40*$C$36*((INDEX('chapter 9 table 9'!$E28:$G28,1,SUM('wire calculator'!$C$46:$C$50))*(1+0.00323*(250-75))*'wire calculator'!$C$41)+IF('wire calculator'!$C$49=3,'chapter 9 table 9'!$D28*SIN(ACOS('wire calculator'!$C$41)),'chapter 9 table 9'!$C28*SIN(ACOS('wire calculator'!$C$41))))/1000*($C$42+$C$43)*(100/$C$53)</f>
        <v>#DIV/0!</v>
      </c>
      <c r="AG28" s="3" t="e">
        <f>$C$40*$C$36*((INDEX('chapter 9 table 9'!$H28:$J28,1,SUM('wire calculator'!$C$46:$C$50))*(1+0.0033*(60-75))*'wire calculator'!$C$41)+IF('wire calculator'!$C$49=3,'chapter 9 table 9'!$D28*SIN(ACOS('wire calculator'!$C$41)),'chapter 9 table 9'!$C28*SIN(ACOS('wire calculator'!$C$41))))/1000*($C$42+$C$43)*(100/$C$53)</f>
        <v>#DIV/0!</v>
      </c>
      <c r="AH28" s="3" t="e">
        <f>$C$40*$C$36*((INDEX('chapter 9 table 9'!$H28:$J28,1,SUM('wire calculator'!$C$46:$C$50))*(1+0.0033*(75-75))*'wire calculator'!$C$41)+IF('wire calculator'!$C$49=3,'chapter 9 table 9'!$D28*SIN(ACOS('wire calculator'!$C$41)),'chapter 9 table 9'!$C28*SIN(ACOS('wire calculator'!$C$41))))/1000*($C$42+$C$43)*(100/$C$53)</f>
        <v>#DIV/0!</v>
      </c>
      <c r="AI28" s="3" t="e">
        <f>$C$40*$C$36*((INDEX('chapter 9 table 9'!$H28:$J28,1,SUM('wire calculator'!$C$46:$C$50))*(1+0.0033*(90-75))*'wire calculator'!$C$41)+IF('wire calculator'!$C$49=3,'chapter 9 table 9'!$D28*SIN(ACOS('wire calculator'!$C$41)),'chapter 9 table 9'!$C28*SIN(ACOS('wire calculator'!$C$41))))/1000*($C$42+$C$43)*(100/$C$53)</f>
        <v>#DIV/0!</v>
      </c>
      <c r="AJ28" s="43" t="e">
        <f>$C$40*$C$36*((INDEX('chapter 9 table 9'!$H28:$J28,1,SUM('wire calculator'!$C$46:$C$50))*(1+0.0033*(150-75))*'wire calculator'!$C$41)+IF('wire calculator'!$C$49=3,'chapter 9 table 9'!$D28*SIN(ACOS('wire calculator'!$C$41)),'chapter 9 table 9'!$C28*SIN(ACOS('wire calculator'!$C$41))))/1000*($C$42+$C$43)*(100/$C$53)</f>
        <v>#DIV/0!</v>
      </c>
    </row>
    <row r="29" spans="1:44" x14ac:dyDescent="0.25">
      <c r="A29" s="31"/>
      <c r="B29" s="32" t="s">
        <v>41</v>
      </c>
      <c r="C29" s="37">
        <f>IF(C16=75,(2),0)</f>
        <v>2</v>
      </c>
      <c r="D29" s="68"/>
      <c r="E29" s="1">
        <f>'310.15(B)(16)'!A29</f>
        <v>16</v>
      </c>
      <c r="F29" s="33">
        <f>VLOOKUP(E29,'Trade Size'!$A$1:$B$30,2,FALSE)</f>
        <v>2580</v>
      </c>
      <c r="G29" s="22">
        <f>'310.15(B)(16)'!C29*'wire calculator'!$C$18*'wire calculator'!$C$20</f>
        <v>0</v>
      </c>
      <c r="H29" s="22">
        <f>'310.15(B)(16)'!D29*'wire calculator'!$C$18*'wire calculator'!$C$20</f>
        <v>0</v>
      </c>
      <c r="I29" s="22">
        <f>'310.15(B)(16)'!E29*'wire calculator'!$C$18*'wire calculator'!$C$20</f>
        <v>18</v>
      </c>
      <c r="J29" s="22">
        <f>'310.15(B)(18)'!C29*'wire calculator'!$C$19*'wire calculator'!$C$20</f>
        <v>0</v>
      </c>
      <c r="K29" s="22">
        <f>'310.15(B)(18)'!D29*'wire calculator'!$C$19*'wire calculator'!$C$20</f>
        <v>0</v>
      </c>
      <c r="L29" s="35">
        <f>'310.15(B)(18)'!E29*'wire calculator'!$C$19*'wire calculator'!$C$20</f>
        <v>0</v>
      </c>
      <c r="M29" s="22">
        <f>'310.15(B)(16)'!F29*'wire calculator'!$C$18*'wire calculator'!$C$20</f>
        <v>0</v>
      </c>
      <c r="N29" s="22">
        <f>'310.15(B)(16)'!G29*'wire calculator'!$C$18*'wire calculator'!$C$20</f>
        <v>0</v>
      </c>
      <c r="O29" s="22">
        <f>'310.15(B)(16)'!H29*'wire calculator'!$C$18*'wire calculator'!$C$20</f>
        <v>0</v>
      </c>
      <c r="P29" s="35">
        <f>'310.15(B)(18)'!F29*'wire calculator'!$C$19*'wire calculator'!$C$20</f>
        <v>0</v>
      </c>
      <c r="Q29" s="22">
        <f>'310.15(B)(17)'!C29*'wire calculator'!$C$18*'wire calculator'!$C$20</f>
        <v>0</v>
      </c>
      <c r="R29" s="22">
        <f>'310.15(B)(17)'!D29*'wire calculator'!$C$18*'wire calculator'!$C$20</f>
        <v>0</v>
      </c>
      <c r="S29" s="22">
        <f>'310.15(B)(17)'!E29*'wire calculator'!$C$18*'wire calculator'!$C$20</f>
        <v>24</v>
      </c>
      <c r="T29" s="22">
        <f>'310.15(B)(19)'!C29*'wire calculator'!$C$19*'wire calculator'!$C$20</f>
        <v>0</v>
      </c>
      <c r="U29" s="22">
        <f>'310.15(B)(19)'!D29*'wire calculator'!$C$19*'wire calculator'!$C$20</f>
        <v>0</v>
      </c>
      <c r="V29" s="35">
        <f>'310.15(B)(19)'!E29*'wire calculator'!$C$19*'wire calculator'!$C$20</f>
        <v>0</v>
      </c>
      <c r="W29">
        <f>'310.15(B)(17)'!F29*'wire calculator'!$C$18*'wire calculator'!$C$20</f>
        <v>0</v>
      </c>
      <c r="X29">
        <f>'310.15(B)(17)'!G29*'wire calculator'!$C$18*'wire calculator'!$C$20</f>
        <v>0</v>
      </c>
      <c r="Y29">
        <f>'310.15(B)(17)'!H29*'wire calculator'!$C$18*'wire calculator'!$C$20</f>
        <v>0</v>
      </c>
      <c r="Z29" s="35">
        <f>'310.15(B)(19)'!F29*'wire calculator'!$C$19*'wire calculator'!$C$20</f>
        <v>0</v>
      </c>
      <c r="AA29" s="3" t="e">
        <f>$C$40*$C$36*((INDEX('chapter 9 table 9'!$E29:$G29,1,SUM('wire calculator'!$C$46:$C$50))*(1+0.00323*(60-75))*'wire calculator'!$C$41)+IF('wire calculator'!$C$49=3,'chapter 9 table 9'!$D29*SIN(ACOS('wire calculator'!$C$41)),'chapter 9 table 9'!$C29*SIN(ACOS('wire calculator'!$C$41))))/1000*($C$42+$C$43)*(100/$C$53)</f>
        <v>#DIV/0!</v>
      </c>
      <c r="AB29" s="26" t="e">
        <f>$C$40*$C$36*((INDEX('chapter 9 table 9'!$E29:$G29,1,SUM('wire calculator'!$C$46:$C$50))*(1+0.00323*(75-75))*'wire calculator'!$C$41)+IF('wire calculator'!$C$49=3,'chapter 9 table 9'!$D29*SIN(ACOS('wire calculator'!$C$41)),'chapter 9 table 9'!$C29*SIN(ACOS('wire calculator'!$C$41))))/1000*($C$42+$C$43)*(100/$C$53)</f>
        <v>#DIV/0!</v>
      </c>
      <c r="AC29" s="26" t="e">
        <f>$C$40*$C$36*((INDEX('chapter 9 table 9'!$E29:$G29,1,SUM('wire calculator'!$C$46:$C$50))*(1+0.00323*(90-75))*'wire calculator'!$C$41)+IF('wire calculator'!$C$49=3,'chapter 9 table 9'!$D29*SIN(ACOS('wire calculator'!$C$41)),'chapter 9 table 9'!$C29*SIN(ACOS('wire calculator'!$C$41))))/1000*($C$42+$C$43)*(100/$C$53)</f>
        <v>#DIV/0!</v>
      </c>
      <c r="AD29" s="26" t="e">
        <f>$C$40*$C$36*((INDEX('chapter 9 table 9'!$E29:$G29,1,SUM('wire calculator'!$C$46:$C$50))*(1+0.00323*(150-75))*'wire calculator'!$C$41)+IF('wire calculator'!$C$49=3,'chapter 9 table 9'!$D29*SIN(ACOS('wire calculator'!$C$41)),'chapter 9 table 9'!$C29*SIN(ACOS('wire calculator'!$C$41))))/1000*($C$42+$C$43)*(100/$C$53)</f>
        <v>#DIV/0!</v>
      </c>
      <c r="AE29" s="26" t="e">
        <f>$C$40*$C$36*((INDEX('chapter 9 table 9'!$E29:$G29,1,SUM('wire calculator'!$C$46:$C$50))*(1+0.00323*(200-75))*'wire calculator'!$C$41)+IF('wire calculator'!$C$49=3,'chapter 9 table 9'!$D29*SIN(ACOS('wire calculator'!$C$41)),'chapter 9 table 9'!$C29*SIN(ACOS('wire calculator'!$C$41))))/1000*($C$42+$C$43)*(100/$C$53)</f>
        <v>#DIV/0!</v>
      </c>
      <c r="AF29" s="26" t="e">
        <f>$C$40*$C$36*((INDEX('chapter 9 table 9'!$E29:$G29,1,SUM('wire calculator'!$C$46:$C$50))*(1+0.00323*(250-75))*'wire calculator'!$C$41)+IF('wire calculator'!$C$49=3,'chapter 9 table 9'!$D29*SIN(ACOS('wire calculator'!$C$41)),'chapter 9 table 9'!$C29*SIN(ACOS('wire calculator'!$C$41))))/1000*($C$42+$C$43)*(100/$C$53)</f>
        <v>#DIV/0!</v>
      </c>
      <c r="AG29" s="3" t="e">
        <f>$C$40*$C$36*((INDEX('chapter 9 table 9'!$H29:$J29,1,SUM('wire calculator'!$C$46:$C$50))*(1+0.0033*(60-75))*'wire calculator'!$C$41)+IF('wire calculator'!$C$49=3,'chapter 9 table 9'!$D29*SIN(ACOS('wire calculator'!$C$41)),'chapter 9 table 9'!$C29*SIN(ACOS('wire calculator'!$C$41))))/1000*($C$42+$C$43)*(100/$C$53)</f>
        <v>#DIV/0!</v>
      </c>
      <c r="AH29" s="3" t="e">
        <f>$C$40*$C$36*((INDEX('chapter 9 table 9'!$H29:$J29,1,SUM('wire calculator'!$C$46:$C$50))*(1+0.0033*(75-75))*'wire calculator'!$C$41)+IF('wire calculator'!$C$49=3,'chapter 9 table 9'!$D29*SIN(ACOS('wire calculator'!$C$41)),'chapter 9 table 9'!$C29*SIN(ACOS('wire calculator'!$C$41))))/1000*($C$42+$C$43)*(100/$C$53)</f>
        <v>#DIV/0!</v>
      </c>
      <c r="AI29" s="3" t="e">
        <f>$C$40*$C$36*((INDEX('chapter 9 table 9'!$H29:$J29,1,SUM('wire calculator'!$C$46:$C$50))*(1+0.0033*(90-75))*'wire calculator'!$C$41)+IF('wire calculator'!$C$49=3,'chapter 9 table 9'!$D29*SIN(ACOS('wire calculator'!$C$41)),'chapter 9 table 9'!$C29*SIN(ACOS('wire calculator'!$C$41))))/1000*($C$42+$C$43)*(100/$C$53)</f>
        <v>#DIV/0!</v>
      </c>
      <c r="AJ29" s="43" t="e">
        <f>$C$40*$C$36*((INDEX('chapter 9 table 9'!$H29:$J29,1,SUM('wire calculator'!$C$46:$C$50))*(1+0.0033*(150-75))*'wire calculator'!$C$41)+IF('wire calculator'!$C$49=3,'chapter 9 table 9'!$D29*SIN(ACOS('wire calculator'!$C$41)),'chapter 9 table 9'!$C29*SIN(ACOS('wire calculator'!$C$41))))/1000*($C$42+$C$43)*(100/$C$53)</f>
        <v>#DIV/0!</v>
      </c>
    </row>
    <row r="30" spans="1:44" x14ac:dyDescent="0.25">
      <c r="A30" s="31"/>
      <c r="B30" s="32" t="s">
        <v>40</v>
      </c>
      <c r="C30" s="37">
        <f>IF(C16=90,(3),0)</f>
        <v>0</v>
      </c>
      <c r="D30" s="68"/>
      <c r="E30" s="1">
        <f>'310.15(B)(16)'!A30</f>
        <v>18</v>
      </c>
      <c r="F30" s="33">
        <f>VLOOKUP(E30,'Trade Size'!$A$1:$B$30,2,FALSE)</f>
        <v>1620</v>
      </c>
      <c r="G30" s="22">
        <f>'310.15(B)(16)'!C30*'wire calculator'!$C$18*'wire calculator'!$C$20</f>
        <v>0</v>
      </c>
      <c r="H30" s="22">
        <f>'310.15(B)(16)'!D30*'wire calculator'!$C$18*'wire calculator'!$C$20</f>
        <v>0</v>
      </c>
      <c r="I30" s="22">
        <f>'310.15(B)(16)'!E30*'wire calculator'!$C$18*'wire calculator'!$C$20</f>
        <v>14</v>
      </c>
      <c r="J30" s="22">
        <f>'310.15(B)(18)'!C30*'wire calculator'!$C$19*'wire calculator'!$C$20</f>
        <v>0</v>
      </c>
      <c r="K30" s="22">
        <f>'310.15(B)(18)'!D30*'wire calculator'!$C$19*'wire calculator'!$C$20</f>
        <v>0</v>
      </c>
      <c r="L30" s="36">
        <f>'310.15(B)(18)'!E30*'wire calculator'!$C$19*'wire calculator'!$C$20</f>
        <v>0</v>
      </c>
      <c r="M30" s="22">
        <f>'310.15(B)(16)'!F30*'wire calculator'!$C$18*'wire calculator'!$C$20</f>
        <v>0</v>
      </c>
      <c r="N30" s="22">
        <f>'310.15(B)(16)'!G30*'wire calculator'!$C$18*'wire calculator'!$C$20</f>
        <v>0</v>
      </c>
      <c r="O30" s="22">
        <f>'310.15(B)(16)'!H30*'wire calculator'!$C$18*'wire calculator'!$C$20</f>
        <v>0</v>
      </c>
      <c r="P30" s="36">
        <f>'310.15(B)(18)'!F30*'wire calculator'!$C$19*'wire calculator'!$C$20</f>
        <v>0</v>
      </c>
      <c r="Q30" s="22">
        <f>'310.15(B)(17)'!C30*'wire calculator'!$C$18*'wire calculator'!$C$20</f>
        <v>0</v>
      </c>
      <c r="R30" s="22">
        <f>'310.15(B)(17)'!D30*'wire calculator'!$C$18*'wire calculator'!$C$20</f>
        <v>0</v>
      </c>
      <c r="S30" s="22">
        <f>'310.15(B)(17)'!E30*'wire calculator'!$C$18*'wire calculator'!$C$20</f>
        <v>18</v>
      </c>
      <c r="T30" s="22">
        <f>'310.15(B)(19)'!C30*'wire calculator'!$C$19*'wire calculator'!$C$20</f>
        <v>0</v>
      </c>
      <c r="U30" s="22">
        <f>'310.15(B)(19)'!D30*'wire calculator'!$C$19*'wire calculator'!$C$20</f>
        <v>0</v>
      </c>
      <c r="V30" s="36">
        <f>'310.15(B)(19)'!E30*'wire calculator'!$C$19*'wire calculator'!$C$20</f>
        <v>0</v>
      </c>
      <c r="W30">
        <f>'310.15(B)(17)'!F30*'wire calculator'!$C$18*'wire calculator'!$C$20</f>
        <v>0</v>
      </c>
      <c r="X30">
        <f>'310.15(B)(17)'!G30*'wire calculator'!$C$18*'wire calculator'!$C$20</f>
        <v>0</v>
      </c>
      <c r="Y30">
        <f>'310.15(B)(17)'!H30*'wire calculator'!$C$18*'wire calculator'!$C$20</f>
        <v>0</v>
      </c>
      <c r="Z30" s="35">
        <f>'310.15(B)(19)'!F30*'wire calculator'!$C$19*'wire calculator'!$C$20</f>
        <v>0</v>
      </c>
      <c r="AA30" s="3" t="e">
        <f>$C$40*$C$36*((INDEX('chapter 9 table 9'!$E30:$G30,1,SUM('wire calculator'!$C$46:$C$50))*(1+0.00323*(60-75))*'wire calculator'!$C$41)+IF('wire calculator'!$C$49=3,'chapter 9 table 9'!$D30*SIN(ACOS('wire calculator'!$C$41)),'chapter 9 table 9'!$C30*SIN(ACOS('wire calculator'!$C$41))))/1000*($C$42+$C$43)*(100/$C$53)</f>
        <v>#DIV/0!</v>
      </c>
      <c r="AB30" s="26" t="e">
        <f>$C$40*$C$36*((INDEX('chapter 9 table 9'!$E30:$G30,1,SUM('wire calculator'!$C$46:$C$50))*(1+0.00323*(75-75))*'wire calculator'!$C$41)+IF('wire calculator'!$C$49=3,'chapter 9 table 9'!$D30*SIN(ACOS('wire calculator'!$C$41)),'chapter 9 table 9'!$C30*SIN(ACOS('wire calculator'!$C$41))))/1000*($C$42+$C$43)*(100/$C$53)</f>
        <v>#DIV/0!</v>
      </c>
      <c r="AC30" s="26" t="e">
        <f>$C$40*$C$36*((INDEX('chapter 9 table 9'!$E30:$G30,1,SUM('wire calculator'!$C$46:$C$50))*(1+0.00323*(90-75))*'wire calculator'!$C$41)+IF('wire calculator'!$C$49=3,'chapter 9 table 9'!$D30*SIN(ACOS('wire calculator'!$C$41)),'chapter 9 table 9'!$C30*SIN(ACOS('wire calculator'!$C$41))))/1000*($C$42+$C$43)*(100/$C$53)</f>
        <v>#DIV/0!</v>
      </c>
      <c r="AD30" s="26" t="e">
        <f>$C$40*$C$36*((INDEX('chapter 9 table 9'!$E30:$G30,1,SUM('wire calculator'!$C$46:$C$50))*(1+0.00323*(150-75))*'wire calculator'!$C$41)+IF('wire calculator'!$C$49=3,'chapter 9 table 9'!$D30*SIN(ACOS('wire calculator'!$C$41)),'chapter 9 table 9'!$C30*SIN(ACOS('wire calculator'!$C$41))))/1000*($C$42+$C$43)*(100/$C$53)</f>
        <v>#DIV/0!</v>
      </c>
      <c r="AE30" s="26" t="e">
        <f>$C$40*$C$36*((INDEX('chapter 9 table 9'!$E30:$G30,1,SUM('wire calculator'!$C$46:$C$50))*(1+0.00323*(200-75))*'wire calculator'!$C$41)+IF('wire calculator'!$C$49=3,'chapter 9 table 9'!$D30*SIN(ACOS('wire calculator'!$C$41)),'chapter 9 table 9'!$C30*SIN(ACOS('wire calculator'!$C$41))))/1000*($C$42+$C$43)*(100/$C$53)</f>
        <v>#DIV/0!</v>
      </c>
      <c r="AF30" s="26" t="e">
        <f>$C$40*$C$36*((INDEX('chapter 9 table 9'!$E30:$G30,1,SUM('wire calculator'!$C$46:$C$50))*(1+0.00323*(250-75))*'wire calculator'!$C$41)+IF('wire calculator'!$C$49=3,'chapter 9 table 9'!$D30*SIN(ACOS('wire calculator'!$C$41)),'chapter 9 table 9'!$C30*SIN(ACOS('wire calculator'!$C$41))))/1000*($C$42+$C$43)*(100/$C$53)</f>
        <v>#DIV/0!</v>
      </c>
      <c r="AG30" s="3" t="e">
        <f>$C$40*$C$36*((INDEX('chapter 9 table 9'!$H30:$J30,1,SUM('wire calculator'!$C$46:$C$50))*(1+0.0033*(60-75))*'wire calculator'!$C$41)+IF('wire calculator'!$C$49=3,'chapter 9 table 9'!$D30*SIN(ACOS('wire calculator'!$C$41)),'chapter 9 table 9'!$C30*SIN(ACOS('wire calculator'!$C$41))))/1000*($C$42+$C$43)*(100/$C$53)</f>
        <v>#DIV/0!</v>
      </c>
      <c r="AH30" s="3" t="e">
        <f>$C$40*$C$36*((INDEX('chapter 9 table 9'!$H30:$J30,1,SUM('wire calculator'!$C$46:$C$50))*(1+0.0033*(75-75))*'wire calculator'!$C$41)+IF('wire calculator'!$C$49=3,'chapter 9 table 9'!$D30*SIN(ACOS('wire calculator'!$C$41)),'chapter 9 table 9'!$C30*SIN(ACOS('wire calculator'!$C$41))))/1000*($C$42+$C$43)*(100/$C$53)</f>
        <v>#DIV/0!</v>
      </c>
      <c r="AI30" s="3" t="e">
        <f>$C$40*$C$36*((INDEX('chapter 9 table 9'!$H30:$J30,1,SUM('wire calculator'!$C$46:$C$50))*(1+0.0033*(90-75))*'wire calculator'!$C$41)+IF('wire calculator'!$C$49=3,'chapter 9 table 9'!$D30*SIN(ACOS('wire calculator'!$C$41)),'chapter 9 table 9'!$C30*SIN(ACOS('wire calculator'!$C$41))))/1000*($C$42+$C$43)*(100/$C$53)</f>
        <v>#DIV/0!</v>
      </c>
      <c r="AJ30" s="43" t="e">
        <f>$C$40*$C$36*((INDEX('chapter 9 table 9'!$H30:$J30,1,SUM('wire calculator'!$C$46:$C$50))*(1+0.0033*(150-75))*'wire calculator'!$C$41)+IF('wire calculator'!$C$49=3,'chapter 9 table 9'!$D30*SIN(ACOS('wire calculator'!$C$41)),'chapter 9 table 9'!$C30*SIN(ACOS('wire calculator'!$C$41))))/1000*($C$42+$C$43)*(100/$C$53)</f>
        <v>#DIV/0!</v>
      </c>
    </row>
    <row r="31" spans="1:44" x14ac:dyDescent="0.25">
      <c r="A31" s="31"/>
      <c r="B31" s="32" t="s">
        <v>51</v>
      </c>
      <c r="C31" s="37">
        <f>IF(C16=150,(4),0)</f>
        <v>0</v>
      </c>
      <c r="D31" s="68"/>
      <c r="E31" s="1"/>
      <c r="F31" s="1"/>
      <c r="G31" s="81" t="s">
        <v>57</v>
      </c>
      <c r="H31" s="81"/>
      <c r="I31" s="81"/>
      <c r="J31" s="81"/>
      <c r="K31" s="81"/>
      <c r="L31" s="81"/>
      <c r="M31" s="81"/>
      <c r="N31" s="81"/>
      <c r="O31" s="81"/>
      <c r="P31" s="81"/>
      <c r="Q31" s="82" t="s">
        <v>56</v>
      </c>
      <c r="R31" s="82"/>
      <c r="S31" s="82"/>
      <c r="T31" s="82"/>
      <c r="U31" s="82"/>
      <c r="V31" s="82"/>
      <c r="W31" s="82"/>
      <c r="X31" s="82"/>
      <c r="Y31" s="82"/>
      <c r="Z31" s="82"/>
      <c r="AA31" s="82" t="s">
        <v>49</v>
      </c>
      <c r="AB31" s="82"/>
      <c r="AC31" s="82"/>
      <c r="AD31" s="82"/>
      <c r="AE31" s="82"/>
      <c r="AF31" s="82"/>
      <c r="AG31" s="82"/>
      <c r="AH31" s="82"/>
      <c r="AI31" s="82"/>
      <c r="AJ31" s="82"/>
    </row>
    <row r="32" spans="1:44" x14ac:dyDescent="0.25">
      <c r="A32" s="31"/>
      <c r="B32" s="32" t="s">
        <v>52</v>
      </c>
      <c r="C32" s="37">
        <f>IF(C16=200,(5),0)</f>
        <v>0</v>
      </c>
      <c r="D32" s="68"/>
      <c r="G32" s="1" t="s">
        <v>50</v>
      </c>
      <c r="H32" s="1" t="s">
        <v>41</v>
      </c>
      <c r="I32" s="1" t="s">
        <v>40</v>
      </c>
      <c r="J32" s="1" t="s">
        <v>51</v>
      </c>
      <c r="K32" s="1" t="s">
        <v>52</v>
      </c>
      <c r="L32" s="1" t="s">
        <v>53</v>
      </c>
      <c r="M32" s="1" t="s">
        <v>55</v>
      </c>
      <c r="N32" s="1" t="s">
        <v>39</v>
      </c>
      <c r="O32" s="1" t="s">
        <v>38</v>
      </c>
      <c r="P32" s="1" t="s">
        <v>54</v>
      </c>
      <c r="Q32" s="1" t="s">
        <v>50</v>
      </c>
      <c r="R32" s="1" t="s">
        <v>41</v>
      </c>
      <c r="S32" s="1" t="s">
        <v>40</v>
      </c>
      <c r="T32" s="1" t="s">
        <v>51</v>
      </c>
      <c r="U32" s="1" t="s">
        <v>52</v>
      </c>
      <c r="V32" s="1" t="s">
        <v>53</v>
      </c>
      <c r="W32" s="1" t="s">
        <v>55</v>
      </c>
      <c r="X32" s="1" t="s">
        <v>39</v>
      </c>
      <c r="Y32" s="1" t="s">
        <v>38</v>
      </c>
      <c r="Z32" s="1" t="s">
        <v>54</v>
      </c>
      <c r="AA32" s="1" t="s">
        <v>50</v>
      </c>
      <c r="AB32" s="1" t="s">
        <v>41</v>
      </c>
      <c r="AC32" s="1" t="s">
        <v>40</v>
      </c>
      <c r="AD32" s="1" t="s">
        <v>51</v>
      </c>
      <c r="AE32" s="1" t="s">
        <v>52</v>
      </c>
      <c r="AF32" s="1" t="s">
        <v>53</v>
      </c>
      <c r="AG32" s="1" t="s">
        <v>55</v>
      </c>
      <c r="AH32" s="1" t="s">
        <v>39</v>
      </c>
      <c r="AI32" s="1" t="s">
        <v>38</v>
      </c>
      <c r="AJ32" s="1" t="s">
        <v>54</v>
      </c>
      <c r="AK32" s="23"/>
      <c r="AO32" s="23"/>
      <c r="AP32" s="23"/>
      <c r="AQ32" s="23"/>
      <c r="AR32" s="23"/>
    </row>
    <row r="33" spans="1:44" x14ac:dyDescent="0.25">
      <c r="A33" s="31"/>
      <c r="B33" s="32" t="s">
        <v>53</v>
      </c>
      <c r="C33" s="37">
        <f>IF(C16=250,(6),0)</f>
        <v>0</v>
      </c>
      <c r="D33" s="68"/>
      <c r="E33" s="31"/>
      <c r="F33" s="32"/>
      <c r="G33" s="32">
        <f>INDEX(F5:F30,MATCH(C36,'wire calculator'!G5:G30,-1))</f>
        <v>2580</v>
      </c>
      <c r="H33">
        <f>INDEX(F5:F30,MATCH(C36,'wire calculator'!H5:H30,-1))</f>
        <v>2580</v>
      </c>
      <c r="I33">
        <f>INDEX(F5:F30,MATCH(C36,'wire calculator'!I5:I30,-1))</f>
        <v>1620</v>
      </c>
      <c r="J33">
        <f>INDEX(F16:F30,MATCH(C36,'wire calculator'!J16:J30,-1))</f>
        <v>2580</v>
      </c>
      <c r="K33">
        <f>INDEX(F16:F30,MATCH(C36,'wire calculator'!K16:K30,-1))</f>
        <v>2580</v>
      </c>
      <c r="L33">
        <f>INDEX(F16:F30,MATCH(C36,'wire calculator'!L16:L30,-1))</f>
        <v>2580</v>
      </c>
      <c r="M33">
        <f>INDEX(F5:F30,MATCH(C36,'wire calculator'!M5:M30,-1))</f>
        <v>4110</v>
      </c>
      <c r="N33">
        <f>INDEX(F5:F30,MATCH(C36,'wire calculator'!N5:N30,-1))</f>
        <v>4110</v>
      </c>
      <c r="O33">
        <f>INDEX(F5:F30,MATCH(C36,'wire calculator'!O5:O30,-1))</f>
        <v>4110</v>
      </c>
      <c r="P33">
        <f>INDEX(F16:F30,MATCH(C36,'wire calculator'!P16:P30,-1))</f>
        <v>4110</v>
      </c>
      <c r="Q33">
        <f>INDEX(F5:F30,MATCH(C36,'wire calculator'!Q5:Q30,-1))</f>
        <v>2580</v>
      </c>
      <c r="R33">
        <f>INDEX(F5:F30,MATCH(C36,'wire calculator'!R5:R30,-1))</f>
        <v>2580</v>
      </c>
      <c r="S33">
        <f>INDEX(F5:F30,MATCH(C36,'wire calculator'!S5:S30,-1))</f>
        <v>1620</v>
      </c>
      <c r="T33">
        <f>INDEX(F16:F30,MATCH(C36,'wire calculator'!T16:T30,-1))</f>
        <v>2580</v>
      </c>
      <c r="U33">
        <f>INDEX(F16:F30,MATCH(C36,'wire calculator'!U16:U30,-1))</f>
        <v>2580</v>
      </c>
      <c r="V33">
        <f>INDEX(F16:F30,MATCH(C36,'wire calculator'!V16:V30,-1))</f>
        <v>2580</v>
      </c>
      <c r="W33">
        <f>INDEX(F5:F30,MATCH(C36,'wire calculator'!W5:W30,-1))</f>
        <v>4110</v>
      </c>
      <c r="X33">
        <f>INDEX(F5:F30,MATCH(C36,'wire calculator'!X5:X30,-1))</f>
        <v>4110</v>
      </c>
      <c r="Y33">
        <f>INDEX(F5:F30,MATCH(C36,'wire calculator'!Y5:Y30,-1))</f>
        <v>4110</v>
      </c>
      <c r="Z33">
        <f>INDEX(F16:F30,MATCH(C36,'wire calculator'!Z16:Z30,-1))</f>
        <v>4110</v>
      </c>
      <c r="AA33" t="e">
        <f>INDEX(F5:F28,MATCH(UI!$E$15,'wire calculator'!AA5:AA28,1))</f>
        <v>#N/A</v>
      </c>
      <c r="AB33" t="e">
        <f>INDEX(F5:F28,MATCH(UI!$E$15,'wire calculator'!AB5:AB28,1))</f>
        <v>#N/A</v>
      </c>
      <c r="AC33" t="e">
        <f>INDEX(F5:F28,MATCH(UI!$E$15,'wire calculator'!AC5:AC28,1))</f>
        <v>#N/A</v>
      </c>
      <c r="AD33" t="e">
        <f>INDEX(F5:F28,MATCH(UI!$E$15,'wire calculator'!AD5:AD28,1))</f>
        <v>#N/A</v>
      </c>
      <c r="AE33" t="e">
        <f>INDEX(F5:F28,MATCH(UI!$E$15,'wire calculator'!AE5:AE28,1))</f>
        <v>#N/A</v>
      </c>
      <c r="AF33" t="e">
        <f>INDEX(F5:F28,MATCH(UI!$E$15,'wire calculator'!AF5:AF28,1))</f>
        <v>#N/A</v>
      </c>
      <c r="AG33" t="e">
        <f>INDEX(F5:F28,MATCH(UI!$E$15,'wire calculator'!AG5:AG28,1))</f>
        <v>#N/A</v>
      </c>
      <c r="AH33" t="e">
        <f>INDEX(F5:F28,MATCH(UI!$E$15,'wire calculator'!AH5:AH28,1))</f>
        <v>#N/A</v>
      </c>
      <c r="AI33" t="e">
        <f>INDEX(F5:F28,MATCH(UI!$E$15,'wire calculator'!AI5:AI28,1))</f>
        <v>#N/A</v>
      </c>
      <c r="AJ33" t="e">
        <f>INDEX(F5:F28,MATCH(UI!$E$15,'wire calculator'!AJ5:AJ28,1))</f>
        <v>#N/A</v>
      </c>
      <c r="AK33" s="23"/>
      <c r="AO33" s="23"/>
      <c r="AP33" s="23"/>
      <c r="AQ33" s="23"/>
      <c r="AR33" s="23"/>
    </row>
    <row r="34" spans="1:44" x14ac:dyDescent="0.25">
      <c r="A34" s="81" t="s">
        <v>100</v>
      </c>
      <c r="B34" s="81"/>
      <c r="C34" s="81"/>
      <c r="D34" s="83"/>
      <c r="E34" s="30"/>
      <c r="F34" s="30"/>
      <c r="Q34" s="34"/>
      <c r="R34" s="30"/>
      <c r="S34" s="30"/>
      <c r="T34" s="30"/>
      <c r="U34" s="30"/>
      <c r="V34" s="30"/>
      <c r="W34" s="30"/>
      <c r="X34" s="30"/>
      <c r="Y34" s="30"/>
      <c r="Z34" s="34"/>
      <c r="AA34" s="34"/>
      <c r="AB34" s="80"/>
      <c r="AC34" s="80"/>
      <c r="AD34" s="80"/>
      <c r="AE34" s="80"/>
      <c r="AF34" s="80"/>
      <c r="AG34" s="80"/>
      <c r="AH34" s="80"/>
      <c r="AI34" s="80"/>
      <c r="AJ34" s="34"/>
    </row>
    <row r="35" spans="1:44" x14ac:dyDescent="0.25">
      <c r="A35" s="31"/>
      <c r="B35" s="32"/>
      <c r="C35" s="37"/>
      <c r="D35" s="68"/>
      <c r="F35" s="1"/>
      <c r="G35" s="1"/>
    </row>
    <row r="36" spans="1:44" x14ac:dyDescent="0.25">
      <c r="A36" s="31"/>
      <c r="B36" s="32" t="s">
        <v>123</v>
      </c>
      <c r="C36" s="37">
        <f>IF(UI!F5="A",UI!E5,UI!E5/(VLOOKUP(UI!E4,'wire calculator'!B1:C5,2,FALSE)*UI!E3))/UI!E13</f>
        <v>0</v>
      </c>
      <c r="D36" s="6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23"/>
      <c r="AD36" s="23"/>
      <c r="AE36" s="23"/>
      <c r="AF36" s="23"/>
      <c r="AG36" s="23"/>
      <c r="AH36" s="23"/>
      <c r="AI36" s="23"/>
      <c r="AJ36" s="23"/>
    </row>
    <row r="37" spans="1:44" x14ac:dyDescent="0.25">
      <c r="A37" s="31"/>
      <c r="B37" s="32" t="s">
        <v>80</v>
      </c>
      <c r="C37" s="64">
        <f>INDEX(G33:Z33,1,C23+SUM(C24:C27))</f>
        <v>4110</v>
      </c>
      <c r="D37" s="6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23"/>
      <c r="AD37" s="23"/>
      <c r="AE37" s="23"/>
      <c r="AF37" s="23"/>
      <c r="AG37" s="23"/>
      <c r="AH37" s="23"/>
      <c r="AI37" s="23"/>
      <c r="AJ37" s="23"/>
    </row>
    <row r="38" spans="1:44" x14ac:dyDescent="0.25">
      <c r="A38" s="31"/>
      <c r="B38" s="32" t="s">
        <v>81</v>
      </c>
      <c r="C38" s="64">
        <f>INDEX(G33:Z33,1,C23+SUM(C28:C33))</f>
        <v>2580</v>
      </c>
      <c r="D38" s="6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44" x14ac:dyDescent="0.25">
      <c r="A39" s="31"/>
      <c r="B39" s="32"/>
      <c r="C39" s="37"/>
      <c r="D39" s="6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44" x14ac:dyDescent="0.25">
      <c r="A40" s="31"/>
      <c r="B40" s="32" t="s">
        <v>73</v>
      </c>
      <c r="C40" s="65">
        <f>VLOOKUP(UI!E4,'wire calculator'!B1:C5,2,FALSE)</f>
        <v>1.7320508075688772</v>
      </c>
      <c r="D40" s="68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44" x14ac:dyDescent="0.25">
      <c r="A41" s="31"/>
      <c r="B41" s="32" t="s">
        <v>35</v>
      </c>
      <c r="C41" s="63">
        <f>UI!E7</f>
        <v>0.9</v>
      </c>
      <c r="D41" s="68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44" x14ac:dyDescent="0.25">
      <c r="A42" s="31"/>
      <c r="B42" s="32" t="s">
        <v>75</v>
      </c>
      <c r="C42" s="37">
        <f>UI!E6</f>
        <v>0</v>
      </c>
      <c r="D42" s="68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44" x14ac:dyDescent="0.25">
      <c r="A43" s="31"/>
      <c r="B43" s="32" t="s">
        <v>76</v>
      </c>
      <c r="C43" s="31">
        <f>IF(C40=1,C42,0)</f>
        <v>0</v>
      </c>
      <c r="D43" s="68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44" x14ac:dyDescent="0.25">
      <c r="A44" s="31"/>
      <c r="B44" s="32" t="s">
        <v>74</v>
      </c>
      <c r="C44" s="63">
        <f>UI!E15</f>
        <v>2</v>
      </c>
      <c r="D44" s="68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44" x14ac:dyDescent="0.25">
      <c r="A45" s="31"/>
      <c r="B45" s="32"/>
      <c r="C45" s="31"/>
      <c r="D45" s="68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44" x14ac:dyDescent="0.25">
      <c r="A46" s="31"/>
      <c r="B46" s="32" t="s">
        <v>97</v>
      </c>
      <c r="C46" s="31">
        <f>IF(UI!$E$11="direct burried",1,0)</f>
        <v>0</v>
      </c>
      <c r="D46" s="68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44" x14ac:dyDescent="0.25">
      <c r="A47" s="31"/>
      <c r="B47" s="32" t="s">
        <v>77</v>
      </c>
      <c r="C47" s="31">
        <f>IF(UI!$E$11="PVC conduit",1,0)</f>
        <v>1</v>
      </c>
      <c r="D47" s="68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44" x14ac:dyDescent="0.25">
      <c r="A48" s="31"/>
      <c r="B48" s="32" t="s">
        <v>98</v>
      </c>
      <c r="C48" s="31">
        <f>IF(UI!$E$11="Al conduit",2,0)</f>
        <v>0</v>
      </c>
      <c r="D48" s="68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31"/>
      <c r="B49" s="32" t="s">
        <v>78</v>
      </c>
      <c r="C49" s="31">
        <f>IF(UI!$E$11="steel conduit",3,0)</f>
        <v>0</v>
      </c>
      <c r="D49" s="68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31"/>
      <c r="B50" s="32" t="s">
        <v>94</v>
      </c>
      <c r="C50" s="31">
        <f>IF(UI!$E$11="open air",1,0)</f>
        <v>0</v>
      </c>
      <c r="D50" s="68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81" t="s">
        <v>99</v>
      </c>
      <c r="B51" s="81"/>
      <c r="C51" s="81"/>
      <c r="D51" s="83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34"/>
      <c r="B52" s="34"/>
      <c r="C52" s="34"/>
      <c r="D52" s="69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34"/>
      <c r="B53" s="32" t="s">
        <v>102</v>
      </c>
      <c r="C53" s="61">
        <f>UI!E3</f>
        <v>0</v>
      </c>
      <c r="D53" s="69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31"/>
      <c r="B54" s="31"/>
      <c r="C54" s="31"/>
      <c r="D54" s="68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31"/>
      <c r="B55" s="32" t="s">
        <v>103</v>
      </c>
      <c r="C55" s="64" t="e">
        <f>IF(UI!$E$13&gt;1,MAX(C37,INDEX(AA33:AJ33,1,SUM(C24:C27)),'Trade Size'!B19),MAX(C37,INDEX(AA33:AJ33,1,SUM(C24:C27))))</f>
        <v>#N/A</v>
      </c>
      <c r="D55" s="68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31"/>
      <c r="B56" s="32" t="s">
        <v>104</v>
      </c>
      <c r="C56" s="64" t="e">
        <f>IF(UI!$E$13&gt;1,MAX(C38,INDEX(AA33:AJ33,1,SUM(C28:C33)),'Trade Size'!B19),MAX(C38,INDEX(AA33:AJ33,1,SUM(C28:C33))))</f>
        <v>#N/A</v>
      </c>
      <c r="D56" s="68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31"/>
      <c r="B57" s="32"/>
      <c r="C57" s="37"/>
      <c r="D57" s="68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31"/>
      <c r="B58" s="32" t="s">
        <v>110</v>
      </c>
      <c r="C58" s="66" t="str">
        <f>UI!E26</f>
        <v/>
      </c>
      <c r="D58" s="68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31"/>
      <c r="B59" s="32" t="s">
        <v>109</v>
      </c>
      <c r="C59" s="66" t="str">
        <f>UI!E37</f>
        <v/>
      </c>
      <c r="D59" s="68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31"/>
      <c r="B60" s="32"/>
      <c r="C60" s="37"/>
      <c r="D60" s="68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31"/>
      <c r="B61" s="32" t="s">
        <v>107</v>
      </c>
      <c r="C61" s="65" t="e">
        <f>C58*C53/(C40*C36*(C42+C43)*100)</f>
        <v>#VALUE!</v>
      </c>
      <c r="D61" s="68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31"/>
      <c r="B62" s="32" t="s">
        <v>108</v>
      </c>
      <c r="C62" s="65" t="e">
        <f>C59*C53/(C40*C36*(C42+C43)*100)</f>
        <v>#VALUE!</v>
      </c>
      <c r="D62" s="68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31"/>
      <c r="B63" s="32"/>
      <c r="C63" s="31"/>
      <c r="D63" s="68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31"/>
      <c r="B64" s="32" t="s">
        <v>105</v>
      </c>
      <c r="C64" s="64" t="e">
        <f>C44*C53/(C40*C36*C61*100)-C43</f>
        <v>#VALUE!</v>
      </c>
      <c r="D64" s="68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31"/>
      <c r="B65" s="32" t="s">
        <v>106</v>
      </c>
      <c r="C65" s="64" t="e">
        <f>C44*C53/(C40*C36*C62*100)-C43</f>
        <v>#VALUE!</v>
      </c>
      <c r="D65" s="68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31"/>
      <c r="B66" s="31"/>
      <c r="C66" s="31"/>
      <c r="D66" s="68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31"/>
      <c r="B67" s="32" t="s">
        <v>113</v>
      </c>
      <c r="C67" s="65" t="e">
        <f>UI!E21/(C37)</f>
        <v>#VALUE!</v>
      </c>
      <c r="D67" s="68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31"/>
      <c r="B68" s="32" t="s">
        <v>114</v>
      </c>
      <c r="C68" s="65" t="e">
        <f>UI!E32/(C38)</f>
        <v>#VALUE!</v>
      </c>
      <c r="D68" s="68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31"/>
      <c r="B69" s="31"/>
      <c r="C69" s="31"/>
      <c r="D69" s="68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31"/>
      <c r="B70" s="32" t="s">
        <v>111</v>
      </c>
      <c r="C70" s="31" t="e">
        <f>UI!$E$13*'wire calculator'!$C$36*'wire calculator'!C67</f>
        <v>#VALUE!</v>
      </c>
      <c r="D70" s="68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31"/>
      <c r="B71" s="32" t="s">
        <v>112</v>
      </c>
      <c r="C71" s="31" t="e">
        <f>UI!$E$13*'wire calculator'!$C$36*'wire calculator'!C68</f>
        <v>#VALUE!</v>
      </c>
      <c r="D71" s="68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31"/>
      <c r="B72" s="31"/>
      <c r="C72" s="31"/>
      <c r="D72" s="68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31"/>
      <c r="B73" s="32" t="s">
        <v>116</v>
      </c>
      <c r="C73" s="31" t="e">
        <f>INDEX('250.122'!C1:C21,MATCH('wire calculator'!C70,'250.122'!A1:A21,-1))</f>
        <v>#VALUE!</v>
      </c>
      <c r="D73" s="68"/>
    </row>
    <row r="74" spans="1:27" x14ac:dyDescent="0.25">
      <c r="A74" s="31"/>
      <c r="B74" s="32" t="s">
        <v>117</v>
      </c>
      <c r="C74" s="31" t="e">
        <f>INDEX('250.122'!B1:B21,MATCH('wire calculator'!C71,'250.122'!A1:A21,-1))</f>
        <v>#VALUE!</v>
      </c>
      <c r="D74" s="68"/>
    </row>
    <row r="75" spans="1:27" x14ac:dyDescent="0.25">
      <c r="A75" s="31"/>
      <c r="B75" s="31"/>
      <c r="C75" s="31"/>
      <c r="D75" s="68"/>
    </row>
    <row r="76" spans="1:27" x14ac:dyDescent="0.25">
      <c r="A76" s="31"/>
      <c r="B76" s="32" t="s">
        <v>121</v>
      </c>
      <c r="C76" s="32" t="e">
        <f>IF(ISNA(INDEX('250.66'!F1:F7,MATCH(UI!E13*UI!E21,'250.66'!E1:E7,-1))),"250",INDEX('250.66'!F1:F7,MATCH(UI!E13*UI!E21,'250.66'!E1:E7,-1)))</f>
        <v>#VALUE!</v>
      </c>
      <c r="D76" s="68"/>
    </row>
    <row r="77" spans="1:27" x14ac:dyDescent="0.25">
      <c r="A77" s="31"/>
      <c r="B77" s="32" t="s">
        <v>120</v>
      </c>
      <c r="C77" s="32" t="e">
        <f>IF(ISNA(INDEX('250.66'!F1:F7,MATCH(UI!E13*UI!E32,'250.66'!E1:E7,-1))),"3/0",INDEX('250.66'!F1:F7,MATCH(UI!E13*UI!E32,'250.66'!E1:E7,-1)))</f>
        <v>#VALUE!</v>
      </c>
      <c r="D77" s="68"/>
    </row>
    <row r="78" spans="1:27" x14ac:dyDescent="0.25">
      <c r="A78" s="31"/>
      <c r="B78" s="31"/>
      <c r="C78" s="32"/>
      <c r="D78" s="68"/>
    </row>
    <row r="79" spans="1:27" x14ac:dyDescent="0.25">
      <c r="A79" s="31"/>
      <c r="B79" s="31" t="s">
        <v>119</v>
      </c>
      <c r="C79" s="32" t="e">
        <f>IF(ISNA(INDEX('250.102(C)(1)'!F1:F7,MATCH(UI!E21,'250.102(C)(1)'!E1:E7,-1))),INDEX('Trade Size'!A1:A30,MATCH(UI!E21*0.125,'Trade Size'!B1:B30,-1)),INDEX('250.102(C)(1)'!F1:F7,MATCH(UI!E21,'250.102(C)(1)'!E1:E7,-1)))</f>
        <v>#VALUE!</v>
      </c>
      <c r="D79" s="68"/>
    </row>
    <row r="80" spans="1:27" x14ac:dyDescent="0.25">
      <c r="A80" s="31"/>
      <c r="B80" s="32" t="s">
        <v>118</v>
      </c>
      <c r="C80" s="32" t="e">
        <f>IF(ISNA(INDEX('250.102(C)(1)'!C1:C7,MATCH(UI!E32,'250.102(C)(1)'!B1:B7,-1))),INDEX('Trade Size'!A1:A30,MATCH(UI!E32*0.125,'Trade Size'!B1:B30,-1)),INDEX('250.102(C)(1)'!C1:C7,MATCH(UI!E32,'250.102(C)(1)'!B1:B7,-1)))</f>
        <v>#VALUE!</v>
      </c>
      <c r="D80" s="68"/>
    </row>
    <row r="81" spans="1:4" ht="15.75" thickBot="1" x14ac:dyDescent="0.3">
      <c r="A81" s="67"/>
      <c r="B81" s="67"/>
      <c r="C81" s="67"/>
      <c r="D81" s="70"/>
    </row>
    <row r="82" spans="1:4" ht="21.75" thickTop="1" x14ac:dyDescent="0.35">
      <c r="A82" s="84" t="s">
        <v>124</v>
      </c>
      <c r="B82" s="84"/>
      <c r="C82" s="84"/>
      <c r="D82" s="84"/>
    </row>
  </sheetData>
  <mergeCells count="10">
    <mergeCell ref="A82:D82"/>
    <mergeCell ref="A6:D6"/>
    <mergeCell ref="A14:D14"/>
    <mergeCell ref="A21:D21"/>
    <mergeCell ref="A34:D34"/>
    <mergeCell ref="AB34:AI34"/>
    <mergeCell ref="G31:P31"/>
    <mergeCell ref="Q31:Z31"/>
    <mergeCell ref="AA31:AJ31"/>
    <mergeCell ref="A51:D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9DFE-9C0D-4B2B-85BE-A75284677BBC}">
  <dimension ref="A1:D31"/>
  <sheetViews>
    <sheetView topLeftCell="A4" workbookViewId="0">
      <selection activeCell="A16" sqref="A16:A30"/>
    </sheetView>
  </sheetViews>
  <sheetFormatPr defaultRowHeight="15" x14ac:dyDescent="0.25"/>
  <cols>
    <col min="1" max="1" width="9.140625" style="1"/>
    <col min="2" max="2" width="9.140625" style="21"/>
  </cols>
  <sheetData>
    <row r="1" spans="1:4" x14ac:dyDescent="0.25">
      <c r="A1" s="33">
        <v>2000</v>
      </c>
      <c r="B1" s="47">
        <v>2000000</v>
      </c>
      <c r="D1" s="1"/>
    </row>
    <row r="2" spans="1:4" x14ac:dyDescent="0.25">
      <c r="A2" s="33">
        <v>1750</v>
      </c>
      <c r="B2" s="47">
        <v>1750000</v>
      </c>
      <c r="D2" s="1"/>
    </row>
    <row r="3" spans="1:4" x14ac:dyDescent="0.25">
      <c r="A3" s="33">
        <v>1500</v>
      </c>
      <c r="B3" s="47">
        <v>1500000</v>
      </c>
      <c r="D3" s="1"/>
    </row>
    <row r="4" spans="1:4" x14ac:dyDescent="0.25">
      <c r="A4" s="33">
        <v>1250</v>
      </c>
      <c r="B4" s="47">
        <v>1250000</v>
      </c>
      <c r="D4" s="1"/>
    </row>
    <row r="5" spans="1:4" x14ac:dyDescent="0.25">
      <c r="A5" s="33">
        <v>1000</v>
      </c>
      <c r="B5" s="47">
        <v>1000000</v>
      </c>
      <c r="D5" s="1"/>
    </row>
    <row r="6" spans="1:4" x14ac:dyDescent="0.25">
      <c r="A6" s="33">
        <v>900</v>
      </c>
      <c r="B6" s="47">
        <v>900000</v>
      </c>
      <c r="D6" s="1"/>
    </row>
    <row r="7" spans="1:4" x14ac:dyDescent="0.25">
      <c r="A7" s="33">
        <v>800</v>
      </c>
      <c r="B7" s="47">
        <v>800000</v>
      </c>
      <c r="D7" s="1"/>
    </row>
    <row r="8" spans="1:4" x14ac:dyDescent="0.25">
      <c r="A8" s="33">
        <v>750</v>
      </c>
      <c r="B8" s="47">
        <v>750000</v>
      </c>
      <c r="D8" s="1"/>
    </row>
    <row r="9" spans="1:4" x14ac:dyDescent="0.25">
      <c r="A9" s="33">
        <v>700</v>
      </c>
      <c r="B9" s="47">
        <v>700000</v>
      </c>
      <c r="D9" s="1"/>
    </row>
    <row r="10" spans="1:4" x14ac:dyDescent="0.25">
      <c r="A10" s="33">
        <v>600</v>
      </c>
      <c r="B10" s="47">
        <v>600000</v>
      </c>
      <c r="D10" s="1"/>
    </row>
    <row r="11" spans="1:4" x14ac:dyDescent="0.25">
      <c r="A11" s="33">
        <v>500</v>
      </c>
      <c r="B11" s="47">
        <v>500000</v>
      </c>
      <c r="D11" s="1"/>
    </row>
    <row r="12" spans="1:4" x14ac:dyDescent="0.25">
      <c r="A12" s="33">
        <v>400</v>
      </c>
      <c r="B12" s="47">
        <v>400000</v>
      </c>
      <c r="D12" s="1"/>
    </row>
    <row r="13" spans="1:4" x14ac:dyDescent="0.25">
      <c r="A13" s="33">
        <v>350</v>
      </c>
      <c r="B13" s="47">
        <v>350000</v>
      </c>
      <c r="D13" s="1"/>
    </row>
    <row r="14" spans="1:4" x14ac:dyDescent="0.25">
      <c r="A14" s="33">
        <v>300</v>
      </c>
      <c r="B14" s="47">
        <v>300000</v>
      </c>
      <c r="D14" s="1"/>
    </row>
    <row r="15" spans="1:4" x14ac:dyDescent="0.25">
      <c r="A15" s="33">
        <v>250</v>
      </c>
      <c r="B15" s="47">
        <v>250000</v>
      </c>
      <c r="D15" s="1"/>
    </row>
    <row r="16" spans="1:4" x14ac:dyDescent="0.25">
      <c r="A16" s="42" t="s">
        <v>16</v>
      </c>
      <c r="B16" s="47">
        <v>211600</v>
      </c>
      <c r="C16" s="20"/>
    </row>
    <row r="17" spans="1:3" x14ac:dyDescent="0.25">
      <c r="A17" s="42" t="s">
        <v>15</v>
      </c>
      <c r="B17" s="47">
        <v>167800</v>
      </c>
      <c r="C17" s="20"/>
    </row>
    <row r="18" spans="1:3" x14ac:dyDescent="0.25">
      <c r="A18" s="42" t="s">
        <v>14</v>
      </c>
      <c r="B18" s="47">
        <v>133100</v>
      </c>
      <c r="C18" s="20"/>
    </row>
    <row r="19" spans="1:3" x14ac:dyDescent="0.25">
      <c r="A19" s="42" t="s">
        <v>13</v>
      </c>
      <c r="B19" s="47">
        <v>105600</v>
      </c>
      <c r="C19" s="20"/>
    </row>
    <row r="20" spans="1:3" x14ac:dyDescent="0.25">
      <c r="A20" s="33">
        <v>1</v>
      </c>
      <c r="B20" s="47">
        <v>83690</v>
      </c>
    </row>
    <row r="21" spans="1:3" x14ac:dyDescent="0.25">
      <c r="A21" s="33">
        <v>2</v>
      </c>
      <c r="B21" s="47">
        <v>66360</v>
      </c>
    </row>
    <row r="22" spans="1:3" x14ac:dyDescent="0.25">
      <c r="A22" s="33">
        <v>3</v>
      </c>
      <c r="B22" s="47">
        <v>52620</v>
      </c>
    </row>
    <row r="23" spans="1:3" x14ac:dyDescent="0.25">
      <c r="A23" s="33">
        <v>4</v>
      </c>
      <c r="B23" s="47">
        <v>41740</v>
      </c>
    </row>
    <row r="24" spans="1:3" x14ac:dyDescent="0.25">
      <c r="A24" s="33">
        <v>6</v>
      </c>
      <c r="B24" s="47">
        <v>26240</v>
      </c>
    </row>
    <row r="25" spans="1:3" x14ac:dyDescent="0.25">
      <c r="A25" s="33">
        <v>8</v>
      </c>
      <c r="B25" s="47">
        <v>16510</v>
      </c>
    </row>
    <row r="26" spans="1:3" x14ac:dyDescent="0.25">
      <c r="A26" s="33">
        <v>10</v>
      </c>
      <c r="B26" s="47">
        <v>10380</v>
      </c>
    </row>
    <row r="27" spans="1:3" x14ac:dyDescent="0.25">
      <c r="A27" s="33">
        <v>12</v>
      </c>
      <c r="B27" s="47">
        <v>6530</v>
      </c>
    </row>
    <row r="28" spans="1:3" x14ac:dyDescent="0.25">
      <c r="A28" s="33">
        <v>14</v>
      </c>
      <c r="B28" s="47">
        <v>4110</v>
      </c>
    </row>
    <row r="29" spans="1:3" x14ac:dyDescent="0.25">
      <c r="A29" s="33">
        <v>16</v>
      </c>
      <c r="B29" s="47">
        <v>2580</v>
      </c>
    </row>
    <row r="30" spans="1:3" x14ac:dyDescent="0.25">
      <c r="A30" s="41">
        <v>18</v>
      </c>
      <c r="B30" s="48">
        <v>1620</v>
      </c>
    </row>
    <row r="31" spans="1:3" x14ac:dyDescent="0.25">
      <c r="A31" s="24" t="s">
        <v>65</v>
      </c>
      <c r="B31" s="24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AB20-3306-454B-AF6C-A903CB722D12}">
  <dimension ref="A1:G8"/>
  <sheetViews>
    <sheetView workbookViewId="0">
      <selection activeCell="E11" sqref="E11"/>
    </sheetView>
  </sheetViews>
  <sheetFormatPr defaultRowHeight="15" x14ac:dyDescent="0.25"/>
  <cols>
    <col min="1" max="1" width="9.140625" style="1"/>
    <col min="2" max="2" width="9.140625" style="3"/>
  </cols>
  <sheetData>
    <row r="1" spans="1:7" x14ac:dyDescent="0.25">
      <c r="A1" s="45" t="s">
        <v>23</v>
      </c>
      <c r="B1" s="43">
        <v>1</v>
      </c>
      <c r="D1" t="s">
        <v>71</v>
      </c>
    </row>
    <row r="2" spans="1:7" x14ac:dyDescent="0.25">
      <c r="A2" s="45" t="s">
        <v>17</v>
      </c>
      <c r="B2" s="43">
        <v>0.8</v>
      </c>
      <c r="D2" s="85" t="s">
        <v>70</v>
      </c>
      <c r="E2" s="85"/>
      <c r="F2" s="85"/>
      <c r="G2" s="85"/>
    </row>
    <row r="3" spans="1:7" x14ac:dyDescent="0.25">
      <c r="A3" s="42" t="s">
        <v>18</v>
      </c>
      <c r="B3" s="43">
        <v>0.7</v>
      </c>
      <c r="D3" s="85"/>
      <c r="E3" s="85"/>
      <c r="F3" s="85"/>
      <c r="G3" s="85"/>
    </row>
    <row r="4" spans="1:7" x14ac:dyDescent="0.25">
      <c r="A4" s="42" t="s">
        <v>19</v>
      </c>
      <c r="B4" s="43">
        <v>0.5</v>
      </c>
      <c r="D4" s="85"/>
      <c r="E4" s="85"/>
      <c r="F4" s="85"/>
      <c r="G4" s="85"/>
    </row>
    <row r="5" spans="1:7" x14ac:dyDescent="0.25">
      <c r="A5" s="42" t="s">
        <v>20</v>
      </c>
      <c r="B5" s="43">
        <v>0.45</v>
      </c>
      <c r="D5" s="85"/>
      <c r="E5" s="85"/>
      <c r="F5" s="85"/>
      <c r="G5" s="85"/>
    </row>
    <row r="6" spans="1:7" x14ac:dyDescent="0.25">
      <c r="A6" s="42" t="s">
        <v>21</v>
      </c>
      <c r="B6" s="43">
        <v>0.4</v>
      </c>
      <c r="D6" s="85"/>
      <c r="E6" s="85"/>
      <c r="F6" s="85"/>
      <c r="G6" s="85"/>
    </row>
    <row r="7" spans="1:7" x14ac:dyDescent="0.25">
      <c r="A7" s="46" t="s">
        <v>22</v>
      </c>
      <c r="B7" s="44">
        <v>0.35</v>
      </c>
      <c r="D7" s="85"/>
      <c r="E7" s="85"/>
      <c r="F7" s="85"/>
      <c r="G7" s="85"/>
    </row>
    <row r="8" spans="1:7" x14ac:dyDescent="0.25">
      <c r="A8" s="24" t="s">
        <v>45</v>
      </c>
      <c r="B8" s="25" t="s">
        <v>6</v>
      </c>
    </row>
  </sheetData>
  <mergeCells count="1">
    <mergeCell ref="D2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1F1E-7C75-4A62-A933-9325EDD20F0E}">
  <dimension ref="A1:F15"/>
  <sheetViews>
    <sheetView workbookViewId="0">
      <selection activeCell="B1" sqref="B1"/>
    </sheetView>
  </sheetViews>
  <sheetFormatPr defaultRowHeight="15" x14ac:dyDescent="0.25"/>
  <cols>
    <col min="1" max="3" width="9.140625" style="1"/>
  </cols>
  <sheetData>
    <row r="1" spans="1:6" x14ac:dyDescent="0.25">
      <c r="A1">
        <v>2000</v>
      </c>
      <c r="B1" s="33">
        <f>VLOOKUP(A1,'Trade Size'!$A$1:$B$30,2,FALSE)</f>
        <v>2000000</v>
      </c>
      <c r="C1" s="42" t="s">
        <v>15</v>
      </c>
      <c r="D1" s="1">
        <v>2000</v>
      </c>
      <c r="E1" s="33">
        <f>VLOOKUP(D1,'Trade Size'!$A$1:$B$30,2,FALSE)</f>
        <v>2000000</v>
      </c>
      <c r="F1" s="33">
        <v>250</v>
      </c>
    </row>
    <row r="2" spans="1:6" x14ac:dyDescent="0.25">
      <c r="A2">
        <v>1100</v>
      </c>
      <c r="B2" s="39">
        <v>1100000</v>
      </c>
      <c r="C2" s="42" t="s">
        <v>14</v>
      </c>
      <c r="D2" s="1">
        <v>1750</v>
      </c>
      <c r="E2" s="33">
        <f>VLOOKUP(D2,'Trade Size'!$A$1:$B$30,2,FALSE)</f>
        <v>1750000</v>
      </c>
      <c r="F2" s="42" t="s">
        <v>16</v>
      </c>
    </row>
    <row r="3" spans="1:6" x14ac:dyDescent="0.25">
      <c r="A3" s="1">
        <v>600</v>
      </c>
      <c r="B3" s="33">
        <f>VLOOKUP(A3,'Trade Size'!$A$1:$B$30,2,FALSE)</f>
        <v>600000</v>
      </c>
      <c r="C3" s="42" t="s">
        <v>13</v>
      </c>
      <c r="D3" s="1">
        <v>900</v>
      </c>
      <c r="E3" s="33">
        <f>VLOOKUP(D3,'Trade Size'!$A$1:$B$30,2,FALSE)</f>
        <v>900000</v>
      </c>
      <c r="F3" s="42" t="s">
        <v>15</v>
      </c>
    </row>
    <row r="4" spans="1:6" x14ac:dyDescent="0.25">
      <c r="A4">
        <v>350</v>
      </c>
      <c r="B4" s="33">
        <f>VLOOKUP(A4,'Trade Size'!$A$1:$B$30,2,FALSE)</f>
        <v>350000</v>
      </c>
      <c r="C4" s="33">
        <v>2</v>
      </c>
      <c r="D4" s="1">
        <v>500</v>
      </c>
      <c r="E4" s="33">
        <f>VLOOKUP(D4,'Trade Size'!$A$1:$B$30,2,FALSE)</f>
        <v>500000</v>
      </c>
      <c r="F4" s="42" t="s">
        <v>13</v>
      </c>
    </row>
    <row r="5" spans="1:6" x14ac:dyDescent="0.25">
      <c r="A5" s="2" t="s">
        <v>15</v>
      </c>
      <c r="B5" s="33">
        <f>VLOOKUP(A5,'Trade Size'!$A$1:$B$30,2,FALSE)</f>
        <v>167800</v>
      </c>
      <c r="C5" s="33">
        <v>4</v>
      </c>
      <c r="D5" s="1">
        <v>250</v>
      </c>
      <c r="E5" s="33">
        <f>VLOOKUP(D5,'Trade Size'!$A$1:$B$30,2,FALSE)</f>
        <v>250000</v>
      </c>
      <c r="F5" s="33">
        <v>2</v>
      </c>
    </row>
    <row r="6" spans="1:6" x14ac:dyDescent="0.25">
      <c r="A6" s="4" t="s">
        <v>13</v>
      </c>
      <c r="B6" s="33">
        <f>VLOOKUP(A6,'Trade Size'!$A$1:$B$30,2,FALSE)</f>
        <v>105600</v>
      </c>
      <c r="C6" s="33">
        <v>6</v>
      </c>
      <c r="D6" s="2" t="s">
        <v>15</v>
      </c>
      <c r="E6" s="33">
        <f>VLOOKUP(D6,'Trade Size'!$A$1:$B$30,2,FALSE)</f>
        <v>167800</v>
      </c>
      <c r="F6" s="33">
        <v>4</v>
      </c>
    </row>
    <row r="7" spans="1:6" x14ac:dyDescent="0.25">
      <c r="A7" s="1">
        <v>2</v>
      </c>
      <c r="B7" s="33">
        <f>VLOOKUP(A7,'Trade Size'!$A$1:$B$30,2,FALSE)</f>
        <v>66360</v>
      </c>
      <c r="C7" s="41">
        <v>8</v>
      </c>
      <c r="D7" s="2" t="s">
        <v>13</v>
      </c>
      <c r="E7" s="33">
        <f>VLOOKUP(D7,'Trade Size'!$A$1:$B$30,2,FALSE)</f>
        <v>105600</v>
      </c>
      <c r="F7" s="41">
        <v>6</v>
      </c>
    </row>
    <row r="8" spans="1:6" x14ac:dyDescent="0.25">
      <c r="A8" s="86" t="s">
        <v>66</v>
      </c>
      <c r="B8" s="86"/>
      <c r="C8" s="24" t="s">
        <v>68</v>
      </c>
      <c r="D8" s="86" t="s">
        <v>67</v>
      </c>
      <c r="E8" s="86"/>
      <c r="F8" s="24" t="s">
        <v>69</v>
      </c>
    </row>
    <row r="10" spans="1:6" x14ac:dyDescent="0.25">
      <c r="A10" s="4"/>
    </row>
    <row r="11" spans="1:6" x14ac:dyDescent="0.25">
      <c r="A11" s="2"/>
    </row>
    <row r="13" spans="1:6" x14ac:dyDescent="0.25">
      <c r="C13" s="2"/>
    </row>
    <row r="14" spans="1:6" x14ac:dyDescent="0.25">
      <c r="C14" s="2"/>
    </row>
    <row r="15" spans="1:6" x14ac:dyDescent="0.25">
      <c r="C15" s="2"/>
    </row>
  </sheetData>
  <mergeCells count="2">
    <mergeCell ref="A8:B8"/>
    <mergeCell ref="D8: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7632-DFFC-449F-9738-48E55C05F46F}">
  <dimension ref="A1:F15"/>
  <sheetViews>
    <sheetView workbookViewId="0">
      <selection activeCell="J7" sqref="J7"/>
    </sheetView>
  </sheetViews>
  <sheetFormatPr defaultRowHeight="15" x14ac:dyDescent="0.25"/>
  <cols>
    <col min="1" max="3" width="9.140625" style="1"/>
  </cols>
  <sheetData>
    <row r="1" spans="1:6" x14ac:dyDescent="0.25">
      <c r="A1">
        <v>2000</v>
      </c>
      <c r="B1" s="33">
        <f>VLOOKUP(A1,'Trade Size'!$A$1:$B$30,2,FALSE)</f>
        <v>2000000</v>
      </c>
      <c r="C1" s="42" t="e">
        <v>#N/A</v>
      </c>
      <c r="D1" s="1">
        <v>2000</v>
      </c>
      <c r="E1" s="33">
        <f>VLOOKUP(D1,'Trade Size'!$A$1:$B$30,2,FALSE)</f>
        <v>2000000</v>
      </c>
      <c r="F1" s="42" t="e">
        <v>#N/A</v>
      </c>
    </row>
    <row r="2" spans="1:6" x14ac:dyDescent="0.25">
      <c r="A2">
        <v>1100</v>
      </c>
      <c r="B2" s="39">
        <v>1100000</v>
      </c>
      <c r="C2" s="42" t="s">
        <v>14</v>
      </c>
      <c r="D2" s="1">
        <v>1750</v>
      </c>
      <c r="E2" s="33">
        <f>VLOOKUP(D2,'Trade Size'!$A$1:$B$30,2,FALSE)</f>
        <v>1750000</v>
      </c>
      <c r="F2" s="42" t="s">
        <v>16</v>
      </c>
    </row>
    <row r="3" spans="1:6" x14ac:dyDescent="0.25">
      <c r="A3" s="1">
        <v>600</v>
      </c>
      <c r="B3" s="33">
        <f>VLOOKUP(A3,'Trade Size'!$A$1:$B$30,2,FALSE)</f>
        <v>600000</v>
      </c>
      <c r="C3" s="42" t="s">
        <v>13</v>
      </c>
      <c r="D3" s="1">
        <v>900</v>
      </c>
      <c r="E3" s="33">
        <f>VLOOKUP(D3,'Trade Size'!$A$1:$B$30,2,FALSE)</f>
        <v>900000</v>
      </c>
      <c r="F3" s="42" t="s">
        <v>15</v>
      </c>
    </row>
    <row r="4" spans="1:6" x14ac:dyDescent="0.25">
      <c r="A4">
        <v>350</v>
      </c>
      <c r="B4" s="33">
        <f>VLOOKUP(A4,'Trade Size'!$A$1:$B$30,2,FALSE)</f>
        <v>350000</v>
      </c>
      <c r="C4" s="33">
        <v>2</v>
      </c>
      <c r="D4" s="1">
        <v>500</v>
      </c>
      <c r="E4" s="33">
        <f>VLOOKUP(D4,'Trade Size'!$A$1:$B$30,2,FALSE)</f>
        <v>500000</v>
      </c>
      <c r="F4" s="42" t="s">
        <v>13</v>
      </c>
    </row>
    <row r="5" spans="1:6" x14ac:dyDescent="0.25">
      <c r="A5" s="2" t="s">
        <v>15</v>
      </c>
      <c r="B5" s="33">
        <f>VLOOKUP(A5,'Trade Size'!$A$1:$B$30,2,FALSE)</f>
        <v>167800</v>
      </c>
      <c r="C5" s="33">
        <v>4</v>
      </c>
      <c r="D5" s="1">
        <v>250</v>
      </c>
      <c r="E5" s="33">
        <f>VLOOKUP(D5,'Trade Size'!$A$1:$B$30,2,FALSE)</f>
        <v>250000</v>
      </c>
      <c r="F5" s="33">
        <v>2</v>
      </c>
    </row>
    <row r="6" spans="1:6" x14ac:dyDescent="0.25">
      <c r="A6" s="4" t="s">
        <v>13</v>
      </c>
      <c r="B6" s="33">
        <f>VLOOKUP(A6,'Trade Size'!$A$1:$B$30,2,FALSE)</f>
        <v>105600</v>
      </c>
      <c r="C6" s="33">
        <v>6</v>
      </c>
      <c r="D6" s="2" t="s">
        <v>15</v>
      </c>
      <c r="E6" s="33">
        <f>VLOOKUP(D6,'Trade Size'!$A$1:$B$30,2,FALSE)</f>
        <v>167800</v>
      </c>
      <c r="F6" s="33">
        <v>4</v>
      </c>
    </row>
    <row r="7" spans="1:6" x14ac:dyDescent="0.25">
      <c r="A7" s="1">
        <v>2</v>
      </c>
      <c r="B7" s="33">
        <f>VLOOKUP(A7,'Trade Size'!$A$1:$B$30,2,FALSE)</f>
        <v>66360</v>
      </c>
      <c r="C7" s="41">
        <v>8</v>
      </c>
      <c r="D7" s="2" t="s">
        <v>13</v>
      </c>
      <c r="E7" s="33">
        <f>VLOOKUP(D7,'Trade Size'!$A$1:$B$30,2,FALSE)</f>
        <v>105600</v>
      </c>
      <c r="F7" s="41">
        <v>6</v>
      </c>
    </row>
    <row r="8" spans="1:6" x14ac:dyDescent="0.25">
      <c r="A8" s="86" t="s">
        <v>66</v>
      </c>
      <c r="B8" s="86"/>
      <c r="C8" s="24" t="s">
        <v>68</v>
      </c>
      <c r="D8" s="86" t="s">
        <v>67</v>
      </c>
      <c r="E8" s="86"/>
      <c r="F8" s="24" t="s">
        <v>69</v>
      </c>
    </row>
    <row r="10" spans="1:6" x14ac:dyDescent="0.25">
      <c r="A10" s="4"/>
    </row>
    <row r="11" spans="1:6" x14ac:dyDescent="0.25">
      <c r="A11" s="2"/>
    </row>
    <row r="13" spans="1:6" x14ac:dyDescent="0.25">
      <c r="C13" s="2"/>
    </row>
    <row r="14" spans="1:6" x14ac:dyDescent="0.25">
      <c r="C14" s="2"/>
    </row>
    <row r="15" spans="1:6" x14ac:dyDescent="0.25">
      <c r="C15" s="2"/>
    </row>
  </sheetData>
  <mergeCells count="2">
    <mergeCell ref="A8:B8"/>
    <mergeCell ref="D8:E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B756-B10B-41EA-B2D5-80BD4CCE013B}">
  <dimension ref="A1:C22"/>
  <sheetViews>
    <sheetView workbookViewId="0">
      <selection activeCell="H20" sqref="H20"/>
    </sheetView>
  </sheetViews>
  <sheetFormatPr defaultRowHeight="15" x14ac:dyDescent="0.25"/>
  <cols>
    <col min="1" max="3" width="9.140625" style="1"/>
  </cols>
  <sheetData>
    <row r="1" spans="1:3" x14ac:dyDescent="0.25">
      <c r="A1" s="33">
        <v>6000</v>
      </c>
      <c r="B1" s="1">
        <v>800</v>
      </c>
      <c r="C1" s="33">
        <v>1200</v>
      </c>
    </row>
    <row r="2" spans="1:3" x14ac:dyDescent="0.25">
      <c r="A2" s="33">
        <v>5000</v>
      </c>
      <c r="B2" s="1">
        <v>700</v>
      </c>
      <c r="C2" s="33">
        <v>1200</v>
      </c>
    </row>
    <row r="3" spans="1:3" x14ac:dyDescent="0.25">
      <c r="A3" s="33">
        <v>4000</v>
      </c>
      <c r="B3" s="1">
        <v>500</v>
      </c>
      <c r="C3" s="33">
        <v>750</v>
      </c>
    </row>
    <row r="4" spans="1:3" x14ac:dyDescent="0.25">
      <c r="A4" s="33">
        <v>3000</v>
      </c>
      <c r="B4" s="1">
        <v>400</v>
      </c>
      <c r="C4" s="33">
        <v>600</v>
      </c>
    </row>
    <row r="5" spans="1:3" x14ac:dyDescent="0.25">
      <c r="A5" s="33">
        <v>2500</v>
      </c>
      <c r="B5" s="1">
        <v>350</v>
      </c>
      <c r="C5" s="33">
        <v>600</v>
      </c>
    </row>
    <row r="6" spans="1:3" x14ac:dyDescent="0.25">
      <c r="A6" s="33">
        <v>2000</v>
      </c>
      <c r="B6" s="1">
        <v>250</v>
      </c>
      <c r="C6" s="33">
        <v>400</v>
      </c>
    </row>
    <row r="7" spans="1:3" x14ac:dyDescent="0.25">
      <c r="A7" s="33">
        <v>1600</v>
      </c>
      <c r="B7" s="2" t="s">
        <v>16</v>
      </c>
      <c r="C7" s="33">
        <v>350</v>
      </c>
    </row>
    <row r="8" spans="1:3" x14ac:dyDescent="0.25">
      <c r="A8" s="33">
        <v>1200</v>
      </c>
      <c r="B8" s="2" t="s">
        <v>15</v>
      </c>
      <c r="C8" s="33">
        <v>250</v>
      </c>
    </row>
    <row r="9" spans="1:3" x14ac:dyDescent="0.25">
      <c r="A9" s="33">
        <v>1000</v>
      </c>
      <c r="B9" s="2" t="s">
        <v>14</v>
      </c>
      <c r="C9" s="42" t="s">
        <v>16</v>
      </c>
    </row>
    <row r="10" spans="1:3" x14ac:dyDescent="0.25">
      <c r="A10" s="33">
        <v>800</v>
      </c>
      <c r="B10" s="2" t="s">
        <v>13</v>
      </c>
      <c r="C10" s="42" t="s">
        <v>15</v>
      </c>
    </row>
    <row r="11" spans="1:3" x14ac:dyDescent="0.25">
      <c r="A11" s="33">
        <v>600</v>
      </c>
      <c r="B11" s="1">
        <v>1</v>
      </c>
      <c r="C11" s="42" t="s">
        <v>14</v>
      </c>
    </row>
    <row r="12" spans="1:3" x14ac:dyDescent="0.25">
      <c r="A12" s="33">
        <v>500</v>
      </c>
      <c r="B12" s="1">
        <v>2</v>
      </c>
      <c r="C12" s="42" t="s">
        <v>13</v>
      </c>
    </row>
    <row r="13" spans="1:3" x14ac:dyDescent="0.25">
      <c r="A13" s="33">
        <v>400</v>
      </c>
      <c r="B13" s="1">
        <v>3</v>
      </c>
      <c r="C13" s="33">
        <v>1</v>
      </c>
    </row>
    <row r="14" spans="1:3" x14ac:dyDescent="0.25">
      <c r="A14" s="33">
        <v>300</v>
      </c>
      <c r="B14" s="1">
        <v>4</v>
      </c>
      <c r="C14" s="33">
        <v>2</v>
      </c>
    </row>
    <row r="15" spans="1:3" x14ac:dyDescent="0.25">
      <c r="A15" s="33">
        <v>200</v>
      </c>
      <c r="B15" s="1">
        <v>6</v>
      </c>
      <c r="C15" s="33">
        <v>4</v>
      </c>
    </row>
    <row r="16" spans="1:3" x14ac:dyDescent="0.25">
      <c r="A16" s="33">
        <v>100</v>
      </c>
      <c r="B16" s="1">
        <v>8</v>
      </c>
      <c r="C16" s="33">
        <v>6</v>
      </c>
    </row>
    <row r="17" spans="1:3" x14ac:dyDescent="0.25">
      <c r="A17" s="33">
        <v>60</v>
      </c>
      <c r="B17" s="1">
        <v>10</v>
      </c>
      <c r="C17" s="33">
        <v>8</v>
      </c>
    </row>
    <row r="18" spans="1:3" x14ac:dyDescent="0.25">
      <c r="A18" s="33">
        <v>40</v>
      </c>
      <c r="B18" s="1">
        <v>10</v>
      </c>
      <c r="C18" s="33">
        <v>8</v>
      </c>
    </row>
    <row r="19" spans="1:3" x14ac:dyDescent="0.25">
      <c r="A19" s="33">
        <v>30</v>
      </c>
      <c r="B19" s="1">
        <v>10</v>
      </c>
      <c r="C19" s="33">
        <v>8</v>
      </c>
    </row>
    <row r="20" spans="1:3" x14ac:dyDescent="0.25">
      <c r="A20" s="33">
        <v>20</v>
      </c>
      <c r="B20" s="1">
        <v>12</v>
      </c>
      <c r="C20" s="33">
        <v>10</v>
      </c>
    </row>
    <row r="21" spans="1:3" x14ac:dyDescent="0.25">
      <c r="A21" s="41">
        <v>15</v>
      </c>
      <c r="B21" s="1">
        <v>14</v>
      </c>
      <c r="C21" s="41">
        <v>12</v>
      </c>
    </row>
    <row r="22" spans="1:3" x14ac:dyDescent="0.25">
      <c r="A22" s="24" t="s">
        <v>64</v>
      </c>
      <c r="B22" s="24" t="s">
        <v>68</v>
      </c>
      <c r="C22" s="24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720CD-C382-4F87-AAF6-0A977EB4B5AE}">
  <dimension ref="A1:H31"/>
  <sheetViews>
    <sheetView workbookViewId="0">
      <selection activeCell="K8" sqref="K8"/>
    </sheetView>
  </sheetViews>
  <sheetFormatPr defaultRowHeight="15" x14ac:dyDescent="0.25"/>
  <cols>
    <col min="1" max="3" width="9.140625" style="1"/>
  </cols>
  <sheetData>
    <row r="1" spans="1:8" x14ac:dyDescent="0.25">
      <c r="A1" s="1">
        <f>'Trade Size'!A1</f>
        <v>2000</v>
      </c>
      <c r="B1" s="33">
        <f>'Trade Size'!B1</f>
        <v>2000000</v>
      </c>
      <c r="C1" s="1">
        <v>555</v>
      </c>
      <c r="D1">
        <v>665</v>
      </c>
      <c r="E1">
        <v>750</v>
      </c>
      <c r="F1">
        <v>470</v>
      </c>
      <c r="G1">
        <v>560</v>
      </c>
      <c r="H1" s="39">
        <v>630</v>
      </c>
    </row>
    <row r="2" spans="1:8" x14ac:dyDescent="0.25">
      <c r="A2" s="1">
        <f>'Trade Size'!A2</f>
        <v>1750</v>
      </c>
      <c r="B2" s="33">
        <f>'Trade Size'!B2</f>
        <v>1750000</v>
      </c>
      <c r="C2" s="1">
        <v>545</v>
      </c>
      <c r="D2">
        <v>650</v>
      </c>
      <c r="E2">
        <v>735</v>
      </c>
      <c r="F2">
        <v>455</v>
      </c>
      <c r="G2">
        <v>545</v>
      </c>
      <c r="H2" s="39">
        <v>615</v>
      </c>
    </row>
    <row r="3" spans="1:8" x14ac:dyDescent="0.25">
      <c r="A3" s="1">
        <f>'Trade Size'!A3</f>
        <v>1500</v>
      </c>
      <c r="B3" s="33">
        <f>'Trade Size'!B3</f>
        <v>1500000</v>
      </c>
      <c r="C3" s="1">
        <v>525</v>
      </c>
      <c r="D3">
        <v>625</v>
      </c>
      <c r="E3">
        <v>705</v>
      </c>
      <c r="F3">
        <v>435</v>
      </c>
      <c r="G3">
        <v>520</v>
      </c>
      <c r="H3" s="39">
        <v>585</v>
      </c>
    </row>
    <row r="4" spans="1:8" x14ac:dyDescent="0.25">
      <c r="A4" s="1">
        <f>'Trade Size'!A4</f>
        <v>1250</v>
      </c>
      <c r="B4" s="33">
        <f>'Trade Size'!B4</f>
        <v>1250000</v>
      </c>
      <c r="C4" s="1">
        <v>495</v>
      </c>
      <c r="D4">
        <v>590</v>
      </c>
      <c r="E4">
        <v>665</v>
      </c>
      <c r="F4">
        <v>405</v>
      </c>
      <c r="G4">
        <v>485</v>
      </c>
      <c r="H4" s="39">
        <v>545</v>
      </c>
    </row>
    <row r="5" spans="1:8" x14ac:dyDescent="0.25">
      <c r="A5" s="1">
        <f>'Trade Size'!A5</f>
        <v>1000</v>
      </c>
      <c r="B5" s="33">
        <f>'Trade Size'!B5</f>
        <v>1000000</v>
      </c>
      <c r="C5" s="1">
        <v>455</v>
      </c>
      <c r="D5">
        <v>545</v>
      </c>
      <c r="E5">
        <v>615</v>
      </c>
      <c r="F5">
        <v>375</v>
      </c>
      <c r="G5">
        <v>445</v>
      </c>
      <c r="H5" s="39">
        <v>500</v>
      </c>
    </row>
    <row r="6" spans="1:8" x14ac:dyDescent="0.25">
      <c r="A6" s="1">
        <f>'Trade Size'!A6</f>
        <v>900</v>
      </c>
      <c r="B6" s="33">
        <f>'Trade Size'!B6</f>
        <v>900000</v>
      </c>
      <c r="C6" s="1">
        <v>435</v>
      </c>
      <c r="D6">
        <v>520</v>
      </c>
      <c r="E6">
        <v>585</v>
      </c>
      <c r="F6">
        <v>355</v>
      </c>
      <c r="G6">
        <v>425</v>
      </c>
      <c r="H6" s="39">
        <v>480</v>
      </c>
    </row>
    <row r="7" spans="1:8" x14ac:dyDescent="0.25">
      <c r="A7" s="1">
        <f>'Trade Size'!A7</f>
        <v>800</v>
      </c>
      <c r="B7" s="33">
        <f>'Trade Size'!B7</f>
        <v>800000</v>
      </c>
      <c r="C7" s="1">
        <v>410</v>
      </c>
      <c r="D7">
        <v>490</v>
      </c>
      <c r="E7">
        <v>555</v>
      </c>
      <c r="F7">
        <v>330</v>
      </c>
      <c r="G7">
        <v>395</v>
      </c>
      <c r="H7" s="39">
        <v>445</v>
      </c>
    </row>
    <row r="8" spans="1:8" x14ac:dyDescent="0.25">
      <c r="A8" s="1">
        <f>'Trade Size'!A8</f>
        <v>750</v>
      </c>
      <c r="B8" s="33">
        <f>'Trade Size'!B8</f>
        <v>750000</v>
      </c>
      <c r="C8" s="1">
        <v>400</v>
      </c>
      <c r="D8">
        <v>475</v>
      </c>
      <c r="E8">
        <v>535</v>
      </c>
      <c r="F8">
        <v>320</v>
      </c>
      <c r="G8">
        <v>385</v>
      </c>
      <c r="H8" s="39">
        <v>435</v>
      </c>
    </row>
    <row r="9" spans="1:8" x14ac:dyDescent="0.25">
      <c r="A9" s="1">
        <f>'Trade Size'!A9</f>
        <v>700</v>
      </c>
      <c r="B9" s="33">
        <f>'Trade Size'!B9</f>
        <v>700000</v>
      </c>
      <c r="C9" s="1">
        <v>385</v>
      </c>
      <c r="D9">
        <v>460</v>
      </c>
      <c r="E9">
        <v>520</v>
      </c>
      <c r="F9">
        <v>315</v>
      </c>
      <c r="G9">
        <v>375</v>
      </c>
      <c r="H9" s="39">
        <v>425</v>
      </c>
    </row>
    <row r="10" spans="1:8" x14ac:dyDescent="0.25">
      <c r="A10" s="1">
        <f>'Trade Size'!A10</f>
        <v>600</v>
      </c>
      <c r="B10" s="33">
        <f>'Trade Size'!B10</f>
        <v>600000</v>
      </c>
      <c r="C10" s="1">
        <v>350</v>
      </c>
      <c r="D10">
        <v>420</v>
      </c>
      <c r="E10">
        <v>475</v>
      </c>
      <c r="F10">
        <v>285</v>
      </c>
      <c r="G10">
        <v>340</v>
      </c>
      <c r="H10" s="39">
        <v>385</v>
      </c>
    </row>
    <row r="11" spans="1:8" x14ac:dyDescent="0.25">
      <c r="A11" s="1">
        <f>'Trade Size'!A11</f>
        <v>500</v>
      </c>
      <c r="B11" s="33">
        <f>'Trade Size'!B11</f>
        <v>500000</v>
      </c>
      <c r="C11" s="1">
        <v>320</v>
      </c>
      <c r="D11">
        <v>380</v>
      </c>
      <c r="E11">
        <v>430</v>
      </c>
      <c r="F11">
        <v>260</v>
      </c>
      <c r="G11">
        <v>310</v>
      </c>
      <c r="H11" s="39">
        <v>350</v>
      </c>
    </row>
    <row r="12" spans="1:8" x14ac:dyDescent="0.25">
      <c r="A12" s="1">
        <f>'Trade Size'!A12</f>
        <v>400</v>
      </c>
      <c r="B12" s="33">
        <f>'Trade Size'!B12</f>
        <v>400000</v>
      </c>
      <c r="C12" s="1">
        <v>280</v>
      </c>
      <c r="D12">
        <v>335</v>
      </c>
      <c r="E12">
        <v>380</v>
      </c>
      <c r="F12">
        <v>225</v>
      </c>
      <c r="G12">
        <v>270</v>
      </c>
      <c r="H12" s="39">
        <v>305</v>
      </c>
    </row>
    <row r="13" spans="1:8" x14ac:dyDescent="0.25">
      <c r="A13" s="1">
        <f>'Trade Size'!A13</f>
        <v>350</v>
      </c>
      <c r="B13" s="33">
        <f>'Trade Size'!B13</f>
        <v>350000</v>
      </c>
      <c r="C13" s="1">
        <v>260</v>
      </c>
      <c r="D13">
        <v>310</v>
      </c>
      <c r="E13">
        <v>350</v>
      </c>
      <c r="F13">
        <v>210</v>
      </c>
      <c r="G13">
        <v>250</v>
      </c>
      <c r="H13" s="39">
        <v>280</v>
      </c>
    </row>
    <row r="14" spans="1:8" x14ac:dyDescent="0.25">
      <c r="A14" s="1">
        <f>'Trade Size'!A14</f>
        <v>300</v>
      </c>
      <c r="B14" s="33">
        <f>'Trade Size'!B14</f>
        <v>300000</v>
      </c>
      <c r="C14" s="1">
        <v>240</v>
      </c>
      <c r="D14">
        <v>285</v>
      </c>
      <c r="E14">
        <v>320</v>
      </c>
      <c r="F14">
        <v>195</v>
      </c>
      <c r="G14">
        <v>230</v>
      </c>
      <c r="H14" s="39">
        <v>260</v>
      </c>
    </row>
    <row r="15" spans="1:8" x14ac:dyDescent="0.25">
      <c r="A15" s="1">
        <f>'Trade Size'!A15</f>
        <v>250</v>
      </c>
      <c r="B15" s="33">
        <f>'Trade Size'!B15</f>
        <v>250000</v>
      </c>
      <c r="C15" s="1">
        <v>215</v>
      </c>
      <c r="D15">
        <v>255</v>
      </c>
      <c r="E15">
        <v>290</v>
      </c>
      <c r="F15">
        <v>170</v>
      </c>
      <c r="G15">
        <v>205</v>
      </c>
      <c r="H15" s="39">
        <v>230</v>
      </c>
    </row>
    <row r="16" spans="1:8" x14ac:dyDescent="0.25">
      <c r="A16" s="1" t="str">
        <f>'Trade Size'!A16</f>
        <v>4/0</v>
      </c>
      <c r="B16" s="33">
        <f>'Trade Size'!B16</f>
        <v>211600</v>
      </c>
      <c r="C16" s="1">
        <v>195</v>
      </c>
      <c r="D16">
        <v>230</v>
      </c>
      <c r="E16">
        <v>260</v>
      </c>
      <c r="F16">
        <v>150</v>
      </c>
      <c r="G16">
        <v>180</v>
      </c>
      <c r="H16" s="39">
        <v>205</v>
      </c>
    </row>
    <row r="17" spans="1:8" x14ac:dyDescent="0.25">
      <c r="A17" s="1" t="str">
        <f>'Trade Size'!A17</f>
        <v>3/0</v>
      </c>
      <c r="B17" s="33">
        <f>'Trade Size'!B17</f>
        <v>167800</v>
      </c>
      <c r="C17" s="1">
        <v>165</v>
      </c>
      <c r="D17">
        <v>200</v>
      </c>
      <c r="E17">
        <v>225</v>
      </c>
      <c r="F17">
        <v>130</v>
      </c>
      <c r="G17">
        <v>155</v>
      </c>
      <c r="H17" s="39">
        <v>175</v>
      </c>
    </row>
    <row r="18" spans="1:8" x14ac:dyDescent="0.25">
      <c r="A18" s="1" t="str">
        <f>'Trade Size'!A18</f>
        <v>2/0</v>
      </c>
      <c r="B18" s="33">
        <f>'Trade Size'!B18</f>
        <v>133100</v>
      </c>
      <c r="C18" s="1">
        <v>145</v>
      </c>
      <c r="D18">
        <v>175</v>
      </c>
      <c r="E18">
        <v>195</v>
      </c>
      <c r="F18">
        <v>115</v>
      </c>
      <c r="G18">
        <v>135</v>
      </c>
      <c r="H18" s="39">
        <v>150</v>
      </c>
    </row>
    <row r="19" spans="1:8" x14ac:dyDescent="0.25">
      <c r="A19" s="1" t="str">
        <f>'Trade Size'!A19</f>
        <v>1/0</v>
      </c>
      <c r="B19" s="33">
        <f>'Trade Size'!B19</f>
        <v>105600</v>
      </c>
      <c r="C19" s="1">
        <v>125</v>
      </c>
      <c r="D19">
        <v>150</v>
      </c>
      <c r="E19">
        <v>170</v>
      </c>
      <c r="F19">
        <v>100</v>
      </c>
      <c r="G19">
        <v>120</v>
      </c>
      <c r="H19" s="39">
        <v>135</v>
      </c>
    </row>
    <row r="20" spans="1:8" x14ac:dyDescent="0.25">
      <c r="A20" s="1">
        <f>'Trade Size'!A20</f>
        <v>1</v>
      </c>
      <c r="B20" s="33">
        <f>'Trade Size'!B20</f>
        <v>83690</v>
      </c>
      <c r="C20" s="1">
        <v>110</v>
      </c>
      <c r="D20">
        <v>130</v>
      </c>
      <c r="E20">
        <v>145</v>
      </c>
      <c r="F20">
        <v>85</v>
      </c>
      <c r="G20">
        <v>100</v>
      </c>
      <c r="H20" s="39">
        <v>115</v>
      </c>
    </row>
    <row r="21" spans="1:8" x14ac:dyDescent="0.25">
      <c r="A21" s="1">
        <f>'Trade Size'!A21</f>
        <v>2</v>
      </c>
      <c r="B21" s="33">
        <f>'Trade Size'!B21</f>
        <v>66360</v>
      </c>
      <c r="C21" s="1">
        <v>95</v>
      </c>
      <c r="D21">
        <v>115</v>
      </c>
      <c r="E21">
        <v>130</v>
      </c>
      <c r="F21">
        <v>75</v>
      </c>
      <c r="G21">
        <v>90</v>
      </c>
      <c r="H21" s="39">
        <v>100</v>
      </c>
    </row>
    <row r="22" spans="1:8" x14ac:dyDescent="0.25">
      <c r="A22" s="1">
        <f>'Trade Size'!A22</f>
        <v>3</v>
      </c>
      <c r="B22" s="33">
        <f>'Trade Size'!B22</f>
        <v>52620</v>
      </c>
      <c r="C22" s="1">
        <v>85</v>
      </c>
      <c r="D22">
        <v>100</v>
      </c>
      <c r="E22">
        <v>115</v>
      </c>
      <c r="F22">
        <v>65</v>
      </c>
      <c r="G22">
        <v>75</v>
      </c>
      <c r="H22" s="39">
        <v>85</v>
      </c>
    </row>
    <row r="23" spans="1:8" x14ac:dyDescent="0.25">
      <c r="A23" s="1">
        <f>'Trade Size'!A23</f>
        <v>4</v>
      </c>
      <c r="B23" s="33">
        <f>'Trade Size'!B23</f>
        <v>41740</v>
      </c>
      <c r="C23" s="1">
        <v>70</v>
      </c>
      <c r="D23">
        <v>85</v>
      </c>
      <c r="E23">
        <v>95</v>
      </c>
      <c r="F23">
        <v>55</v>
      </c>
      <c r="G23">
        <v>65</v>
      </c>
      <c r="H23" s="39">
        <v>75</v>
      </c>
    </row>
    <row r="24" spans="1:8" x14ac:dyDescent="0.25">
      <c r="A24" s="1">
        <f>'Trade Size'!A24</f>
        <v>6</v>
      </c>
      <c r="B24" s="33">
        <f>'Trade Size'!B24</f>
        <v>26240</v>
      </c>
      <c r="C24" s="1">
        <v>55</v>
      </c>
      <c r="D24">
        <v>65</v>
      </c>
      <c r="E24">
        <v>75</v>
      </c>
      <c r="F24">
        <v>40</v>
      </c>
      <c r="G24">
        <v>50</v>
      </c>
      <c r="H24" s="39">
        <v>55</v>
      </c>
    </row>
    <row r="25" spans="1:8" x14ac:dyDescent="0.25">
      <c r="A25" s="1">
        <f>'Trade Size'!A25</f>
        <v>8</v>
      </c>
      <c r="B25" s="33">
        <f>'Trade Size'!B25</f>
        <v>16510</v>
      </c>
      <c r="C25" s="1">
        <v>40</v>
      </c>
      <c r="D25">
        <v>50</v>
      </c>
      <c r="E25">
        <v>55</v>
      </c>
      <c r="F25">
        <v>35</v>
      </c>
      <c r="G25">
        <v>40</v>
      </c>
      <c r="H25" s="39">
        <v>45</v>
      </c>
    </row>
    <row r="26" spans="1:8" x14ac:dyDescent="0.25">
      <c r="A26" s="1">
        <f>'Trade Size'!A26</f>
        <v>10</v>
      </c>
      <c r="B26" s="33">
        <f>'Trade Size'!B26</f>
        <v>10380</v>
      </c>
      <c r="C26" s="1">
        <v>30</v>
      </c>
      <c r="D26">
        <v>35</v>
      </c>
      <c r="E26">
        <v>40</v>
      </c>
      <c r="F26">
        <v>25</v>
      </c>
      <c r="G26">
        <v>30</v>
      </c>
      <c r="H26" s="39">
        <v>35</v>
      </c>
    </row>
    <row r="27" spans="1:8" x14ac:dyDescent="0.25">
      <c r="A27" s="1">
        <f>'Trade Size'!A27</f>
        <v>12</v>
      </c>
      <c r="B27" s="33">
        <f>'Trade Size'!B27</f>
        <v>6530</v>
      </c>
      <c r="C27" s="1">
        <v>20</v>
      </c>
      <c r="D27">
        <v>25</v>
      </c>
      <c r="E27">
        <v>30</v>
      </c>
      <c r="F27">
        <v>15</v>
      </c>
      <c r="G27">
        <v>20</v>
      </c>
      <c r="H27" s="39">
        <v>25</v>
      </c>
    </row>
    <row r="28" spans="1:8" x14ac:dyDescent="0.25">
      <c r="A28" s="1">
        <f>'Trade Size'!A28</f>
        <v>14</v>
      </c>
      <c r="B28" s="33">
        <f>'Trade Size'!B28</f>
        <v>4110</v>
      </c>
      <c r="C28" s="1">
        <v>15</v>
      </c>
      <c r="D28">
        <v>20</v>
      </c>
      <c r="E28">
        <v>25</v>
      </c>
      <c r="F28">
        <v>0</v>
      </c>
      <c r="G28">
        <v>0</v>
      </c>
      <c r="H28" s="39">
        <v>0</v>
      </c>
    </row>
    <row r="29" spans="1:8" x14ac:dyDescent="0.25">
      <c r="A29" s="1">
        <f>'Trade Size'!A29</f>
        <v>16</v>
      </c>
      <c r="B29" s="33">
        <f>'Trade Size'!B29</f>
        <v>2580</v>
      </c>
      <c r="C29" s="1">
        <v>0</v>
      </c>
      <c r="D29">
        <v>0</v>
      </c>
      <c r="E29">
        <v>18</v>
      </c>
      <c r="F29">
        <v>0</v>
      </c>
      <c r="G29">
        <v>0</v>
      </c>
      <c r="H29" s="39">
        <v>0</v>
      </c>
    </row>
    <row r="30" spans="1:8" x14ac:dyDescent="0.25">
      <c r="A30" s="1">
        <f>'Trade Size'!A30</f>
        <v>18</v>
      </c>
      <c r="B30" s="41">
        <f>'Trade Size'!B30</f>
        <v>1620</v>
      </c>
      <c r="C30" s="1">
        <v>0</v>
      </c>
      <c r="D30">
        <v>0</v>
      </c>
      <c r="E30">
        <v>14</v>
      </c>
      <c r="F30">
        <v>0</v>
      </c>
      <c r="G30">
        <v>0</v>
      </c>
      <c r="H30" s="40">
        <v>0</v>
      </c>
    </row>
    <row r="31" spans="1:8" x14ac:dyDescent="0.25">
      <c r="A31" s="81" t="s">
        <v>72</v>
      </c>
      <c r="B31" s="81"/>
      <c r="C31" s="24" t="s">
        <v>50</v>
      </c>
      <c r="D31" s="24" t="s">
        <v>41</v>
      </c>
      <c r="E31" s="24" t="s">
        <v>40</v>
      </c>
      <c r="F31" s="24" t="s">
        <v>55</v>
      </c>
      <c r="G31" s="24" t="s">
        <v>39</v>
      </c>
      <c r="H31" s="24" t="s">
        <v>38</v>
      </c>
    </row>
  </sheetData>
  <mergeCells count="1">
    <mergeCell ref="A31:B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0550-92FD-4031-B8D2-507CF565E558}">
  <dimension ref="A1:H31"/>
  <sheetViews>
    <sheetView workbookViewId="0">
      <selection activeCell="A32" sqref="A32"/>
    </sheetView>
  </sheetViews>
  <sheetFormatPr defaultRowHeight="15" x14ac:dyDescent="0.25"/>
  <sheetData>
    <row r="1" spans="1:8" x14ac:dyDescent="0.25">
      <c r="A1" s="1">
        <f>'Trade Size'!A1</f>
        <v>2000</v>
      </c>
      <c r="B1" s="33">
        <f>'Trade Size'!B1</f>
        <v>2000000</v>
      </c>
      <c r="C1" s="1">
        <v>1155</v>
      </c>
      <c r="D1">
        <v>1385</v>
      </c>
      <c r="E1">
        <v>1560</v>
      </c>
      <c r="F1" s="1">
        <v>960</v>
      </c>
      <c r="G1">
        <v>1150</v>
      </c>
      <c r="H1" s="39">
        <v>1295</v>
      </c>
    </row>
    <row r="2" spans="1:8" x14ac:dyDescent="0.25">
      <c r="A2" s="1">
        <f>'Trade Size'!A2</f>
        <v>1750</v>
      </c>
      <c r="B2" s="33">
        <f>'Trade Size'!B2</f>
        <v>1750000</v>
      </c>
      <c r="C2" s="1">
        <v>1070</v>
      </c>
      <c r="D2">
        <v>1280</v>
      </c>
      <c r="E2">
        <v>1445</v>
      </c>
      <c r="F2" s="1">
        <v>875</v>
      </c>
      <c r="G2">
        <v>1050</v>
      </c>
      <c r="H2" s="39">
        <v>1185</v>
      </c>
    </row>
    <row r="3" spans="1:8" x14ac:dyDescent="0.25">
      <c r="A3" s="1">
        <f>'Trade Size'!A3</f>
        <v>1500</v>
      </c>
      <c r="B3" s="33">
        <f>'Trade Size'!B3</f>
        <v>1500000</v>
      </c>
      <c r="C3" s="1">
        <v>980</v>
      </c>
      <c r="D3">
        <v>1175</v>
      </c>
      <c r="E3">
        <v>1325</v>
      </c>
      <c r="F3" s="1">
        <v>795</v>
      </c>
      <c r="G3">
        <v>950</v>
      </c>
      <c r="H3" s="39">
        <v>1070</v>
      </c>
    </row>
    <row r="4" spans="1:8" x14ac:dyDescent="0.25">
      <c r="A4" s="1">
        <f>'Trade Size'!A4</f>
        <v>1250</v>
      </c>
      <c r="B4" s="33">
        <f>'Trade Size'!B4</f>
        <v>1250000</v>
      </c>
      <c r="C4" s="1">
        <v>890</v>
      </c>
      <c r="D4">
        <v>1065</v>
      </c>
      <c r="E4">
        <v>1200</v>
      </c>
      <c r="F4" s="1">
        <v>710</v>
      </c>
      <c r="G4">
        <v>855</v>
      </c>
      <c r="H4" s="39">
        <v>965</v>
      </c>
    </row>
    <row r="5" spans="1:8" x14ac:dyDescent="0.25">
      <c r="A5" s="1">
        <f>'Trade Size'!A5</f>
        <v>1000</v>
      </c>
      <c r="B5" s="33">
        <f>'Trade Size'!B5</f>
        <v>1000000</v>
      </c>
      <c r="C5" s="1">
        <v>780</v>
      </c>
      <c r="D5">
        <v>935</v>
      </c>
      <c r="E5">
        <v>1055</v>
      </c>
      <c r="F5" s="1">
        <v>625</v>
      </c>
      <c r="G5">
        <v>750</v>
      </c>
      <c r="H5" s="39">
        <v>845</v>
      </c>
    </row>
    <row r="6" spans="1:8" x14ac:dyDescent="0.25">
      <c r="A6" s="1">
        <f>'Trade Size'!A6</f>
        <v>900</v>
      </c>
      <c r="B6" s="33">
        <f>'Trade Size'!B6</f>
        <v>900000</v>
      </c>
      <c r="C6" s="1">
        <v>730</v>
      </c>
      <c r="D6">
        <v>870</v>
      </c>
      <c r="E6">
        <v>980</v>
      </c>
      <c r="F6" s="1">
        <v>580</v>
      </c>
      <c r="G6">
        <v>700</v>
      </c>
      <c r="H6" s="39">
        <v>790</v>
      </c>
    </row>
    <row r="7" spans="1:8" x14ac:dyDescent="0.25">
      <c r="A7" s="1">
        <f>'Trade Size'!A7</f>
        <v>800</v>
      </c>
      <c r="B7" s="33">
        <f>'Trade Size'!B7</f>
        <v>800000</v>
      </c>
      <c r="C7" s="1">
        <v>680</v>
      </c>
      <c r="D7">
        <v>815</v>
      </c>
      <c r="E7">
        <v>920</v>
      </c>
      <c r="F7" s="1">
        <v>535</v>
      </c>
      <c r="G7">
        <v>645</v>
      </c>
      <c r="H7" s="39">
        <v>725</v>
      </c>
    </row>
    <row r="8" spans="1:8" x14ac:dyDescent="0.25">
      <c r="A8" s="1">
        <f>'Trade Size'!A8</f>
        <v>750</v>
      </c>
      <c r="B8" s="33">
        <f>'Trade Size'!B8</f>
        <v>750000</v>
      </c>
      <c r="C8" s="1">
        <v>655</v>
      </c>
      <c r="D8">
        <v>785</v>
      </c>
      <c r="E8">
        <v>885</v>
      </c>
      <c r="F8" s="1">
        <v>515</v>
      </c>
      <c r="G8">
        <v>620</v>
      </c>
      <c r="H8" s="39">
        <v>700</v>
      </c>
    </row>
    <row r="9" spans="1:8" x14ac:dyDescent="0.25">
      <c r="A9" s="1">
        <f>'Trade Size'!A9</f>
        <v>700</v>
      </c>
      <c r="B9" s="33">
        <f>'Trade Size'!B9</f>
        <v>700000</v>
      </c>
      <c r="C9" s="1">
        <v>630</v>
      </c>
      <c r="D9">
        <v>755</v>
      </c>
      <c r="E9">
        <v>850</v>
      </c>
      <c r="F9" s="1">
        <v>500</v>
      </c>
      <c r="G9">
        <v>595</v>
      </c>
      <c r="H9" s="39">
        <v>670</v>
      </c>
    </row>
    <row r="10" spans="1:8" x14ac:dyDescent="0.25">
      <c r="A10" s="1">
        <f>'Trade Size'!A10</f>
        <v>600</v>
      </c>
      <c r="B10" s="33">
        <f>'Trade Size'!B10</f>
        <v>600000</v>
      </c>
      <c r="C10" s="1">
        <v>575</v>
      </c>
      <c r="D10">
        <v>690</v>
      </c>
      <c r="E10">
        <v>780</v>
      </c>
      <c r="F10" s="1">
        <v>455</v>
      </c>
      <c r="G10">
        <v>545</v>
      </c>
      <c r="H10" s="39">
        <v>615</v>
      </c>
    </row>
    <row r="11" spans="1:8" x14ac:dyDescent="0.25">
      <c r="A11" s="1">
        <f>'Trade Size'!A11</f>
        <v>500</v>
      </c>
      <c r="B11" s="33">
        <f>'Trade Size'!B11</f>
        <v>500000</v>
      </c>
      <c r="C11" s="1">
        <v>515</v>
      </c>
      <c r="D11">
        <v>620</v>
      </c>
      <c r="E11">
        <v>700</v>
      </c>
      <c r="F11" s="1">
        <v>405</v>
      </c>
      <c r="G11">
        <v>485</v>
      </c>
      <c r="H11" s="39">
        <v>545</v>
      </c>
    </row>
    <row r="12" spans="1:8" x14ac:dyDescent="0.25">
      <c r="A12" s="1">
        <f>'Trade Size'!A12</f>
        <v>400</v>
      </c>
      <c r="B12" s="33">
        <f>'Trade Size'!B12</f>
        <v>400000</v>
      </c>
      <c r="C12" s="1">
        <v>455</v>
      </c>
      <c r="D12">
        <v>545</v>
      </c>
      <c r="E12">
        <v>615</v>
      </c>
      <c r="F12" s="1">
        <v>355</v>
      </c>
      <c r="G12">
        <v>425</v>
      </c>
      <c r="H12" s="39">
        <v>480</v>
      </c>
    </row>
    <row r="13" spans="1:8" x14ac:dyDescent="0.25">
      <c r="A13" s="1">
        <f>'Trade Size'!A13</f>
        <v>350</v>
      </c>
      <c r="B13" s="33">
        <f>'Trade Size'!B13</f>
        <v>350000</v>
      </c>
      <c r="C13" s="1">
        <v>420</v>
      </c>
      <c r="D13">
        <v>505</v>
      </c>
      <c r="E13">
        <v>570</v>
      </c>
      <c r="F13" s="1">
        <v>330</v>
      </c>
      <c r="G13">
        <v>395</v>
      </c>
      <c r="H13" s="39">
        <v>445</v>
      </c>
    </row>
    <row r="14" spans="1:8" x14ac:dyDescent="0.25">
      <c r="A14" s="1">
        <f>'Trade Size'!A14</f>
        <v>300</v>
      </c>
      <c r="B14" s="33">
        <f>'Trade Size'!B14</f>
        <v>300000</v>
      </c>
      <c r="C14" s="1">
        <v>375</v>
      </c>
      <c r="D14">
        <v>445</v>
      </c>
      <c r="E14">
        <v>500</v>
      </c>
      <c r="F14" s="1">
        <v>290</v>
      </c>
      <c r="G14">
        <v>350</v>
      </c>
      <c r="H14" s="39">
        <v>395</v>
      </c>
    </row>
    <row r="15" spans="1:8" x14ac:dyDescent="0.25">
      <c r="A15" s="1">
        <f>'Trade Size'!A15</f>
        <v>250</v>
      </c>
      <c r="B15" s="33">
        <f>'Trade Size'!B15</f>
        <v>250000</v>
      </c>
      <c r="C15" s="1">
        <v>340</v>
      </c>
      <c r="D15">
        <v>405</v>
      </c>
      <c r="E15">
        <v>455</v>
      </c>
      <c r="F15" s="1">
        <v>265</v>
      </c>
      <c r="G15">
        <v>315</v>
      </c>
      <c r="H15" s="39">
        <v>355</v>
      </c>
    </row>
    <row r="16" spans="1:8" x14ac:dyDescent="0.25">
      <c r="A16" s="1" t="str">
        <f>'Trade Size'!A16</f>
        <v>4/0</v>
      </c>
      <c r="B16" s="33">
        <f>'Trade Size'!B16</f>
        <v>211600</v>
      </c>
      <c r="C16" s="1">
        <v>300</v>
      </c>
      <c r="D16">
        <v>360</v>
      </c>
      <c r="E16">
        <v>405</v>
      </c>
      <c r="F16" s="1">
        <v>235</v>
      </c>
      <c r="G16">
        <v>280</v>
      </c>
      <c r="H16" s="39">
        <v>315</v>
      </c>
    </row>
    <row r="17" spans="1:8" x14ac:dyDescent="0.25">
      <c r="A17" s="1" t="str">
        <f>'Trade Size'!A17</f>
        <v>3/0</v>
      </c>
      <c r="B17" s="33">
        <f>'Trade Size'!B17</f>
        <v>167800</v>
      </c>
      <c r="C17" s="1">
        <v>260</v>
      </c>
      <c r="D17">
        <v>310</v>
      </c>
      <c r="E17">
        <v>350</v>
      </c>
      <c r="F17" s="1">
        <v>200</v>
      </c>
      <c r="G17">
        <v>240</v>
      </c>
      <c r="H17" s="39">
        <v>270</v>
      </c>
    </row>
    <row r="18" spans="1:8" x14ac:dyDescent="0.25">
      <c r="A18" s="1" t="str">
        <f>'Trade Size'!A18</f>
        <v>2/0</v>
      </c>
      <c r="B18" s="33">
        <f>'Trade Size'!B18</f>
        <v>133100</v>
      </c>
      <c r="C18" s="1">
        <v>225</v>
      </c>
      <c r="D18">
        <v>265</v>
      </c>
      <c r="E18">
        <v>300</v>
      </c>
      <c r="F18" s="1">
        <v>175</v>
      </c>
      <c r="G18">
        <v>210</v>
      </c>
      <c r="H18" s="39">
        <v>235</v>
      </c>
    </row>
    <row r="19" spans="1:8" x14ac:dyDescent="0.25">
      <c r="A19" s="1" t="str">
        <f>'Trade Size'!A19</f>
        <v>1/0</v>
      </c>
      <c r="B19" s="33">
        <f>'Trade Size'!B19</f>
        <v>105600</v>
      </c>
      <c r="C19" s="1">
        <v>195</v>
      </c>
      <c r="D19">
        <v>230</v>
      </c>
      <c r="E19">
        <v>260</v>
      </c>
      <c r="F19" s="1">
        <v>150</v>
      </c>
      <c r="G19">
        <v>180</v>
      </c>
      <c r="H19" s="39">
        <v>205</v>
      </c>
    </row>
    <row r="20" spans="1:8" x14ac:dyDescent="0.25">
      <c r="A20" s="1">
        <f>'Trade Size'!A20</f>
        <v>1</v>
      </c>
      <c r="B20" s="33">
        <f>'Trade Size'!B20</f>
        <v>83690</v>
      </c>
      <c r="C20" s="1">
        <v>165</v>
      </c>
      <c r="D20">
        <v>195</v>
      </c>
      <c r="E20">
        <v>220</v>
      </c>
      <c r="F20" s="1">
        <v>130</v>
      </c>
      <c r="G20">
        <v>155</v>
      </c>
      <c r="H20" s="39">
        <v>175</v>
      </c>
    </row>
    <row r="21" spans="1:8" x14ac:dyDescent="0.25">
      <c r="A21" s="1">
        <f>'Trade Size'!A21</f>
        <v>2</v>
      </c>
      <c r="B21" s="33">
        <f>'Trade Size'!B21</f>
        <v>66360</v>
      </c>
      <c r="C21" s="1">
        <v>140</v>
      </c>
      <c r="D21">
        <v>170</v>
      </c>
      <c r="E21">
        <v>190</v>
      </c>
      <c r="F21" s="1">
        <v>110</v>
      </c>
      <c r="G21">
        <v>135</v>
      </c>
      <c r="H21" s="39">
        <v>150</v>
      </c>
    </row>
    <row r="22" spans="1:8" x14ac:dyDescent="0.25">
      <c r="A22" s="1">
        <f>'Trade Size'!A22</f>
        <v>3</v>
      </c>
      <c r="B22" s="33">
        <f>'Trade Size'!B22</f>
        <v>52620</v>
      </c>
      <c r="C22" s="1">
        <v>120</v>
      </c>
      <c r="D22">
        <v>145</v>
      </c>
      <c r="E22">
        <v>165</v>
      </c>
      <c r="F22" s="1">
        <v>95</v>
      </c>
      <c r="G22">
        <v>115</v>
      </c>
      <c r="H22" s="39">
        <v>130</v>
      </c>
    </row>
    <row r="23" spans="1:8" x14ac:dyDescent="0.25">
      <c r="A23" s="1">
        <f>'Trade Size'!A23</f>
        <v>4</v>
      </c>
      <c r="B23" s="33">
        <f>'Trade Size'!B23</f>
        <v>41740</v>
      </c>
      <c r="C23" s="1">
        <v>105</v>
      </c>
      <c r="D23">
        <v>125</v>
      </c>
      <c r="E23">
        <v>140</v>
      </c>
      <c r="F23" s="1">
        <v>80</v>
      </c>
      <c r="G23">
        <v>100</v>
      </c>
      <c r="H23" s="39">
        <v>115</v>
      </c>
    </row>
    <row r="24" spans="1:8" x14ac:dyDescent="0.25">
      <c r="A24" s="1">
        <f>'Trade Size'!A24</f>
        <v>6</v>
      </c>
      <c r="B24" s="33">
        <f>'Trade Size'!B24</f>
        <v>26240</v>
      </c>
      <c r="C24" s="1">
        <v>80</v>
      </c>
      <c r="D24">
        <v>95</v>
      </c>
      <c r="E24">
        <v>105</v>
      </c>
      <c r="F24" s="1">
        <v>60</v>
      </c>
      <c r="G24">
        <v>75</v>
      </c>
      <c r="H24" s="39">
        <v>85</v>
      </c>
    </row>
    <row r="25" spans="1:8" x14ac:dyDescent="0.25">
      <c r="A25" s="1">
        <f>'Trade Size'!A25</f>
        <v>8</v>
      </c>
      <c r="B25" s="33">
        <f>'Trade Size'!B25</f>
        <v>16510</v>
      </c>
      <c r="C25" s="1">
        <v>60</v>
      </c>
      <c r="D25">
        <v>70</v>
      </c>
      <c r="E25">
        <v>80</v>
      </c>
      <c r="F25" s="1">
        <v>45</v>
      </c>
      <c r="G25">
        <v>55</v>
      </c>
      <c r="H25" s="39">
        <v>60</v>
      </c>
    </row>
    <row r="26" spans="1:8" x14ac:dyDescent="0.25">
      <c r="A26" s="1">
        <f>'Trade Size'!A26</f>
        <v>10</v>
      </c>
      <c r="B26" s="33">
        <f>'Trade Size'!B26</f>
        <v>10380</v>
      </c>
      <c r="C26" s="1">
        <v>40</v>
      </c>
      <c r="D26">
        <v>50</v>
      </c>
      <c r="E26">
        <v>55</v>
      </c>
      <c r="F26" s="1">
        <v>35</v>
      </c>
      <c r="G26">
        <v>40</v>
      </c>
      <c r="H26" s="39">
        <v>45</v>
      </c>
    </row>
    <row r="27" spans="1:8" x14ac:dyDescent="0.25">
      <c r="A27" s="1">
        <f>'Trade Size'!A27</f>
        <v>12</v>
      </c>
      <c r="B27" s="33">
        <f>'Trade Size'!B27</f>
        <v>6530</v>
      </c>
      <c r="C27" s="1">
        <v>30</v>
      </c>
      <c r="D27">
        <v>35</v>
      </c>
      <c r="E27">
        <v>40</v>
      </c>
      <c r="F27" s="1">
        <v>25</v>
      </c>
      <c r="G27">
        <v>30</v>
      </c>
      <c r="H27" s="39">
        <v>35</v>
      </c>
    </row>
    <row r="28" spans="1:8" x14ac:dyDescent="0.25">
      <c r="A28" s="1">
        <f>'Trade Size'!A28</f>
        <v>14</v>
      </c>
      <c r="B28" s="33">
        <f>'Trade Size'!B28</f>
        <v>4110</v>
      </c>
      <c r="C28" s="1">
        <v>25</v>
      </c>
      <c r="D28">
        <v>30</v>
      </c>
      <c r="E28">
        <v>35</v>
      </c>
      <c r="F28" s="1">
        <v>0</v>
      </c>
      <c r="G28">
        <v>0</v>
      </c>
      <c r="H28" s="39">
        <v>0</v>
      </c>
    </row>
    <row r="29" spans="1:8" x14ac:dyDescent="0.25">
      <c r="A29" s="1">
        <f>'Trade Size'!A29</f>
        <v>16</v>
      </c>
      <c r="B29" s="33">
        <f>'Trade Size'!B29</f>
        <v>2580</v>
      </c>
      <c r="C29" s="1">
        <v>0</v>
      </c>
      <c r="D29">
        <v>0</v>
      </c>
      <c r="E29">
        <v>24</v>
      </c>
      <c r="F29" s="1">
        <v>0</v>
      </c>
      <c r="G29">
        <v>0</v>
      </c>
      <c r="H29" s="39">
        <v>0</v>
      </c>
    </row>
    <row r="30" spans="1:8" x14ac:dyDescent="0.25">
      <c r="A30" s="1">
        <f>'Trade Size'!A30</f>
        <v>18</v>
      </c>
      <c r="B30" s="41">
        <f>'Trade Size'!B30</f>
        <v>1620</v>
      </c>
      <c r="C30" s="1">
        <v>0</v>
      </c>
      <c r="D30">
        <v>0</v>
      </c>
      <c r="E30">
        <v>18</v>
      </c>
      <c r="F30" s="1">
        <v>0</v>
      </c>
      <c r="G30">
        <v>0</v>
      </c>
      <c r="H30" s="40">
        <v>0</v>
      </c>
    </row>
    <row r="31" spans="1:8" x14ac:dyDescent="0.25">
      <c r="A31" s="81" t="s">
        <v>72</v>
      </c>
      <c r="B31" s="81"/>
      <c r="C31" s="24" t="s">
        <v>50</v>
      </c>
      <c r="D31" s="24" t="s">
        <v>41</v>
      </c>
      <c r="E31" s="24" t="s">
        <v>40</v>
      </c>
      <c r="F31" s="24" t="s">
        <v>55</v>
      </c>
      <c r="G31" s="24" t="s">
        <v>39</v>
      </c>
      <c r="H31" s="24" t="s">
        <v>38</v>
      </c>
    </row>
  </sheetData>
  <mergeCells count="1">
    <mergeCell ref="A31:B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DB218A7696ED429FD9A6D812995EE9" ma:contentTypeVersion="2" ma:contentTypeDescription="Create a new document." ma:contentTypeScope="" ma:versionID="6b88112333ae764e4c66ce799bb15f7d">
  <xsd:schema xmlns:xsd="http://www.w3.org/2001/XMLSchema" xmlns:xs="http://www.w3.org/2001/XMLSchema" xmlns:p="http://schemas.microsoft.com/office/2006/metadata/properties" xmlns:ns3="04ff1922-4745-4e8b-906a-c3fdbfbf89b5" targetNamespace="http://schemas.microsoft.com/office/2006/metadata/properties" ma:root="true" ma:fieldsID="086970375691257cd5bdf613c5a347be" ns3:_="">
    <xsd:import namespace="04ff1922-4745-4e8b-906a-c3fdbfbf89b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f1922-4745-4e8b-906a-c3fdbfbf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54582A-6066-4B60-8FC3-D8DDA253B55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04ff1922-4745-4e8b-906a-c3fdbfbf89b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FD4F64-C424-43E1-843A-D6848410973D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04ff1922-4745-4e8b-906a-c3fdbfbf89b5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7E70BDA-1694-4538-883A-8F7ADDA7AE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UI</vt:lpstr>
      <vt:lpstr>wire calculator</vt:lpstr>
      <vt:lpstr>Trade Size</vt:lpstr>
      <vt:lpstr>310.15(b)(3)(a)</vt:lpstr>
      <vt:lpstr>250.66</vt:lpstr>
      <vt:lpstr>250.102(C)(1)</vt:lpstr>
      <vt:lpstr>250.122</vt:lpstr>
      <vt:lpstr>310.15(B)(16)</vt:lpstr>
      <vt:lpstr>310.15(B)(17)</vt:lpstr>
      <vt:lpstr>310.15(B)(18)</vt:lpstr>
      <vt:lpstr>310.15(B)(19)</vt:lpstr>
      <vt:lpstr>NOT USED chapter 9 table 8</vt:lpstr>
      <vt:lpstr>chapter 9 table 9</vt:lpstr>
      <vt:lpstr>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cp:lastPrinted>2019-11-11T22:52:09Z</cp:lastPrinted>
  <dcterms:created xsi:type="dcterms:W3CDTF">2019-10-03T02:57:11Z</dcterms:created>
  <dcterms:modified xsi:type="dcterms:W3CDTF">2019-12-03T06:08:40Z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0x010100D7DB218A7696ED429FD9A6D812995EE9</vt:lpwstr>
  </property>
</Properties>
</file>