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BABE2938-1937-40A7-827F-CE2BA2F7C2E4}" xr6:coauthVersionLast="47" xr6:coauthVersionMax="47" xr10:uidLastSave="{00000000-0000-0000-0000-000000000000}"/>
  <bookViews>
    <workbookView xWindow="-98" yWindow="-98" windowWidth="19396" windowHeight="11475" activeTab="2" xr2:uid="{F366CF78-FC98-4E79-B455-DFF13ED1E598}"/>
  </bookViews>
  <sheets>
    <sheet name="Jacksonville, Florida" sheetId="1" r:id="rId1"/>
    <sheet name="Atlanta, Georgia" sheetId="3" r:id="rId2"/>
    <sheet name="Formula Sheet" sheetId="2" r:id="rId3"/>
    <sheet name="Bonus Evalu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8" i="3"/>
  <c r="N8" i="3"/>
  <c r="S21" i="3"/>
  <c r="D7" i="3"/>
  <c r="H15" i="5"/>
  <c r="D15" i="5"/>
  <c r="H7" i="5"/>
  <c r="H10" i="5"/>
  <c r="D10" i="5" l="1"/>
  <c r="D7" i="5"/>
  <c r="S22" i="1" l="1"/>
  <c r="S22" i="3"/>
  <c r="S21" i="1" l="1"/>
  <c r="N47" i="3" l="1"/>
  <c r="D47" i="3" s="1"/>
  <c r="M47" i="3"/>
  <c r="G47" i="3"/>
  <c r="N46" i="3"/>
  <c r="D46" i="3" s="1"/>
  <c r="M46" i="3"/>
  <c r="G46" i="3"/>
  <c r="N45" i="3"/>
  <c r="D45" i="3" s="1"/>
  <c r="M45" i="3"/>
  <c r="G45" i="3"/>
  <c r="N44" i="3"/>
  <c r="D44" i="3" s="1"/>
  <c r="M44" i="3"/>
  <c r="G44" i="3"/>
  <c r="N43" i="3"/>
  <c r="D43" i="3" s="1"/>
  <c r="M43" i="3"/>
  <c r="G43" i="3"/>
  <c r="N42" i="3"/>
  <c r="D42" i="3" s="1"/>
  <c r="M42" i="3"/>
  <c r="G42" i="3"/>
  <c r="N41" i="3"/>
  <c r="D41" i="3" s="1"/>
  <c r="M41" i="3"/>
  <c r="G41" i="3"/>
  <c r="N40" i="3"/>
  <c r="D40" i="3" s="1"/>
  <c r="M40" i="3"/>
  <c r="G40" i="3"/>
  <c r="N39" i="3"/>
  <c r="M39" i="3"/>
  <c r="G39" i="3"/>
  <c r="D39" i="3"/>
  <c r="N38" i="3"/>
  <c r="D38" i="3" s="1"/>
  <c r="M38" i="3"/>
  <c r="G38" i="3"/>
  <c r="N37" i="3"/>
  <c r="M37" i="3"/>
  <c r="G37" i="3"/>
  <c r="D37" i="3"/>
  <c r="N36" i="3"/>
  <c r="D36" i="3" s="1"/>
  <c r="M36" i="3"/>
  <c r="G36" i="3"/>
  <c r="N35" i="3"/>
  <c r="M35" i="3"/>
  <c r="G35" i="3"/>
  <c r="D35" i="3"/>
  <c r="N34" i="3"/>
  <c r="D34" i="3" s="1"/>
  <c r="M34" i="3"/>
  <c r="G34" i="3"/>
  <c r="N33" i="3"/>
  <c r="M33" i="3"/>
  <c r="G33" i="3"/>
  <c r="D33" i="3"/>
  <c r="N32" i="3"/>
  <c r="M32" i="3"/>
  <c r="G32" i="3"/>
  <c r="N31" i="3"/>
  <c r="D31" i="3" s="1"/>
  <c r="M31" i="3"/>
  <c r="G31" i="3"/>
  <c r="N30" i="3"/>
  <c r="D30" i="3" s="1"/>
  <c r="M30" i="3"/>
  <c r="G30" i="3"/>
  <c r="N29" i="3"/>
  <c r="D29" i="3" s="1"/>
  <c r="M29" i="3"/>
  <c r="G29" i="3"/>
  <c r="N28" i="3"/>
  <c r="D28" i="3" s="1"/>
  <c r="M28" i="3"/>
  <c r="G28" i="3"/>
  <c r="N27" i="3"/>
  <c r="D27" i="3" s="1"/>
  <c r="M27" i="3"/>
  <c r="G27" i="3"/>
  <c r="N26" i="3"/>
  <c r="D26" i="3" s="1"/>
  <c r="M26" i="3"/>
  <c r="G26" i="3"/>
  <c r="N25" i="3"/>
  <c r="D25" i="3" s="1"/>
  <c r="M25" i="3"/>
  <c r="G25" i="3"/>
  <c r="N24" i="3"/>
  <c r="M24" i="3"/>
  <c r="G24" i="3"/>
  <c r="N23" i="3"/>
  <c r="D23" i="3" s="1"/>
  <c r="M23" i="3"/>
  <c r="G23" i="3"/>
  <c r="N22" i="3"/>
  <c r="D22" i="3" s="1"/>
  <c r="M22" i="3"/>
  <c r="G22" i="3"/>
  <c r="N21" i="3"/>
  <c r="D21" i="3" s="1"/>
  <c r="M21" i="3"/>
  <c r="G21" i="3"/>
  <c r="N20" i="3"/>
  <c r="D20" i="3" s="1"/>
  <c r="M20" i="3"/>
  <c r="G20" i="3"/>
  <c r="N19" i="3"/>
  <c r="D19" i="3" s="1"/>
  <c r="M19" i="3"/>
  <c r="G19" i="3"/>
  <c r="N18" i="3"/>
  <c r="D18" i="3" s="1"/>
  <c r="M18" i="3"/>
  <c r="G18" i="3"/>
  <c r="N17" i="3"/>
  <c r="D17" i="3" s="1"/>
  <c r="M17" i="3"/>
  <c r="G17" i="3"/>
  <c r="N16" i="3"/>
  <c r="M16" i="3"/>
  <c r="G16" i="3"/>
  <c r="N15" i="3"/>
  <c r="D15" i="3" s="1"/>
  <c r="M15" i="3"/>
  <c r="G15" i="3"/>
  <c r="N14" i="3"/>
  <c r="D14" i="3" s="1"/>
  <c r="M14" i="3"/>
  <c r="G14" i="3"/>
  <c r="N13" i="3"/>
  <c r="D13" i="3" s="1"/>
  <c r="M13" i="3"/>
  <c r="G13" i="3"/>
  <c r="N12" i="3"/>
  <c r="M12" i="3"/>
  <c r="G12" i="3"/>
  <c r="D12" i="3"/>
  <c r="N11" i="3"/>
  <c r="D11" i="3" s="1"/>
  <c r="M11" i="3"/>
  <c r="G11" i="3"/>
  <c r="N10" i="3"/>
  <c r="M10" i="3"/>
  <c r="G10" i="3"/>
  <c r="D10" i="3"/>
  <c r="N9" i="3"/>
  <c r="D9" i="3" s="1"/>
  <c r="M9" i="3"/>
  <c r="G9" i="3"/>
  <c r="M8" i="3"/>
  <c r="K8" i="3"/>
  <c r="K9" i="3" s="1"/>
  <c r="G8" i="3"/>
  <c r="H8" i="3" s="1"/>
  <c r="O7" i="3"/>
  <c r="N7" i="3"/>
  <c r="H9" i="3" l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K10" i="3"/>
  <c r="L9" i="3"/>
  <c r="L8" i="3"/>
  <c r="C9" i="3"/>
  <c r="I9" i="3" s="1"/>
  <c r="J9" i="3" s="1"/>
  <c r="O9" i="3" s="1"/>
  <c r="C8" i="3"/>
  <c r="K11" i="3"/>
  <c r="L10" i="3"/>
  <c r="D32" i="3"/>
  <c r="D16" i="3"/>
  <c r="D24" i="3"/>
  <c r="C10" i="3" l="1"/>
  <c r="L11" i="3"/>
  <c r="C11" i="3" s="1"/>
  <c r="K12" i="3"/>
  <c r="K13" i="3" l="1"/>
  <c r="L12" i="3"/>
  <c r="C12" i="3" s="1"/>
  <c r="I11" i="3"/>
  <c r="J11" i="3" s="1"/>
  <c r="O11" i="3" s="1"/>
  <c r="I10" i="3"/>
  <c r="J10" i="3" s="1"/>
  <c r="O10" i="3" s="1"/>
  <c r="I12" i="3" l="1"/>
  <c r="J12" i="3" s="1"/>
  <c r="O12" i="3" s="1"/>
  <c r="K14" i="3"/>
  <c r="L13" i="3"/>
  <c r="C13" i="3" s="1"/>
  <c r="I13" i="3" l="1"/>
  <c r="J13" i="3" s="1"/>
  <c r="O13" i="3" s="1"/>
  <c r="L14" i="3"/>
  <c r="K15" i="3"/>
  <c r="C14" i="3" l="1"/>
  <c r="K16" i="3"/>
  <c r="L15" i="3"/>
  <c r="C15" i="3" s="1"/>
  <c r="L16" i="3" l="1"/>
  <c r="K17" i="3"/>
  <c r="I15" i="3"/>
  <c r="J15" i="3" s="1"/>
  <c r="O15" i="3" s="1"/>
  <c r="I14" i="3"/>
  <c r="J14" i="3" s="1"/>
  <c r="O14" i="3" s="1"/>
  <c r="K18" i="3" l="1"/>
  <c r="L17" i="3"/>
  <c r="C17" i="3" s="1"/>
  <c r="C16" i="3"/>
  <c r="I17" i="3" l="1"/>
  <c r="J17" i="3" s="1"/>
  <c r="O17" i="3" s="1"/>
  <c r="I16" i="3"/>
  <c r="J16" i="3" s="1"/>
  <c r="O16" i="3" s="1"/>
  <c r="K19" i="3"/>
  <c r="L18" i="3"/>
  <c r="C18" i="3" s="1"/>
  <c r="I18" i="3" l="1"/>
  <c r="J18" i="3" s="1"/>
  <c r="O18" i="3" s="1"/>
  <c r="L19" i="3"/>
  <c r="C19" i="3" s="1"/>
  <c r="K20" i="3"/>
  <c r="I19" i="3" l="1"/>
  <c r="J19" i="3" s="1"/>
  <c r="O19" i="3" s="1"/>
  <c r="K21" i="3"/>
  <c r="L20" i="3"/>
  <c r="C20" i="3" s="1"/>
  <c r="I20" i="3" l="1"/>
  <c r="J20" i="3" s="1"/>
  <c r="O20" i="3" s="1"/>
  <c r="K22" i="3"/>
  <c r="L21" i="3"/>
  <c r="C21" i="3" s="1"/>
  <c r="L22" i="3" l="1"/>
  <c r="C22" i="3" s="1"/>
  <c r="K23" i="3"/>
  <c r="I21" i="3"/>
  <c r="J21" i="3" s="1"/>
  <c r="O21" i="3" s="1"/>
  <c r="K24" i="3" l="1"/>
  <c r="L23" i="3"/>
  <c r="C23" i="3" s="1"/>
  <c r="I22" i="3"/>
  <c r="J22" i="3" s="1"/>
  <c r="O22" i="3" s="1"/>
  <c r="I23" i="3" l="1"/>
  <c r="J23" i="3" s="1"/>
  <c r="O23" i="3" s="1"/>
  <c r="L24" i="3"/>
  <c r="C24" i="3" s="1"/>
  <c r="K25" i="3"/>
  <c r="I24" i="3" l="1"/>
  <c r="J24" i="3" s="1"/>
  <c r="O24" i="3" s="1"/>
  <c r="K26" i="3"/>
  <c r="L25" i="3"/>
  <c r="C25" i="3" s="1"/>
  <c r="I25" i="3" l="1"/>
  <c r="J25" i="3" s="1"/>
  <c r="O25" i="3" s="1"/>
  <c r="K27" i="3"/>
  <c r="L26" i="3"/>
  <c r="C26" i="3" s="1"/>
  <c r="L27" i="3" l="1"/>
  <c r="C27" i="3" s="1"/>
  <c r="K28" i="3"/>
  <c r="I26" i="3"/>
  <c r="J26" i="3" s="1"/>
  <c r="O26" i="3" s="1"/>
  <c r="K29" i="3" l="1"/>
  <c r="L28" i="3"/>
  <c r="C28" i="3" s="1"/>
  <c r="I27" i="3"/>
  <c r="J27" i="3" s="1"/>
  <c r="O27" i="3" s="1"/>
  <c r="I28" i="3" l="1"/>
  <c r="J28" i="3" s="1"/>
  <c r="O28" i="3" s="1"/>
  <c r="K30" i="3"/>
  <c r="L29" i="3"/>
  <c r="C29" i="3" s="1"/>
  <c r="L30" i="3" l="1"/>
  <c r="C30" i="3" s="1"/>
  <c r="K31" i="3"/>
  <c r="I29" i="3"/>
  <c r="J29" i="3" s="1"/>
  <c r="O29" i="3" s="1"/>
  <c r="K32" i="3" l="1"/>
  <c r="L31" i="3"/>
  <c r="C31" i="3" s="1"/>
  <c r="I30" i="3"/>
  <c r="J30" i="3" s="1"/>
  <c r="O30" i="3" s="1"/>
  <c r="I31" i="3" l="1"/>
  <c r="J31" i="3" s="1"/>
  <c r="O31" i="3" s="1"/>
  <c r="L32" i="3"/>
  <c r="C32" i="3" s="1"/>
  <c r="K33" i="3"/>
  <c r="K34" i="3" l="1"/>
  <c r="L33" i="3"/>
  <c r="C33" i="3" s="1"/>
  <c r="I32" i="3"/>
  <c r="J32" i="3" s="1"/>
  <c r="O32" i="3" s="1"/>
  <c r="I33" i="3" l="1"/>
  <c r="J33" i="3" s="1"/>
  <c r="O33" i="3" s="1"/>
  <c r="K35" i="3"/>
  <c r="L34" i="3"/>
  <c r="C34" i="3" s="1"/>
  <c r="I34" i="3" l="1"/>
  <c r="J34" i="3" s="1"/>
  <c r="O34" i="3" s="1"/>
  <c r="L35" i="3"/>
  <c r="C35" i="3" s="1"/>
  <c r="K36" i="3"/>
  <c r="I35" i="3" l="1"/>
  <c r="J35" i="3" s="1"/>
  <c r="O35" i="3" s="1"/>
  <c r="K37" i="3"/>
  <c r="L36" i="3"/>
  <c r="C36" i="3" s="1"/>
  <c r="I36" i="3" l="1"/>
  <c r="J36" i="3" s="1"/>
  <c r="O36" i="3" s="1"/>
  <c r="K38" i="3"/>
  <c r="L37" i="3"/>
  <c r="C37" i="3" s="1"/>
  <c r="L38" i="3" l="1"/>
  <c r="C38" i="3" s="1"/>
  <c r="K39" i="3"/>
  <c r="I37" i="3"/>
  <c r="J37" i="3" s="1"/>
  <c r="O37" i="3" s="1"/>
  <c r="K40" i="3" l="1"/>
  <c r="L39" i="3"/>
  <c r="C39" i="3" s="1"/>
  <c r="I38" i="3"/>
  <c r="J38" i="3" s="1"/>
  <c r="O38" i="3" s="1"/>
  <c r="I39" i="3" l="1"/>
  <c r="J39" i="3" s="1"/>
  <c r="O39" i="3" s="1"/>
  <c r="L40" i="3"/>
  <c r="C40" i="3" s="1"/>
  <c r="K41" i="3"/>
  <c r="I40" i="3" l="1"/>
  <c r="J40" i="3" s="1"/>
  <c r="O40" i="3" s="1"/>
  <c r="K42" i="3"/>
  <c r="L41" i="3"/>
  <c r="C41" i="3" s="1"/>
  <c r="I41" i="3" l="1"/>
  <c r="J41" i="3" s="1"/>
  <c r="O41" i="3"/>
  <c r="K43" i="3"/>
  <c r="L42" i="3"/>
  <c r="C42" i="3" s="1"/>
  <c r="I42" i="3" l="1"/>
  <c r="J42" i="3" s="1"/>
  <c r="O42" i="3" s="1"/>
  <c r="L43" i="3"/>
  <c r="C43" i="3" s="1"/>
  <c r="K44" i="3"/>
  <c r="K45" i="3" l="1"/>
  <c r="L44" i="3"/>
  <c r="C44" i="3" s="1"/>
  <c r="I43" i="3"/>
  <c r="J43" i="3" s="1"/>
  <c r="O43" i="3" s="1"/>
  <c r="I44" i="3" l="1"/>
  <c r="J44" i="3" s="1"/>
  <c r="O44" i="3" s="1"/>
  <c r="K46" i="3"/>
  <c r="L45" i="3"/>
  <c r="C45" i="3" s="1"/>
  <c r="I45" i="3" l="1"/>
  <c r="J45" i="3" s="1"/>
  <c r="O45" i="3" s="1"/>
  <c r="K47" i="3"/>
  <c r="L47" i="3" s="1"/>
  <c r="C47" i="3" s="1"/>
  <c r="L46" i="3"/>
  <c r="C46" i="3" l="1"/>
  <c r="L7" i="3"/>
  <c r="C7" i="3" s="1"/>
  <c r="I7" i="3" s="1"/>
  <c r="J7" i="3" s="1"/>
  <c r="I47" i="3"/>
  <c r="J47" i="3" s="1"/>
  <c r="O47" i="3" s="1"/>
  <c r="I46" i="3" l="1"/>
  <c r="J46" i="3" s="1"/>
  <c r="O46" i="3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8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8" i="1"/>
  <c r="K8" i="1"/>
  <c r="L8" i="1" s="1"/>
  <c r="N7" i="1"/>
  <c r="D7" i="1" s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C8" i="1" s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O7" i="1"/>
  <c r="K9" i="1"/>
  <c r="K10" i="1" l="1"/>
  <c r="L9" i="1"/>
  <c r="C9" i="1" s="1"/>
  <c r="J9" i="1" l="1"/>
  <c r="K11" i="1"/>
  <c r="L10" i="1"/>
  <c r="C10" i="1" s="1"/>
  <c r="O9" i="1" l="1"/>
  <c r="J10" i="1"/>
  <c r="K12" i="1"/>
  <c r="L11" i="1"/>
  <c r="C11" i="1" s="1"/>
  <c r="J11" i="1" s="1"/>
  <c r="O11" i="1" l="1"/>
  <c r="O10" i="1"/>
  <c r="K13" i="1"/>
  <c r="L12" i="1"/>
  <c r="C12" i="1" s="1"/>
  <c r="J12" i="1" s="1"/>
  <c r="O12" i="1" l="1"/>
  <c r="K14" i="1"/>
  <c r="L13" i="1"/>
  <c r="C13" i="1" s="1"/>
  <c r="J13" i="1" s="1"/>
  <c r="O13" i="1" l="1"/>
  <c r="K15" i="1"/>
  <c r="L14" i="1"/>
  <c r="C14" i="1" s="1"/>
  <c r="J14" i="1" s="1"/>
  <c r="O14" i="1" l="1"/>
  <c r="K16" i="1"/>
  <c r="L15" i="1"/>
  <c r="C15" i="1" s="1"/>
  <c r="J15" i="1" l="1"/>
  <c r="K17" i="1"/>
  <c r="L16" i="1"/>
  <c r="C16" i="1" s="1"/>
  <c r="J16" i="1" s="1"/>
  <c r="O16" i="1" l="1"/>
  <c r="O15" i="1"/>
  <c r="K18" i="1"/>
  <c r="L17" i="1"/>
  <c r="C17" i="1" s="1"/>
  <c r="J17" i="1" s="1"/>
  <c r="O17" i="1" l="1"/>
  <c r="K19" i="1"/>
  <c r="L18" i="1"/>
  <c r="C18" i="1" s="1"/>
  <c r="J18" i="1" s="1"/>
  <c r="O18" i="1" l="1"/>
  <c r="K20" i="1"/>
  <c r="L19" i="1"/>
  <c r="C19" i="1" s="1"/>
  <c r="J19" i="1" s="1"/>
  <c r="O19" i="1" l="1"/>
  <c r="K21" i="1"/>
  <c r="L20" i="1"/>
  <c r="C20" i="1" s="1"/>
  <c r="J20" i="1" s="1"/>
  <c r="O20" i="1" l="1"/>
  <c r="K22" i="1"/>
  <c r="L21" i="1"/>
  <c r="C21" i="1" s="1"/>
  <c r="J21" i="1" s="1"/>
  <c r="O21" i="1" l="1"/>
  <c r="K23" i="1"/>
  <c r="L22" i="1"/>
  <c r="C22" i="1" s="1"/>
  <c r="J22" i="1" s="1"/>
  <c r="O22" i="1" l="1"/>
  <c r="K24" i="1"/>
  <c r="L23" i="1"/>
  <c r="C23" i="1" s="1"/>
  <c r="J23" i="1" s="1"/>
  <c r="O23" i="1" l="1"/>
  <c r="K25" i="1"/>
  <c r="L24" i="1"/>
  <c r="C24" i="1" s="1"/>
  <c r="J24" i="1" s="1"/>
  <c r="O24" i="1" l="1"/>
  <c r="K26" i="1"/>
  <c r="L25" i="1"/>
  <c r="C25" i="1" s="1"/>
  <c r="J25" i="1" s="1"/>
  <c r="O25" i="1" l="1"/>
  <c r="K27" i="1"/>
  <c r="L26" i="1"/>
  <c r="C26" i="1" s="1"/>
  <c r="J26" i="1" s="1"/>
  <c r="O26" i="1" l="1"/>
  <c r="K28" i="1"/>
  <c r="L27" i="1"/>
  <c r="C27" i="1" s="1"/>
  <c r="J27" i="1" s="1"/>
  <c r="O27" i="1" l="1"/>
  <c r="K29" i="1"/>
  <c r="L28" i="1"/>
  <c r="C28" i="1" s="1"/>
  <c r="J28" i="1" s="1"/>
  <c r="O28" i="1" l="1"/>
  <c r="K30" i="1"/>
  <c r="L29" i="1"/>
  <c r="C29" i="1" s="1"/>
  <c r="J29" i="1" s="1"/>
  <c r="O29" i="1" l="1"/>
  <c r="K31" i="1"/>
  <c r="L30" i="1"/>
  <c r="C30" i="1" s="1"/>
  <c r="J30" i="1" s="1"/>
  <c r="O30" i="1" l="1"/>
  <c r="K32" i="1"/>
  <c r="L31" i="1"/>
  <c r="C31" i="1" s="1"/>
  <c r="J31" i="1" s="1"/>
  <c r="O31" i="1" l="1"/>
  <c r="K33" i="1"/>
  <c r="L32" i="1"/>
  <c r="C32" i="1" s="1"/>
  <c r="J32" i="1" s="1"/>
  <c r="O32" i="1" l="1"/>
  <c r="K34" i="1"/>
  <c r="L33" i="1"/>
  <c r="C33" i="1" s="1"/>
  <c r="J33" i="1" s="1"/>
  <c r="O33" i="1" l="1"/>
  <c r="K35" i="1"/>
  <c r="L34" i="1"/>
  <c r="C34" i="1" s="1"/>
  <c r="J34" i="1" s="1"/>
  <c r="O34" i="1" l="1"/>
  <c r="K36" i="1"/>
  <c r="L35" i="1"/>
  <c r="C35" i="1" s="1"/>
  <c r="J35" i="1" s="1"/>
  <c r="O35" i="1" l="1"/>
  <c r="K37" i="1"/>
  <c r="L36" i="1"/>
  <c r="C36" i="1" s="1"/>
  <c r="J36" i="1" s="1"/>
  <c r="O36" i="1" l="1"/>
  <c r="K38" i="1"/>
  <c r="L37" i="1"/>
  <c r="C37" i="1" s="1"/>
  <c r="J37" i="1" s="1"/>
  <c r="O37" i="1" l="1"/>
  <c r="K39" i="1"/>
  <c r="L38" i="1"/>
  <c r="C38" i="1" s="1"/>
  <c r="J38" i="1" s="1"/>
  <c r="O38" i="1" l="1"/>
  <c r="K40" i="1"/>
  <c r="L39" i="1"/>
  <c r="C39" i="1" s="1"/>
  <c r="J39" i="1" s="1"/>
  <c r="O39" i="1" l="1"/>
  <c r="K41" i="1"/>
  <c r="L40" i="1"/>
  <c r="C40" i="1" s="1"/>
  <c r="J40" i="1" s="1"/>
  <c r="O40" i="1" l="1"/>
  <c r="K42" i="1"/>
  <c r="L41" i="1"/>
  <c r="C41" i="1" s="1"/>
  <c r="J41" i="1" s="1"/>
  <c r="O41" i="1" l="1"/>
  <c r="K43" i="1"/>
  <c r="L42" i="1"/>
  <c r="C42" i="1" s="1"/>
  <c r="J42" i="1" s="1"/>
  <c r="O42" i="1" l="1"/>
  <c r="K44" i="1"/>
  <c r="L43" i="1"/>
  <c r="C43" i="1" s="1"/>
  <c r="J43" i="1" s="1"/>
  <c r="O43" i="1" l="1"/>
  <c r="K45" i="1"/>
  <c r="L44" i="1"/>
  <c r="C44" i="1" s="1"/>
  <c r="J44" i="1" s="1"/>
  <c r="O44" i="1" l="1"/>
  <c r="K46" i="1"/>
  <c r="L45" i="1"/>
  <c r="C45" i="1" s="1"/>
  <c r="J45" i="1" s="1"/>
  <c r="O45" i="1" l="1"/>
  <c r="K47" i="1"/>
  <c r="L47" i="1" s="1"/>
  <c r="C47" i="1" s="1"/>
  <c r="L46" i="1"/>
  <c r="C46" i="1" s="1"/>
  <c r="J46" i="1" s="1"/>
  <c r="O46" i="1" l="1"/>
  <c r="L7" i="1"/>
  <c r="C7" i="1" s="1"/>
  <c r="J7" i="1" l="1"/>
  <c r="J47" i="1"/>
  <c r="O47" i="1" l="1"/>
  <c r="I8" i="3" l="1"/>
  <c r="J8" i="3" s="1"/>
  <c r="O8" i="3" s="1"/>
  <c r="S9" i="3" l="1"/>
  <c r="S10" i="3"/>
  <c r="O49" i="3"/>
  <c r="S7" i="3" s="1"/>
  <c r="S8" i="3" s="1"/>
  <c r="J8" i="1"/>
  <c r="O8" i="1" l="1"/>
  <c r="S10" i="1" l="1"/>
  <c r="O49" i="1"/>
  <c r="S7" i="1" s="1"/>
  <c r="S8" i="1" s="1"/>
  <c r="S9" i="1"/>
</calcChain>
</file>

<file path=xl/sharedStrings.xml><?xml version="1.0" encoding="utf-8"?>
<sst xmlns="http://schemas.openxmlformats.org/spreadsheetml/2006/main" count="156" uniqueCount="82">
  <si>
    <t>Year</t>
  </si>
  <si>
    <t>GI</t>
  </si>
  <si>
    <t>OE</t>
  </si>
  <si>
    <t>P&amp;S</t>
  </si>
  <si>
    <t>D</t>
  </si>
  <si>
    <t>BV</t>
  </si>
  <si>
    <t>TI</t>
  </si>
  <si>
    <t>Taxes</t>
  </si>
  <si>
    <t>CFAT</t>
  </si>
  <si>
    <t>Formulas</t>
  </si>
  <si>
    <t>M&amp;O</t>
  </si>
  <si>
    <t>Tax Rate</t>
  </si>
  <si>
    <t>MARR</t>
  </si>
  <si>
    <t>Annual loan repayment</t>
  </si>
  <si>
    <t>Project Life</t>
  </si>
  <si>
    <t>Revenue Projections</t>
  </si>
  <si>
    <t>Internal Rate Of Return</t>
  </si>
  <si>
    <t>Payback period</t>
  </si>
  <si>
    <t>Estimated Costs for materials and Operations</t>
  </si>
  <si>
    <t>MACRS rate* GrossIncome</t>
  </si>
  <si>
    <t>Size</t>
  </si>
  <si>
    <t>Cost</t>
  </si>
  <si>
    <t>Wages</t>
  </si>
  <si>
    <t>Salary</t>
  </si>
  <si>
    <t>Population</t>
  </si>
  <si>
    <t>Sq.ft</t>
  </si>
  <si>
    <t>per sq ft</t>
  </si>
  <si>
    <t>per hr</t>
  </si>
  <si>
    <t>Employee</t>
  </si>
  <si>
    <t>Nos</t>
  </si>
  <si>
    <t>Construction Cost</t>
  </si>
  <si>
    <t>Loan</t>
  </si>
  <si>
    <t>M&amp;O Cost</t>
  </si>
  <si>
    <t>Labor Cost</t>
  </si>
  <si>
    <t>Projected Sales</t>
  </si>
  <si>
    <t>IRRR</t>
  </si>
  <si>
    <t xml:space="preserve">Tax Rate </t>
  </si>
  <si>
    <t>Period</t>
  </si>
  <si>
    <t>Million $</t>
  </si>
  <si>
    <t>Percent %</t>
  </si>
  <si>
    <t>Years</t>
  </si>
  <si>
    <t>CC</t>
  </si>
  <si>
    <t xml:space="preserve">Increase in sales </t>
  </si>
  <si>
    <t>TS</t>
  </si>
  <si>
    <t>PROJECT 2</t>
  </si>
  <si>
    <t>Labor Cost ( 0years)</t>
  </si>
  <si>
    <t>Dr</t>
  </si>
  <si>
    <t>Location</t>
  </si>
  <si>
    <t>Jacksonville, Florida</t>
  </si>
  <si>
    <t>40 Years</t>
  </si>
  <si>
    <t>Payback</t>
  </si>
  <si>
    <t>IRR</t>
  </si>
  <si>
    <t>AW</t>
  </si>
  <si>
    <t>PW</t>
  </si>
  <si>
    <t>Average of CFAT</t>
  </si>
  <si>
    <t>Atlanta, Georgia</t>
  </si>
  <si>
    <t>Depreciation @ 0</t>
  </si>
  <si>
    <t>Cost of labor estimated based on 50</t>
  </si>
  <si>
    <t>Standard MARR</t>
  </si>
  <si>
    <t>Corporate tax rate based on company income</t>
  </si>
  <si>
    <t>Rate(n, GI, CFAT)</t>
  </si>
  <si>
    <t>PMT(I, n, A/P)</t>
  </si>
  <si>
    <t>n = 40 years</t>
  </si>
  <si>
    <t>Total sales - loan payment- M&amp;O -LC</t>
  </si>
  <si>
    <t>NPV(MARR, CFAT(40))</t>
  </si>
  <si>
    <t>Annual Worth @ year 40</t>
  </si>
  <si>
    <t>Variables</t>
  </si>
  <si>
    <t xml:space="preserve">Annual Wages </t>
  </si>
  <si>
    <t xml:space="preserve">Avg Anually for 500 employees </t>
  </si>
  <si>
    <t>Property Tax (tax rate 4.5)</t>
  </si>
  <si>
    <t>Electricity Charges Anually</t>
  </si>
  <si>
    <t xml:space="preserve">Water Charges Anually </t>
  </si>
  <si>
    <t>Commercial Class A Building Charges, Water &amp; Sewer Rates Anually</t>
  </si>
  <si>
    <t>Total</t>
  </si>
  <si>
    <t>Per sq ft</t>
  </si>
  <si>
    <t xml:space="preserve">Avg Per person </t>
  </si>
  <si>
    <t>JACKSONVILLE, FLORIDA</t>
  </si>
  <si>
    <t xml:space="preserve">Avg Anually for 450 employees </t>
  </si>
  <si>
    <t xml:space="preserve"> For 250,000sq ft,  At 20 kWh - a consumption rate of $0.04/kWh</t>
  </si>
  <si>
    <t>For 200,000 sq ft, At 20 kWh a consumption rate of $0.065/kWh</t>
  </si>
  <si>
    <t>ATLANTA, GEORGIA</t>
  </si>
  <si>
    <t>Using CFAT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</si>
</sst>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6B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3" fontId="2" fillId="0" borderId="4" xfId="0" applyNumberFormat="1" applyFont="1" applyBorder="1"/>
    <xf numFmtId="0" fontId="0" fillId="0" borderId="5" xfId="0" applyBorder="1"/>
    <xf numFmtId="164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3" fontId="2" fillId="0" borderId="9" xfId="0" applyNumberFormat="1" applyFont="1" applyBorder="1"/>
    <xf numFmtId="165" fontId="2" fillId="0" borderId="4" xfId="0" applyNumberFormat="1" applyFont="1" applyBorder="1"/>
    <xf numFmtId="165" fontId="2" fillId="0" borderId="6" xfId="0" applyNumberFormat="1" applyFont="1" applyBorder="1"/>
    <xf numFmtId="164" fontId="2" fillId="0" borderId="6" xfId="1" applyNumberFormat="1" applyFont="1" applyBorder="1"/>
    <xf numFmtId="165" fontId="2" fillId="0" borderId="6" xfId="1" applyNumberFormat="1" applyFont="1" applyBorder="1"/>
    <xf numFmtId="9" fontId="2" fillId="0" borderId="6" xfId="0" applyNumberFormat="1" applyFont="1" applyBorder="1"/>
    <xf numFmtId="0" fontId="2" fillId="0" borderId="9" xfId="0" applyFont="1" applyBorder="1"/>
    <xf numFmtId="8" fontId="0" fillId="0" borderId="0" xfId="0" applyNumberFormat="1"/>
    <xf numFmtId="0" fontId="0" fillId="0" borderId="1" xfId="0" applyBorder="1" applyAlignment="1">
      <alignment wrapText="1"/>
    </xf>
    <xf numFmtId="8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8" fontId="0" fillId="0" borderId="6" xfId="0" applyNumberFormat="1" applyBorder="1"/>
    <xf numFmtId="10" fontId="0" fillId="0" borderId="0" xfId="2" applyNumberFormat="1" applyFont="1" applyBorder="1"/>
    <xf numFmtId="165" fontId="0" fillId="0" borderId="0" xfId="0" applyNumberFormat="1"/>
    <xf numFmtId="8" fontId="0" fillId="0" borderId="8" xfId="0" applyNumberFormat="1" applyBorder="1"/>
    <xf numFmtId="10" fontId="0" fillId="0" borderId="8" xfId="0" applyNumberFormat="1" applyBorder="1"/>
    <xf numFmtId="165" fontId="0" fillId="0" borderId="8" xfId="0" applyNumberFormat="1" applyBorder="1"/>
    <xf numFmtId="8" fontId="0" fillId="0" borderId="9" xfId="0" applyNumberFormat="1" applyBorder="1"/>
    <xf numFmtId="8" fontId="2" fillId="0" borderId="6" xfId="0" applyNumberFormat="1" applyFont="1" applyBorder="1"/>
    <xf numFmtId="0" fontId="2" fillId="0" borderId="3" xfId="0" applyFont="1" applyBorder="1" applyAlignment="1">
      <alignment horizontal="center" vertical="center" wrapText="1"/>
    </xf>
    <xf numFmtId="10" fontId="0" fillId="0" borderId="0" xfId="2" applyNumberFormat="1" applyFont="1" applyFill="1" applyBorder="1"/>
    <xf numFmtId="0" fontId="3" fillId="2" borderId="0" xfId="0" applyFont="1" applyFill="1" applyAlignment="1">
      <alignment horizontal="center" vertical="center"/>
    </xf>
    <xf numFmtId="0" fontId="5" fillId="0" borderId="2" xfId="0" applyFont="1" applyBorder="1"/>
    <xf numFmtId="0" fontId="5" fillId="0" borderId="4" xfId="0" applyFont="1" applyBorder="1"/>
    <xf numFmtId="0" fontId="0" fillId="0" borderId="6" xfId="0" applyBorder="1"/>
    <xf numFmtId="0" fontId="0" fillId="0" borderId="9" xfId="0" applyBorder="1"/>
    <xf numFmtId="1" fontId="2" fillId="0" borderId="6" xfId="0" applyNumberFormat="1" applyFont="1" applyBorder="1"/>
    <xf numFmtId="0" fontId="0" fillId="4" borderId="1" xfId="0" applyFill="1" applyBorder="1"/>
    <xf numFmtId="8" fontId="2" fillId="4" borderId="1" xfId="0" applyNumberFormat="1" applyFont="1" applyFill="1" applyBorder="1"/>
    <xf numFmtId="9" fontId="2" fillId="4" borderId="1" xfId="0" applyNumberFormat="1" applyFont="1" applyFill="1" applyBorder="1"/>
    <xf numFmtId="2" fontId="2" fillId="4" borderId="1" xfId="0" applyNumberFormat="1" applyFont="1" applyFill="1" applyBorder="1"/>
    <xf numFmtId="1" fontId="2" fillId="4" borderId="1" xfId="0" applyNumberFormat="1" applyFont="1" applyFill="1" applyBorder="1"/>
    <xf numFmtId="164" fontId="2" fillId="0" borderId="0" xfId="0" applyNumberFormat="1" applyFont="1"/>
    <xf numFmtId="0" fontId="5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3" fontId="0" fillId="4" borderId="1" xfId="0" applyNumberFormat="1" applyFill="1" applyBorder="1"/>
    <xf numFmtId="8" fontId="0" fillId="4" borderId="1" xfId="0" applyNumberFormat="1" applyFill="1" applyBorder="1"/>
    <xf numFmtId="6" fontId="0" fillId="4" borderId="1" xfId="0" applyNumberFormat="1" applyFill="1" applyBorder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2</xdr:col>
      <xdr:colOff>272877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094EB6-49AF-98BA-F783-E241CFC58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0"/>
          <a:ext cx="973917" cy="54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2</xdr:col>
      <xdr:colOff>166197</xdr:colOff>
      <xdr:row>2</xdr:row>
      <xdr:rowOff>3391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EBD9D0-FEBA-41EB-9824-418276FBB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0"/>
          <a:ext cx="973917" cy="548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0</xdr:col>
      <xdr:colOff>1225377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ED81B-845D-460E-9581-6979D4E61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0"/>
          <a:ext cx="973917" cy="5486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1</xdr:col>
      <xdr:colOff>615777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06E133-9212-4546-AECE-71EFB8EEA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0"/>
          <a:ext cx="973917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5ACE-E79B-4693-94A7-FDD422939AAC}">
  <sheetPr>
    <pageSetUpPr fitToPage="1"/>
  </sheetPr>
  <dimension ref="A1:T49"/>
  <sheetViews>
    <sheetView zoomScaleNormal="100" workbookViewId="0">
      <selection activeCell="P9" sqref="P9"/>
    </sheetView>
  </sheetViews>
  <sheetFormatPr defaultRowHeight="14.25" x14ac:dyDescent="0.45"/>
  <cols>
    <col min="1" max="1" width="9.19921875" customWidth="1"/>
    <col min="2" max="2" width="4.6640625" bestFit="1" customWidth="1"/>
    <col min="3" max="3" width="11.53125" bestFit="1" customWidth="1"/>
    <col min="4" max="4" width="9.46484375" bestFit="1" customWidth="1"/>
    <col min="5" max="5" width="0" hidden="1" customWidth="1"/>
    <col min="9" max="9" width="11.53125" bestFit="1" customWidth="1"/>
    <col min="10" max="10" width="10.46484375" bestFit="1" customWidth="1"/>
    <col min="11" max="12" width="11" bestFit="1" customWidth="1"/>
    <col min="14" max="14" width="12.46484375" customWidth="1"/>
    <col min="15" max="15" width="10.46484375" bestFit="1" customWidth="1"/>
    <col min="16" max="16" width="20.46484375" customWidth="1"/>
    <col min="17" max="17" width="16.796875" bestFit="1" customWidth="1"/>
    <col min="18" max="18" width="10.33203125" customWidth="1"/>
    <col min="19" max="19" width="12.33203125" bestFit="1" customWidth="1"/>
  </cols>
  <sheetData>
    <row r="1" spans="1:20" ht="14.45" customHeight="1" x14ac:dyDescent="0.45">
      <c r="A1" s="51" t="s">
        <v>44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28.8" customHeight="1" x14ac:dyDescent="0.4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0" x14ac:dyDescent="0.45">
      <c r="A3" s="52" t="s">
        <v>47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 t="s">
        <v>14</v>
      </c>
      <c r="M3" s="52"/>
      <c r="N3" s="52"/>
      <c r="O3" s="52"/>
      <c r="P3" s="52"/>
      <c r="Q3" s="52"/>
      <c r="R3" s="52"/>
      <c r="S3" s="52"/>
      <c r="T3" s="52"/>
    </row>
    <row r="4" spans="1:20" ht="16.149999999999999" thickBot="1" x14ac:dyDescent="0.55000000000000004">
      <c r="A4" s="53" t="s">
        <v>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3" t="s">
        <v>49</v>
      </c>
      <c r="M4" s="54"/>
      <c r="N4" s="54"/>
      <c r="O4" s="54"/>
      <c r="P4" s="54"/>
      <c r="Q4" s="54"/>
      <c r="R4" s="54"/>
      <c r="S4" s="54"/>
      <c r="T4" s="54"/>
    </row>
    <row r="5" spans="1:20" ht="14.65" thickTop="1" x14ac:dyDescent="0.45"/>
    <row r="6" spans="1:20" ht="34.799999999999997" customHeight="1" x14ac:dyDescent="0.45">
      <c r="B6" s="18" t="s">
        <v>0</v>
      </c>
      <c r="C6" s="19" t="s">
        <v>1</v>
      </c>
      <c r="D6" s="19" t="s">
        <v>2</v>
      </c>
      <c r="E6" s="19" t="s">
        <v>3</v>
      </c>
      <c r="F6" s="19" t="s">
        <v>46</v>
      </c>
      <c r="G6" s="19" t="s">
        <v>4</v>
      </c>
      <c r="H6" s="19" t="s">
        <v>5</v>
      </c>
      <c r="I6" s="19" t="s">
        <v>6</v>
      </c>
      <c r="J6" s="19" t="s">
        <v>7</v>
      </c>
      <c r="K6" s="29" t="s">
        <v>42</v>
      </c>
      <c r="L6" s="19" t="s">
        <v>43</v>
      </c>
      <c r="M6" s="19" t="s">
        <v>41</v>
      </c>
      <c r="N6" s="19" t="s">
        <v>10</v>
      </c>
      <c r="O6" s="20" t="s">
        <v>8</v>
      </c>
    </row>
    <row r="7" spans="1:20" x14ac:dyDescent="0.45">
      <c r="B7" s="4">
        <v>0</v>
      </c>
      <c r="C7" s="15">
        <f>$S$24+N7+M7+L7</f>
        <v>2576.5266487311737</v>
      </c>
      <c r="D7" s="15">
        <f>N7+$S$24</f>
        <v>-618.28325113606593</v>
      </c>
      <c r="I7" s="15">
        <f t="shared" ref="I7:I47" si="0">C7+D7-G7</f>
        <v>1958.2433975951078</v>
      </c>
      <c r="J7" s="15">
        <f t="shared" ref="J7:J47" si="1">I7*$S$28</f>
        <v>528.72571735067913</v>
      </c>
      <c r="L7" s="15">
        <f>NPV($S$27,L8:L46)</f>
        <v>3094.8098998672399</v>
      </c>
      <c r="M7" s="15">
        <v>100</v>
      </c>
      <c r="N7" s="15">
        <f>PV($S$27,40,$S$14)</f>
        <v>-618.28325113606593</v>
      </c>
      <c r="O7" s="21">
        <f>-(S19+S20+S21+S23)</f>
        <v>-388</v>
      </c>
      <c r="R7" s="37" t="s">
        <v>53</v>
      </c>
      <c r="S7" s="38">
        <f>PV(S26,40,-O49)</f>
        <v>11940.923301957895</v>
      </c>
    </row>
    <row r="8" spans="1:20" x14ac:dyDescent="0.45">
      <c r="B8" s="4">
        <v>1</v>
      </c>
      <c r="C8" s="15">
        <f>M8+N8+$S$23+L8</f>
        <v>-130.26072511658404</v>
      </c>
      <c r="D8" s="15">
        <f>N8+$S$23</f>
        <v>-192</v>
      </c>
      <c r="F8" s="30">
        <v>1.3899999999999999E-2</v>
      </c>
      <c r="G8" s="23">
        <f t="shared" ref="G8:G47" si="2">F8*$S$20</f>
        <v>2.78</v>
      </c>
      <c r="H8" s="23">
        <f>$S$20-G8</f>
        <v>197.22</v>
      </c>
      <c r="I8" s="15">
        <f t="shared" si="0"/>
        <v>-325.04072511658399</v>
      </c>
      <c r="J8" s="15">
        <f t="shared" si="1"/>
        <v>-87.760995781477675</v>
      </c>
      <c r="K8" s="23">
        <f>$S$25*1.15</f>
        <v>46</v>
      </c>
      <c r="L8" s="23">
        <f t="shared" ref="L8:L47" si="3">K8+$S$25</f>
        <v>86</v>
      </c>
      <c r="M8" s="15">
        <f t="shared" ref="M8:M47" si="4">PMT($S$27,40,$S$20)</f>
        <v>-24.260725116584052</v>
      </c>
      <c r="N8" s="15">
        <f t="shared" ref="N8:N47" si="5">-$S$21</f>
        <v>-120</v>
      </c>
      <c r="O8" s="21">
        <f t="shared" ref="O8:O47" si="6">C8+D8-E8-G8-J8</f>
        <v>-237.27972933510631</v>
      </c>
      <c r="R8" s="37" t="s">
        <v>52</v>
      </c>
      <c r="S8" s="38">
        <f>PMT(S26,40,-S7)</f>
        <v>1221.0718244251136</v>
      </c>
    </row>
    <row r="9" spans="1:20" x14ac:dyDescent="0.45">
      <c r="B9" s="4">
        <v>2</v>
      </c>
      <c r="C9" s="15">
        <f t="shared" ref="C9:C47" si="7">$S$23+N9+M9+L9</f>
        <v>-123.36072511658404</v>
      </c>
      <c r="D9" s="15">
        <f t="shared" ref="D9:D47" si="8">N9+$S$23</f>
        <v>-192</v>
      </c>
      <c r="F9" s="22">
        <v>2.5600000000000001E-2</v>
      </c>
      <c r="G9" s="23">
        <f t="shared" si="2"/>
        <v>5.12</v>
      </c>
      <c r="H9" s="23">
        <f>H8-G9</f>
        <v>192.1</v>
      </c>
      <c r="I9" s="15">
        <f t="shared" si="0"/>
        <v>-320.48072511658404</v>
      </c>
      <c r="J9" s="15">
        <f t="shared" si="1"/>
        <v>-86.529795781477702</v>
      </c>
      <c r="K9" s="23">
        <f>K8*1.15</f>
        <v>52.9</v>
      </c>
      <c r="L9" s="23">
        <f t="shared" si="3"/>
        <v>92.9</v>
      </c>
      <c r="M9" s="15">
        <f t="shared" si="4"/>
        <v>-24.260725116584052</v>
      </c>
      <c r="N9" s="15">
        <f t="shared" si="5"/>
        <v>-120</v>
      </c>
      <c r="O9" s="21">
        <f t="shared" si="6"/>
        <v>-233.95092933510634</v>
      </c>
      <c r="R9" s="37" t="s">
        <v>51</v>
      </c>
      <c r="S9" s="39">
        <f>IRR(O7:O47)</f>
        <v>0.10506751237691225</v>
      </c>
    </row>
    <row r="10" spans="1:20" x14ac:dyDescent="0.45">
      <c r="B10" s="4">
        <v>3</v>
      </c>
      <c r="C10" s="15">
        <f t="shared" si="7"/>
        <v>-115.42572511658405</v>
      </c>
      <c r="D10" s="15">
        <f t="shared" si="8"/>
        <v>-192</v>
      </c>
      <c r="F10" s="22">
        <v>2.5600000000000001E-2</v>
      </c>
      <c r="G10" s="23">
        <f t="shared" si="2"/>
        <v>5.12</v>
      </c>
      <c r="H10" s="23">
        <f t="shared" ref="H10:H47" si="9">H9-G10</f>
        <v>186.98</v>
      </c>
      <c r="I10" s="15">
        <f t="shared" si="0"/>
        <v>-312.54572511658404</v>
      </c>
      <c r="J10" s="15">
        <f t="shared" si="1"/>
        <v>-84.387345781477691</v>
      </c>
      <c r="K10" s="23">
        <f t="shared" ref="K10:K47" si="10">K9*1.15</f>
        <v>60.834999999999994</v>
      </c>
      <c r="L10" s="23">
        <f t="shared" si="3"/>
        <v>100.83499999999999</v>
      </c>
      <c r="M10" s="15">
        <f t="shared" si="4"/>
        <v>-24.260725116584052</v>
      </c>
      <c r="N10" s="15">
        <f t="shared" si="5"/>
        <v>-120</v>
      </c>
      <c r="O10" s="21">
        <f t="shared" si="6"/>
        <v>-228.15837933510636</v>
      </c>
      <c r="R10" s="37" t="s">
        <v>50</v>
      </c>
      <c r="S10" s="40">
        <f>COUNTIF(O8:O47,"&lt;342")+1</f>
        <v>22</v>
      </c>
    </row>
    <row r="11" spans="1:20" x14ac:dyDescent="0.45">
      <c r="B11" s="4">
        <v>4</v>
      </c>
      <c r="C11" s="15">
        <f t="shared" si="7"/>
        <v>-106.30047511658405</v>
      </c>
      <c r="D11" s="15">
        <f t="shared" si="8"/>
        <v>-192</v>
      </c>
      <c r="F11" s="22">
        <v>2.5600000000000001E-2</v>
      </c>
      <c r="G11" s="23">
        <f t="shared" si="2"/>
        <v>5.12</v>
      </c>
      <c r="H11" s="23">
        <f t="shared" si="9"/>
        <v>181.85999999999999</v>
      </c>
      <c r="I11" s="15">
        <f t="shared" si="0"/>
        <v>-303.42047511658404</v>
      </c>
      <c r="J11" s="15">
        <f t="shared" si="1"/>
        <v>-81.923528281477701</v>
      </c>
      <c r="K11" s="23">
        <f t="shared" si="10"/>
        <v>69.960249999999988</v>
      </c>
      <c r="L11" s="23">
        <f t="shared" si="3"/>
        <v>109.96024999999999</v>
      </c>
      <c r="M11" s="15">
        <f t="shared" si="4"/>
        <v>-24.260725116584052</v>
      </c>
      <c r="N11" s="15">
        <f t="shared" si="5"/>
        <v>-120</v>
      </c>
      <c r="O11" s="21">
        <f t="shared" si="6"/>
        <v>-221.49694683510634</v>
      </c>
    </row>
    <row r="12" spans="1:20" x14ac:dyDescent="0.45">
      <c r="B12" s="4">
        <v>5</v>
      </c>
      <c r="C12" s="15">
        <f t="shared" si="7"/>
        <v>-95.806437616584063</v>
      </c>
      <c r="D12" s="15">
        <f t="shared" si="8"/>
        <v>-192</v>
      </c>
      <c r="F12" s="22">
        <v>2.5600000000000001E-2</v>
      </c>
      <c r="G12" s="23">
        <f t="shared" si="2"/>
        <v>5.12</v>
      </c>
      <c r="H12" s="23">
        <f t="shared" si="9"/>
        <v>176.73999999999998</v>
      </c>
      <c r="I12" s="15">
        <f t="shared" si="0"/>
        <v>-292.92643761658405</v>
      </c>
      <c r="J12" s="15">
        <f t="shared" si="1"/>
        <v>-79.090138156477693</v>
      </c>
      <c r="K12" s="23">
        <f t="shared" si="10"/>
        <v>80.454287499999978</v>
      </c>
      <c r="L12" s="23">
        <f t="shared" si="3"/>
        <v>120.45428749999998</v>
      </c>
      <c r="M12" s="15">
        <f t="shared" si="4"/>
        <v>-24.260725116584052</v>
      </c>
      <c r="N12" s="15">
        <f t="shared" si="5"/>
        <v>-120</v>
      </c>
      <c r="O12" s="21">
        <f t="shared" si="6"/>
        <v>-213.83629946010637</v>
      </c>
      <c r="Q12" s="1" t="s">
        <v>20</v>
      </c>
      <c r="R12" s="2" t="s">
        <v>25</v>
      </c>
      <c r="S12" s="3">
        <v>250000</v>
      </c>
    </row>
    <row r="13" spans="1:20" x14ac:dyDescent="0.45">
      <c r="B13" s="4">
        <v>6</v>
      </c>
      <c r="C13" s="15">
        <f t="shared" si="7"/>
        <v>-83.738294491584071</v>
      </c>
      <c r="D13" s="15">
        <f t="shared" si="8"/>
        <v>-192</v>
      </c>
      <c r="F13" s="22">
        <v>2.5600000000000001E-2</v>
      </c>
      <c r="G13" s="23">
        <f t="shared" si="2"/>
        <v>5.12</v>
      </c>
      <c r="H13" s="23">
        <f t="shared" si="9"/>
        <v>171.61999999999998</v>
      </c>
      <c r="I13" s="15">
        <f t="shared" si="0"/>
        <v>-280.85829449158405</v>
      </c>
      <c r="J13" s="15">
        <f t="shared" si="1"/>
        <v>-75.831739512727694</v>
      </c>
      <c r="K13" s="23">
        <f t="shared" si="10"/>
        <v>92.52243062499997</v>
      </c>
      <c r="L13" s="23">
        <f t="shared" si="3"/>
        <v>132.52243062499997</v>
      </c>
      <c r="M13" s="15">
        <f t="shared" si="4"/>
        <v>-24.260725116584052</v>
      </c>
      <c r="N13" s="15">
        <f t="shared" si="5"/>
        <v>-120</v>
      </c>
      <c r="O13" s="21">
        <f t="shared" si="6"/>
        <v>-205.02655497885635</v>
      </c>
      <c r="Q13" s="4" t="s">
        <v>21</v>
      </c>
      <c r="R13" t="s">
        <v>26</v>
      </c>
      <c r="S13" s="5">
        <v>500</v>
      </c>
    </row>
    <row r="14" spans="1:20" x14ac:dyDescent="0.45">
      <c r="B14" s="4">
        <v>7</v>
      </c>
      <c r="C14" s="15">
        <f t="shared" si="7"/>
        <v>-69.859929897834064</v>
      </c>
      <c r="D14" s="15">
        <f t="shared" si="8"/>
        <v>-192</v>
      </c>
      <c r="F14" s="22">
        <v>2.5600000000000001E-2</v>
      </c>
      <c r="G14" s="23">
        <f t="shared" si="2"/>
        <v>5.12</v>
      </c>
      <c r="H14" s="23">
        <f t="shared" si="9"/>
        <v>166.49999999999997</v>
      </c>
      <c r="I14" s="15">
        <f t="shared" si="0"/>
        <v>-266.97992989783404</v>
      </c>
      <c r="J14" s="15">
        <f t="shared" si="1"/>
        <v>-72.08458107241519</v>
      </c>
      <c r="K14" s="23">
        <f t="shared" si="10"/>
        <v>106.40079521874996</v>
      </c>
      <c r="L14" s="23">
        <f t="shared" si="3"/>
        <v>146.40079521874998</v>
      </c>
      <c r="M14" s="15">
        <f t="shared" si="4"/>
        <v>-24.260725116584052</v>
      </c>
      <c r="N14" s="15">
        <f t="shared" si="5"/>
        <v>-120</v>
      </c>
      <c r="O14" s="21">
        <f t="shared" si="6"/>
        <v>-194.89534882541886</v>
      </c>
      <c r="Q14" s="4" t="s">
        <v>22</v>
      </c>
      <c r="R14" t="s">
        <v>27</v>
      </c>
      <c r="S14" s="5">
        <v>75</v>
      </c>
    </row>
    <row r="15" spans="1:20" x14ac:dyDescent="0.45">
      <c r="B15" s="4">
        <v>8</v>
      </c>
      <c r="C15" s="15">
        <f t="shared" si="7"/>
        <v>-53.899810615021607</v>
      </c>
      <c r="D15" s="15">
        <f t="shared" si="8"/>
        <v>-192</v>
      </c>
      <c r="F15" s="22">
        <v>2.5600000000000001E-2</v>
      </c>
      <c r="G15" s="23">
        <f t="shared" si="2"/>
        <v>5.12</v>
      </c>
      <c r="H15" s="23">
        <f t="shared" si="9"/>
        <v>161.37999999999997</v>
      </c>
      <c r="I15" s="15">
        <f t="shared" si="0"/>
        <v>-251.01981061502161</v>
      </c>
      <c r="J15" s="15">
        <f t="shared" si="1"/>
        <v>-67.775348866055836</v>
      </c>
      <c r="K15" s="23">
        <f t="shared" si="10"/>
        <v>122.36091450156245</v>
      </c>
      <c r="L15" s="23">
        <f t="shared" si="3"/>
        <v>162.36091450156243</v>
      </c>
      <c r="M15" s="15">
        <f t="shared" si="4"/>
        <v>-24.260725116584052</v>
      </c>
      <c r="N15" s="15">
        <f t="shared" si="5"/>
        <v>-120</v>
      </c>
      <c r="O15" s="21">
        <f t="shared" si="6"/>
        <v>-183.24446174896576</v>
      </c>
      <c r="Q15" s="4" t="s">
        <v>23</v>
      </c>
      <c r="R15" t="s">
        <v>27</v>
      </c>
      <c r="S15" s="5">
        <v>50</v>
      </c>
    </row>
    <row r="16" spans="1:20" x14ac:dyDescent="0.45">
      <c r="B16" s="4">
        <v>9</v>
      </c>
      <c r="C16" s="15">
        <f t="shared" si="7"/>
        <v>-35.545673439787237</v>
      </c>
      <c r="D16" s="15">
        <f t="shared" si="8"/>
        <v>-192</v>
      </c>
      <c r="F16" s="22">
        <v>2.5600000000000001E-2</v>
      </c>
      <c r="G16" s="23">
        <f t="shared" si="2"/>
        <v>5.12</v>
      </c>
      <c r="H16" s="23">
        <f t="shared" si="9"/>
        <v>156.25999999999996</v>
      </c>
      <c r="I16" s="15">
        <f t="shared" si="0"/>
        <v>-232.66567343978724</v>
      </c>
      <c r="J16" s="15">
        <f t="shared" si="1"/>
        <v>-62.819731828742562</v>
      </c>
      <c r="K16" s="23">
        <f t="shared" si="10"/>
        <v>140.7150516767968</v>
      </c>
      <c r="L16" s="23">
        <f t="shared" si="3"/>
        <v>180.7150516767968</v>
      </c>
      <c r="M16" s="15">
        <f t="shared" si="4"/>
        <v>-24.260725116584052</v>
      </c>
      <c r="N16" s="15">
        <f t="shared" si="5"/>
        <v>-120</v>
      </c>
      <c r="O16" s="21">
        <f t="shared" si="6"/>
        <v>-169.84594161104468</v>
      </c>
      <c r="Q16" s="4" t="s">
        <v>28</v>
      </c>
      <c r="R16" t="s">
        <v>29</v>
      </c>
      <c r="S16" s="36">
        <v>500</v>
      </c>
    </row>
    <row r="17" spans="2:19" x14ac:dyDescent="0.45">
      <c r="B17" s="4">
        <v>10</v>
      </c>
      <c r="C17" s="15">
        <f t="shared" si="7"/>
        <v>-14.438415688267725</v>
      </c>
      <c r="D17" s="15">
        <f t="shared" si="8"/>
        <v>-192</v>
      </c>
      <c r="F17" s="22">
        <v>2.5600000000000001E-2</v>
      </c>
      <c r="G17" s="23">
        <f t="shared" si="2"/>
        <v>5.12</v>
      </c>
      <c r="H17" s="23">
        <f t="shared" si="9"/>
        <v>151.13999999999996</v>
      </c>
      <c r="I17" s="15">
        <f t="shared" si="0"/>
        <v>-211.55841568826773</v>
      </c>
      <c r="J17" s="15">
        <f t="shared" si="1"/>
        <v>-57.120772235832291</v>
      </c>
      <c r="K17" s="23">
        <f t="shared" si="10"/>
        <v>161.82230942831632</v>
      </c>
      <c r="L17" s="23">
        <f t="shared" si="3"/>
        <v>201.82230942831632</v>
      </c>
      <c r="M17" s="15">
        <f t="shared" si="4"/>
        <v>-24.260725116584052</v>
      </c>
      <c r="N17" s="15">
        <f t="shared" si="5"/>
        <v>-120</v>
      </c>
      <c r="O17" s="21">
        <f t="shared" si="6"/>
        <v>-154.43764345243545</v>
      </c>
      <c r="Q17" s="6" t="s">
        <v>24</v>
      </c>
      <c r="R17" s="7" t="s">
        <v>29</v>
      </c>
      <c r="S17" s="8">
        <v>971319</v>
      </c>
    </row>
    <row r="18" spans="2:19" x14ac:dyDescent="0.45">
      <c r="B18" s="4">
        <v>11</v>
      </c>
      <c r="C18" s="15">
        <f t="shared" si="7"/>
        <v>9.8349307259797172</v>
      </c>
      <c r="D18" s="15">
        <f t="shared" si="8"/>
        <v>-192</v>
      </c>
      <c r="F18" s="22">
        <v>2.5600000000000001E-2</v>
      </c>
      <c r="G18" s="23">
        <f t="shared" si="2"/>
        <v>5.12</v>
      </c>
      <c r="H18" s="23">
        <f t="shared" si="9"/>
        <v>146.01999999999995</v>
      </c>
      <c r="I18" s="15">
        <f t="shared" si="0"/>
        <v>-187.28506927402029</v>
      </c>
      <c r="J18" s="15">
        <f t="shared" si="1"/>
        <v>-50.566968703985481</v>
      </c>
      <c r="K18" s="23">
        <f t="shared" si="10"/>
        <v>186.09565584256376</v>
      </c>
      <c r="L18" s="23">
        <f t="shared" si="3"/>
        <v>226.09565584256376</v>
      </c>
      <c r="M18" s="15">
        <f t="shared" si="4"/>
        <v>-24.260725116584052</v>
      </c>
      <c r="N18" s="15">
        <f t="shared" si="5"/>
        <v>-120</v>
      </c>
      <c r="O18" s="21">
        <f t="shared" si="6"/>
        <v>-136.71810057003481</v>
      </c>
    </row>
    <row r="19" spans="2:19" x14ac:dyDescent="0.45">
      <c r="B19" s="4">
        <v>12</v>
      </c>
      <c r="C19" s="15">
        <f t="shared" si="7"/>
        <v>37.749279102364255</v>
      </c>
      <c r="D19" s="15">
        <f t="shared" si="8"/>
        <v>-192</v>
      </c>
      <c r="F19" s="22">
        <v>2.5600000000000001E-2</v>
      </c>
      <c r="G19" s="23">
        <f t="shared" si="2"/>
        <v>5.12</v>
      </c>
      <c r="H19" s="23">
        <f t="shared" si="9"/>
        <v>140.89999999999995</v>
      </c>
      <c r="I19" s="15">
        <f t="shared" si="0"/>
        <v>-159.37072089763575</v>
      </c>
      <c r="J19" s="15">
        <f t="shared" si="1"/>
        <v>-43.030094642361654</v>
      </c>
      <c r="K19" s="23">
        <f t="shared" si="10"/>
        <v>214.0100042189483</v>
      </c>
      <c r="L19" s="23">
        <f t="shared" si="3"/>
        <v>254.0100042189483</v>
      </c>
      <c r="M19" s="15">
        <f t="shared" si="4"/>
        <v>-24.260725116584052</v>
      </c>
      <c r="N19" s="15">
        <f t="shared" si="5"/>
        <v>-120</v>
      </c>
      <c r="O19" s="21">
        <f t="shared" si="6"/>
        <v>-116.34062625527409</v>
      </c>
      <c r="Q19" s="1" t="s">
        <v>30</v>
      </c>
      <c r="R19" s="2" t="s">
        <v>38</v>
      </c>
      <c r="S19" s="9">
        <v>140</v>
      </c>
    </row>
    <row r="20" spans="2:19" x14ac:dyDescent="0.45">
      <c r="B20" s="4">
        <v>13</v>
      </c>
      <c r="C20" s="15">
        <f t="shared" si="7"/>
        <v>69.850779735206487</v>
      </c>
      <c r="D20" s="15">
        <f t="shared" si="8"/>
        <v>-192</v>
      </c>
      <c r="F20" s="22">
        <v>2.5600000000000001E-2</v>
      </c>
      <c r="G20" s="23">
        <f t="shared" si="2"/>
        <v>5.12</v>
      </c>
      <c r="H20" s="23">
        <f t="shared" si="9"/>
        <v>135.77999999999994</v>
      </c>
      <c r="I20" s="15">
        <f t="shared" si="0"/>
        <v>-127.26922026479352</v>
      </c>
      <c r="J20" s="15">
        <f t="shared" si="1"/>
        <v>-34.362689471494249</v>
      </c>
      <c r="K20" s="23">
        <f t="shared" si="10"/>
        <v>246.11150485179053</v>
      </c>
      <c r="L20" s="23">
        <f t="shared" si="3"/>
        <v>286.11150485179053</v>
      </c>
      <c r="M20" s="15">
        <f t="shared" si="4"/>
        <v>-24.260725116584052</v>
      </c>
      <c r="N20" s="15">
        <f t="shared" si="5"/>
        <v>-120</v>
      </c>
      <c r="O20" s="21">
        <f t="shared" si="6"/>
        <v>-92.906530793299268</v>
      </c>
      <c r="Q20" s="4" t="s">
        <v>31</v>
      </c>
      <c r="R20" t="s">
        <v>38</v>
      </c>
      <c r="S20" s="10">
        <v>200</v>
      </c>
    </row>
    <row r="21" spans="2:19" x14ac:dyDescent="0.45">
      <c r="B21" s="4">
        <v>14</v>
      </c>
      <c r="C21" s="15">
        <f t="shared" si="7"/>
        <v>106.76750546297504</v>
      </c>
      <c r="D21" s="15">
        <f t="shared" si="8"/>
        <v>-192</v>
      </c>
      <c r="F21" s="22">
        <v>2.5600000000000001E-2</v>
      </c>
      <c r="G21" s="23">
        <f t="shared" si="2"/>
        <v>5.12</v>
      </c>
      <c r="H21" s="23">
        <f t="shared" si="9"/>
        <v>130.65999999999994</v>
      </c>
      <c r="I21" s="15">
        <f t="shared" si="0"/>
        <v>-90.352494537024967</v>
      </c>
      <c r="J21" s="15">
        <f t="shared" si="1"/>
        <v>-24.395173524996743</v>
      </c>
      <c r="K21" s="23">
        <f t="shared" si="10"/>
        <v>283.02823057955908</v>
      </c>
      <c r="L21" s="23">
        <f t="shared" si="3"/>
        <v>323.02823057955908</v>
      </c>
      <c r="M21" s="15">
        <f t="shared" si="4"/>
        <v>-24.260725116584052</v>
      </c>
      <c r="N21" s="15">
        <f t="shared" si="5"/>
        <v>-120</v>
      </c>
      <c r="O21" s="21">
        <f t="shared" si="6"/>
        <v>-65.957321012028217</v>
      </c>
      <c r="Q21" s="4" t="s">
        <v>32</v>
      </c>
      <c r="R21" t="s">
        <v>38</v>
      </c>
      <c r="S21" s="10">
        <f>S20/2*1.2</f>
        <v>120</v>
      </c>
    </row>
    <row r="22" spans="2:19" x14ac:dyDescent="0.45">
      <c r="B22" s="4">
        <v>15</v>
      </c>
      <c r="C22" s="15">
        <f t="shared" si="7"/>
        <v>149.2217400499089</v>
      </c>
      <c r="D22" s="15">
        <f t="shared" si="8"/>
        <v>-192</v>
      </c>
      <c r="F22" s="22">
        <v>2.5600000000000001E-2</v>
      </c>
      <c r="G22" s="23">
        <f t="shared" si="2"/>
        <v>5.12</v>
      </c>
      <c r="H22" s="23">
        <f t="shared" si="9"/>
        <v>125.53999999999994</v>
      </c>
      <c r="I22" s="15">
        <f t="shared" si="0"/>
        <v>-47.898259950091095</v>
      </c>
      <c r="J22" s="15">
        <f t="shared" si="1"/>
        <v>-12.932530186524597</v>
      </c>
      <c r="K22" s="23">
        <f t="shared" si="10"/>
        <v>325.48246516649294</v>
      </c>
      <c r="L22" s="23">
        <f t="shared" si="3"/>
        <v>365.48246516649294</v>
      </c>
      <c r="M22" s="15">
        <f t="shared" si="4"/>
        <v>-24.260725116584052</v>
      </c>
      <c r="N22" s="15">
        <f t="shared" si="5"/>
        <v>-120</v>
      </c>
      <c r="O22" s="21">
        <f t="shared" si="6"/>
        <v>-34.9657297635665</v>
      </c>
      <c r="Q22" s="4" t="s">
        <v>33</v>
      </c>
      <c r="S22" s="11">
        <f>S15*S16*60*4*12</f>
        <v>72000000</v>
      </c>
    </row>
    <row r="23" spans="2:19" x14ac:dyDescent="0.45">
      <c r="B23" s="4">
        <v>16</v>
      </c>
      <c r="C23" s="15">
        <f t="shared" si="7"/>
        <v>198.04410982488284</v>
      </c>
      <c r="D23" s="15">
        <f t="shared" si="8"/>
        <v>-192</v>
      </c>
      <c r="F23" s="22">
        <v>2.5600000000000001E-2</v>
      </c>
      <c r="G23" s="23">
        <f t="shared" si="2"/>
        <v>5.12</v>
      </c>
      <c r="H23" s="23">
        <f t="shared" si="9"/>
        <v>120.41999999999993</v>
      </c>
      <c r="I23" s="15">
        <f t="shared" si="0"/>
        <v>0.9241098248828381</v>
      </c>
      <c r="J23" s="15">
        <f t="shared" si="1"/>
        <v>0.24950965271836631</v>
      </c>
      <c r="K23" s="23">
        <f t="shared" si="10"/>
        <v>374.30483494146688</v>
      </c>
      <c r="L23" s="23">
        <f t="shared" si="3"/>
        <v>414.30483494146688</v>
      </c>
      <c r="M23" s="15">
        <f t="shared" si="4"/>
        <v>-24.260725116584052</v>
      </c>
      <c r="N23" s="15">
        <f t="shared" si="5"/>
        <v>-120</v>
      </c>
      <c r="O23" s="21">
        <f t="shared" si="6"/>
        <v>0.67460017216447177</v>
      </c>
      <c r="Q23" s="4"/>
      <c r="S23" s="28">
        <v>-72</v>
      </c>
    </row>
    <row r="24" spans="2:19" x14ac:dyDescent="0.45">
      <c r="B24" s="4">
        <v>17</v>
      </c>
      <c r="C24" s="15">
        <f t="shared" si="7"/>
        <v>254.18983506610286</v>
      </c>
      <c r="D24" s="15">
        <f t="shared" si="8"/>
        <v>-192</v>
      </c>
      <c r="F24" s="22">
        <v>2.5600000000000001E-2</v>
      </c>
      <c r="G24" s="23">
        <f t="shared" si="2"/>
        <v>5.12</v>
      </c>
      <c r="H24" s="23">
        <f t="shared" si="9"/>
        <v>115.29999999999993</v>
      </c>
      <c r="I24" s="15">
        <f t="shared" si="0"/>
        <v>57.069835066102861</v>
      </c>
      <c r="J24" s="15">
        <f t="shared" si="1"/>
        <v>15.408855467847774</v>
      </c>
      <c r="K24" s="23">
        <f t="shared" si="10"/>
        <v>430.4505601826869</v>
      </c>
      <c r="L24" s="23">
        <f t="shared" si="3"/>
        <v>470.4505601826869</v>
      </c>
      <c r="M24" s="15">
        <f t="shared" si="4"/>
        <v>-24.260725116584052</v>
      </c>
      <c r="N24" s="15">
        <f t="shared" si="5"/>
        <v>-120</v>
      </c>
      <c r="O24" s="21">
        <f t="shared" si="6"/>
        <v>41.660979598255089</v>
      </c>
      <c r="Q24" s="4" t="s">
        <v>45</v>
      </c>
      <c r="S24" s="10">
        <v>0</v>
      </c>
    </row>
    <row r="25" spans="2:19" x14ac:dyDescent="0.45">
      <c r="B25" s="4">
        <v>18</v>
      </c>
      <c r="C25" s="15">
        <f t="shared" si="7"/>
        <v>318.75741909350586</v>
      </c>
      <c r="D25" s="15">
        <f t="shared" si="8"/>
        <v>-192</v>
      </c>
      <c r="F25" s="22">
        <v>2.5600000000000001E-2</v>
      </c>
      <c r="G25" s="23">
        <f t="shared" si="2"/>
        <v>5.12</v>
      </c>
      <c r="H25" s="23">
        <f t="shared" si="9"/>
        <v>110.17999999999992</v>
      </c>
      <c r="I25" s="15">
        <f t="shared" si="0"/>
        <v>121.63741909350586</v>
      </c>
      <c r="J25" s="15">
        <f t="shared" si="1"/>
        <v>32.842103155246583</v>
      </c>
      <c r="K25" s="23">
        <f t="shared" si="10"/>
        <v>495.01814421008987</v>
      </c>
      <c r="L25" s="23">
        <f t="shared" si="3"/>
        <v>535.01814421008987</v>
      </c>
      <c r="M25" s="15">
        <f t="shared" si="4"/>
        <v>-24.260725116584052</v>
      </c>
      <c r="N25" s="15">
        <f t="shared" si="5"/>
        <v>-120</v>
      </c>
      <c r="O25" s="21">
        <f t="shared" si="6"/>
        <v>88.795315938259279</v>
      </c>
      <c r="Q25" s="4" t="s">
        <v>34</v>
      </c>
      <c r="R25" t="s">
        <v>38</v>
      </c>
      <c r="S25" s="12">
        <v>40</v>
      </c>
    </row>
    <row r="26" spans="2:19" x14ac:dyDescent="0.45">
      <c r="B26" s="4">
        <v>19</v>
      </c>
      <c r="C26" s="15">
        <f t="shared" si="7"/>
        <v>393.01014072501926</v>
      </c>
      <c r="D26" s="15">
        <f t="shared" si="8"/>
        <v>-192</v>
      </c>
      <c r="F26" s="22">
        <v>2.5600000000000001E-2</v>
      </c>
      <c r="G26" s="23">
        <f t="shared" si="2"/>
        <v>5.12</v>
      </c>
      <c r="H26" s="23">
        <f t="shared" si="9"/>
        <v>105.05999999999992</v>
      </c>
      <c r="I26" s="15">
        <f t="shared" si="0"/>
        <v>195.89014072501925</v>
      </c>
      <c r="J26" s="15">
        <f t="shared" si="1"/>
        <v>52.890337995755203</v>
      </c>
      <c r="K26" s="23">
        <f t="shared" si="10"/>
        <v>569.27086584160327</v>
      </c>
      <c r="L26" s="23">
        <f t="shared" si="3"/>
        <v>609.27086584160327</v>
      </c>
      <c r="M26" s="15">
        <f t="shared" si="4"/>
        <v>-24.260725116584052</v>
      </c>
      <c r="N26" s="15">
        <f t="shared" si="5"/>
        <v>-120</v>
      </c>
      <c r="O26" s="21">
        <f t="shared" si="6"/>
        <v>142.99980272926405</v>
      </c>
      <c r="Q26" s="4" t="s">
        <v>12</v>
      </c>
      <c r="R26" t="s">
        <v>39</v>
      </c>
      <c r="S26" s="13">
        <v>0.1</v>
      </c>
    </row>
    <row r="27" spans="2:19" x14ac:dyDescent="0.45">
      <c r="B27" s="4">
        <v>20</v>
      </c>
      <c r="C27" s="15">
        <f t="shared" si="7"/>
        <v>478.40077060125975</v>
      </c>
      <c r="D27" s="15">
        <f t="shared" si="8"/>
        <v>-192</v>
      </c>
      <c r="F27" s="22">
        <v>2.5600000000000001E-2</v>
      </c>
      <c r="G27" s="23">
        <f t="shared" si="2"/>
        <v>5.12</v>
      </c>
      <c r="H27" s="23">
        <f t="shared" si="9"/>
        <v>99.939999999999912</v>
      </c>
      <c r="I27" s="15">
        <f t="shared" si="0"/>
        <v>281.28077060125975</v>
      </c>
      <c r="J27" s="15">
        <f t="shared" si="1"/>
        <v>75.945808062340134</v>
      </c>
      <c r="K27" s="23">
        <f t="shared" si="10"/>
        <v>654.66149571784376</v>
      </c>
      <c r="L27" s="23">
        <f t="shared" si="3"/>
        <v>694.66149571784376</v>
      </c>
      <c r="M27" s="15">
        <f t="shared" si="4"/>
        <v>-24.260725116584052</v>
      </c>
      <c r="N27" s="15">
        <f t="shared" si="5"/>
        <v>-120</v>
      </c>
      <c r="O27" s="21">
        <f t="shared" si="6"/>
        <v>205.33496253891963</v>
      </c>
      <c r="Q27" s="4" t="s">
        <v>35</v>
      </c>
      <c r="R27" t="s">
        <v>39</v>
      </c>
      <c r="S27" s="13">
        <v>0.12</v>
      </c>
    </row>
    <row r="28" spans="2:19" x14ac:dyDescent="0.45">
      <c r="B28" s="4">
        <v>21</v>
      </c>
      <c r="C28" s="15">
        <f t="shared" si="7"/>
        <v>576.59999495893624</v>
      </c>
      <c r="D28" s="15">
        <f t="shared" si="8"/>
        <v>-192</v>
      </c>
      <c r="F28" s="22">
        <v>2.5600000000000001E-2</v>
      </c>
      <c r="G28" s="23">
        <f t="shared" si="2"/>
        <v>5.12</v>
      </c>
      <c r="H28" s="23">
        <f t="shared" si="9"/>
        <v>94.819999999999908</v>
      </c>
      <c r="I28" s="15">
        <f t="shared" si="0"/>
        <v>379.47999495893623</v>
      </c>
      <c r="J28" s="15">
        <f t="shared" si="1"/>
        <v>102.45959863891279</v>
      </c>
      <c r="K28" s="23">
        <f t="shared" si="10"/>
        <v>752.86072007552025</v>
      </c>
      <c r="L28" s="23">
        <f t="shared" si="3"/>
        <v>792.86072007552025</v>
      </c>
      <c r="M28" s="15">
        <f t="shared" si="4"/>
        <v>-24.260725116584052</v>
      </c>
      <c r="N28" s="15">
        <f t="shared" si="5"/>
        <v>-120</v>
      </c>
      <c r="O28" s="21">
        <f t="shared" si="6"/>
        <v>277.02039632002345</v>
      </c>
      <c r="Q28" s="4" t="s">
        <v>36</v>
      </c>
      <c r="R28" t="s">
        <v>39</v>
      </c>
      <c r="S28" s="13">
        <v>0.27</v>
      </c>
    </row>
    <row r="29" spans="2:19" x14ac:dyDescent="0.45">
      <c r="B29" s="4">
        <v>22</v>
      </c>
      <c r="C29" s="15">
        <f t="shared" si="7"/>
        <v>689.52910297026426</v>
      </c>
      <c r="D29" s="15">
        <f t="shared" si="8"/>
        <v>-192</v>
      </c>
      <c r="F29" s="22">
        <v>2.5600000000000001E-2</v>
      </c>
      <c r="G29" s="23">
        <f t="shared" si="2"/>
        <v>5.12</v>
      </c>
      <c r="H29" s="23">
        <f t="shared" si="9"/>
        <v>89.699999999999903</v>
      </c>
      <c r="I29" s="15">
        <f t="shared" si="0"/>
        <v>492.40910297026426</v>
      </c>
      <c r="J29" s="15">
        <f t="shared" si="1"/>
        <v>132.95045780197137</v>
      </c>
      <c r="K29" s="23">
        <f t="shared" si="10"/>
        <v>865.78982808684827</v>
      </c>
      <c r="L29" s="23">
        <f t="shared" si="3"/>
        <v>905.78982808684827</v>
      </c>
      <c r="M29" s="15">
        <f t="shared" si="4"/>
        <v>-24.260725116584052</v>
      </c>
      <c r="N29" s="15">
        <f t="shared" si="5"/>
        <v>-120</v>
      </c>
      <c r="O29" s="21">
        <f t="shared" si="6"/>
        <v>359.45864516829289</v>
      </c>
      <c r="Q29" s="6" t="s">
        <v>37</v>
      </c>
      <c r="R29" s="7" t="s">
        <v>40</v>
      </c>
      <c r="S29" s="14">
        <v>40</v>
      </c>
    </row>
    <row r="30" spans="2:19" x14ac:dyDescent="0.45">
      <c r="B30" s="4">
        <v>23</v>
      </c>
      <c r="C30" s="15">
        <f t="shared" si="7"/>
        <v>819.39757718329145</v>
      </c>
      <c r="D30" s="15">
        <f t="shared" si="8"/>
        <v>-192</v>
      </c>
      <c r="F30" s="22">
        <v>2.5600000000000001E-2</v>
      </c>
      <c r="G30" s="23">
        <f t="shared" si="2"/>
        <v>5.12</v>
      </c>
      <c r="H30" s="23">
        <f t="shared" si="9"/>
        <v>84.579999999999899</v>
      </c>
      <c r="I30" s="15">
        <f t="shared" si="0"/>
        <v>622.27757718329144</v>
      </c>
      <c r="J30" s="15">
        <f t="shared" si="1"/>
        <v>168.01494583948869</v>
      </c>
      <c r="K30" s="23">
        <f t="shared" si="10"/>
        <v>995.65830229987546</v>
      </c>
      <c r="L30" s="23">
        <f t="shared" si="3"/>
        <v>1035.6583022998755</v>
      </c>
      <c r="M30" s="15">
        <f t="shared" si="4"/>
        <v>-24.260725116584052</v>
      </c>
      <c r="N30" s="15">
        <f t="shared" si="5"/>
        <v>-120</v>
      </c>
      <c r="O30" s="21">
        <f t="shared" si="6"/>
        <v>454.26263134380275</v>
      </c>
    </row>
    <row r="31" spans="2:19" x14ac:dyDescent="0.45">
      <c r="B31" s="4">
        <v>24</v>
      </c>
      <c r="C31" s="15">
        <f t="shared" si="7"/>
        <v>968.74632252827257</v>
      </c>
      <c r="D31" s="15">
        <f t="shared" si="8"/>
        <v>-192</v>
      </c>
      <c r="F31" s="22">
        <v>2.5600000000000001E-2</v>
      </c>
      <c r="G31" s="23">
        <f t="shared" si="2"/>
        <v>5.12</v>
      </c>
      <c r="H31" s="23">
        <f t="shared" si="9"/>
        <v>79.459999999999894</v>
      </c>
      <c r="I31" s="15">
        <f t="shared" si="0"/>
        <v>771.62632252827257</v>
      </c>
      <c r="J31" s="15">
        <f t="shared" si="1"/>
        <v>208.3391070826336</v>
      </c>
      <c r="K31" s="23">
        <f t="shared" si="10"/>
        <v>1145.0070476448566</v>
      </c>
      <c r="L31" s="23">
        <f t="shared" si="3"/>
        <v>1185.0070476448566</v>
      </c>
      <c r="M31" s="15">
        <f t="shared" si="4"/>
        <v>-24.260725116584052</v>
      </c>
      <c r="N31" s="15">
        <f t="shared" si="5"/>
        <v>-120</v>
      </c>
      <c r="O31" s="21">
        <f t="shared" si="6"/>
        <v>563.28721544563894</v>
      </c>
    </row>
    <row r="32" spans="2:19" x14ac:dyDescent="0.45">
      <c r="B32" s="4">
        <v>25</v>
      </c>
      <c r="C32" s="15">
        <f t="shared" si="7"/>
        <v>1140.497379675001</v>
      </c>
      <c r="D32" s="15">
        <f t="shared" si="8"/>
        <v>-192</v>
      </c>
      <c r="F32" s="22">
        <v>2.5600000000000001E-2</v>
      </c>
      <c r="G32" s="23">
        <f t="shared" si="2"/>
        <v>5.12</v>
      </c>
      <c r="H32" s="23">
        <f t="shared" si="9"/>
        <v>74.33999999999989</v>
      </c>
      <c r="I32" s="15">
        <f t="shared" si="0"/>
        <v>943.37737967500095</v>
      </c>
      <c r="J32" s="15">
        <f t="shared" si="1"/>
        <v>254.71189251225027</v>
      </c>
      <c r="K32" s="23">
        <f t="shared" si="10"/>
        <v>1316.7581047915851</v>
      </c>
      <c r="L32" s="23">
        <f t="shared" si="3"/>
        <v>1356.7581047915851</v>
      </c>
      <c r="M32" s="15">
        <f t="shared" si="4"/>
        <v>-24.260725116584052</v>
      </c>
      <c r="N32" s="15">
        <f t="shared" si="5"/>
        <v>-120</v>
      </c>
      <c r="O32" s="21">
        <f t="shared" si="6"/>
        <v>688.66548716275065</v>
      </c>
    </row>
    <row r="33" spans="2:15" x14ac:dyDescent="0.45">
      <c r="B33" s="4">
        <v>26</v>
      </c>
      <c r="C33" s="15">
        <f t="shared" si="7"/>
        <v>1338.0110953937385</v>
      </c>
      <c r="D33" s="15">
        <f t="shared" si="8"/>
        <v>-192</v>
      </c>
      <c r="F33" s="22">
        <v>2.5600000000000001E-2</v>
      </c>
      <c r="G33" s="23">
        <f t="shared" si="2"/>
        <v>5.12</v>
      </c>
      <c r="H33" s="23">
        <f t="shared" si="9"/>
        <v>69.219999999999885</v>
      </c>
      <c r="I33" s="15">
        <f t="shared" si="0"/>
        <v>1140.8910953937386</v>
      </c>
      <c r="J33" s="15">
        <f t="shared" si="1"/>
        <v>308.04059575630947</v>
      </c>
      <c r="K33" s="23">
        <f t="shared" si="10"/>
        <v>1514.2718205103226</v>
      </c>
      <c r="L33" s="23">
        <f t="shared" si="3"/>
        <v>1554.2718205103226</v>
      </c>
      <c r="M33" s="15">
        <f t="shared" si="4"/>
        <v>-24.260725116584052</v>
      </c>
      <c r="N33" s="15">
        <f t="shared" si="5"/>
        <v>-120</v>
      </c>
      <c r="O33" s="21">
        <f t="shared" si="6"/>
        <v>832.85049963742915</v>
      </c>
    </row>
    <row r="34" spans="2:15" x14ac:dyDescent="0.45">
      <c r="B34" s="4">
        <v>27</v>
      </c>
      <c r="C34" s="15">
        <f t="shared" si="7"/>
        <v>1565.1518684702867</v>
      </c>
      <c r="D34" s="15">
        <f t="shared" si="8"/>
        <v>-192</v>
      </c>
      <c r="F34" s="22">
        <v>2.5600000000000001E-2</v>
      </c>
      <c r="G34" s="23">
        <f t="shared" si="2"/>
        <v>5.12</v>
      </c>
      <c r="H34" s="23">
        <f t="shared" si="9"/>
        <v>64.099999999999881</v>
      </c>
      <c r="I34" s="15">
        <f t="shared" si="0"/>
        <v>1368.0318684702868</v>
      </c>
      <c r="J34" s="15">
        <f t="shared" si="1"/>
        <v>369.36860448697746</v>
      </c>
      <c r="K34" s="23">
        <f t="shared" si="10"/>
        <v>1741.4125935868708</v>
      </c>
      <c r="L34" s="23">
        <f t="shared" si="3"/>
        <v>1781.4125935868708</v>
      </c>
      <c r="M34" s="15">
        <f t="shared" si="4"/>
        <v>-24.260725116584052</v>
      </c>
      <c r="N34" s="15">
        <f t="shared" si="5"/>
        <v>-120</v>
      </c>
      <c r="O34" s="21">
        <f t="shared" si="6"/>
        <v>998.66326398330932</v>
      </c>
    </row>
    <row r="35" spans="2:15" x14ac:dyDescent="0.45">
      <c r="B35" s="4">
        <v>28</v>
      </c>
      <c r="C35" s="15">
        <f t="shared" si="7"/>
        <v>1826.3637575083171</v>
      </c>
      <c r="D35" s="15">
        <f t="shared" si="8"/>
        <v>-192</v>
      </c>
      <c r="F35" s="22">
        <v>2.5600000000000001E-2</v>
      </c>
      <c r="G35" s="23">
        <f t="shared" si="2"/>
        <v>5.12</v>
      </c>
      <c r="H35" s="23">
        <f t="shared" si="9"/>
        <v>58.979999999999883</v>
      </c>
      <c r="I35" s="15">
        <f t="shared" si="0"/>
        <v>1629.2437575083172</v>
      </c>
      <c r="J35" s="15">
        <f t="shared" si="1"/>
        <v>439.8958145272457</v>
      </c>
      <c r="K35" s="23">
        <f t="shared" si="10"/>
        <v>2002.6244826249012</v>
      </c>
      <c r="L35" s="23">
        <f t="shared" si="3"/>
        <v>2042.6244826249012</v>
      </c>
      <c r="M35" s="15">
        <f t="shared" si="4"/>
        <v>-24.260725116584052</v>
      </c>
      <c r="N35" s="15">
        <f t="shared" si="5"/>
        <v>-120</v>
      </c>
      <c r="O35" s="21">
        <f t="shared" si="6"/>
        <v>1189.3479429810716</v>
      </c>
    </row>
    <row r="36" spans="2:15" x14ac:dyDescent="0.45">
      <c r="B36" s="4">
        <v>29</v>
      </c>
      <c r="C36" s="15">
        <f t="shared" si="7"/>
        <v>2126.7574299020521</v>
      </c>
      <c r="D36" s="15">
        <f t="shared" si="8"/>
        <v>-192</v>
      </c>
      <c r="F36" s="22">
        <v>2.5600000000000001E-2</v>
      </c>
      <c r="G36" s="23">
        <f t="shared" si="2"/>
        <v>5.12</v>
      </c>
      <c r="H36" s="23">
        <f t="shared" si="9"/>
        <v>53.859999999999886</v>
      </c>
      <c r="I36" s="15">
        <f t="shared" si="0"/>
        <v>1929.6374299020522</v>
      </c>
      <c r="J36" s="15">
        <f t="shared" si="1"/>
        <v>521.00210607355416</v>
      </c>
      <c r="K36" s="23">
        <f t="shared" si="10"/>
        <v>2303.0181550186362</v>
      </c>
      <c r="L36" s="23">
        <f t="shared" si="3"/>
        <v>2343.0181550186362</v>
      </c>
      <c r="M36" s="15">
        <f t="shared" si="4"/>
        <v>-24.260725116584052</v>
      </c>
      <c r="N36" s="15">
        <f t="shared" si="5"/>
        <v>-120</v>
      </c>
      <c r="O36" s="21">
        <f t="shared" si="6"/>
        <v>1408.635323828498</v>
      </c>
    </row>
    <row r="37" spans="2:15" x14ac:dyDescent="0.45">
      <c r="B37" s="4">
        <v>30</v>
      </c>
      <c r="C37" s="15">
        <f t="shared" si="7"/>
        <v>2472.2101531548474</v>
      </c>
      <c r="D37" s="15">
        <f t="shared" si="8"/>
        <v>-192</v>
      </c>
      <c r="F37" s="22">
        <v>2.5600000000000001E-2</v>
      </c>
      <c r="G37" s="23">
        <f t="shared" si="2"/>
        <v>5.12</v>
      </c>
      <c r="H37" s="23">
        <f t="shared" si="9"/>
        <v>48.739999999999888</v>
      </c>
      <c r="I37" s="15">
        <f t="shared" si="0"/>
        <v>2275.0901531548475</v>
      </c>
      <c r="J37" s="15">
        <f t="shared" si="1"/>
        <v>614.27434135180886</v>
      </c>
      <c r="K37" s="23">
        <f t="shared" si="10"/>
        <v>2648.4708782714315</v>
      </c>
      <c r="L37" s="23">
        <f t="shared" si="3"/>
        <v>2688.4708782714315</v>
      </c>
      <c r="M37" s="15">
        <f t="shared" si="4"/>
        <v>-24.260725116584052</v>
      </c>
      <c r="N37" s="15">
        <f t="shared" si="5"/>
        <v>-120</v>
      </c>
      <c r="O37" s="21">
        <f t="shared" si="6"/>
        <v>1660.8158118030387</v>
      </c>
    </row>
    <row r="38" spans="2:15" x14ac:dyDescent="0.45">
      <c r="B38" s="4">
        <v>31</v>
      </c>
      <c r="C38" s="15">
        <f t="shared" si="7"/>
        <v>2869.480784895562</v>
      </c>
      <c r="D38" s="15">
        <f t="shared" si="8"/>
        <v>-192</v>
      </c>
      <c r="F38" s="22">
        <v>2.5600000000000001E-2</v>
      </c>
      <c r="G38" s="23">
        <f t="shared" si="2"/>
        <v>5.12</v>
      </c>
      <c r="H38" s="23">
        <f t="shared" si="9"/>
        <v>43.619999999999891</v>
      </c>
      <c r="I38" s="15">
        <f t="shared" si="0"/>
        <v>2672.3607848955621</v>
      </c>
      <c r="J38" s="15">
        <f t="shared" si="1"/>
        <v>721.53741192180178</v>
      </c>
      <c r="K38" s="23">
        <f t="shared" si="10"/>
        <v>3045.7415100121461</v>
      </c>
      <c r="L38" s="23">
        <f t="shared" si="3"/>
        <v>3085.7415100121461</v>
      </c>
      <c r="M38" s="15">
        <f t="shared" si="4"/>
        <v>-24.260725116584052</v>
      </c>
      <c r="N38" s="15">
        <f t="shared" si="5"/>
        <v>-120</v>
      </c>
      <c r="O38" s="21">
        <f t="shared" si="6"/>
        <v>1950.8233729737603</v>
      </c>
    </row>
    <row r="39" spans="2:15" x14ac:dyDescent="0.45">
      <c r="B39" s="4">
        <v>32</v>
      </c>
      <c r="C39" s="15">
        <f t="shared" si="7"/>
        <v>3326.3420113973839</v>
      </c>
      <c r="D39" s="15">
        <f t="shared" si="8"/>
        <v>-192</v>
      </c>
      <c r="F39" s="22">
        <v>2.5600000000000001E-2</v>
      </c>
      <c r="G39" s="23">
        <f t="shared" si="2"/>
        <v>5.12</v>
      </c>
      <c r="H39" s="23">
        <f t="shared" si="9"/>
        <v>38.499999999999893</v>
      </c>
      <c r="I39" s="15">
        <f t="shared" si="0"/>
        <v>3129.222011397384</v>
      </c>
      <c r="J39" s="15">
        <f t="shared" si="1"/>
        <v>844.88994307729376</v>
      </c>
      <c r="K39" s="23">
        <f t="shared" si="10"/>
        <v>3502.602736513968</v>
      </c>
      <c r="L39" s="23">
        <f t="shared" si="3"/>
        <v>3542.602736513968</v>
      </c>
      <c r="M39" s="15">
        <f t="shared" si="4"/>
        <v>-24.260725116584052</v>
      </c>
      <c r="N39" s="15">
        <f t="shared" si="5"/>
        <v>-120</v>
      </c>
      <c r="O39" s="21">
        <f t="shared" si="6"/>
        <v>2284.33206832009</v>
      </c>
    </row>
    <row r="40" spans="2:15" x14ac:dyDescent="0.45">
      <c r="B40" s="4">
        <v>33</v>
      </c>
      <c r="C40" s="15">
        <f t="shared" si="7"/>
        <v>3851.7324218744789</v>
      </c>
      <c r="D40" s="15">
        <f t="shared" si="8"/>
        <v>-192</v>
      </c>
      <c r="F40" s="22">
        <v>2.5600000000000001E-2</v>
      </c>
      <c r="G40" s="23">
        <f t="shared" si="2"/>
        <v>5.12</v>
      </c>
      <c r="H40" s="23">
        <f t="shared" si="9"/>
        <v>33.379999999999896</v>
      </c>
      <c r="I40" s="15">
        <f t="shared" si="0"/>
        <v>3654.612421874479</v>
      </c>
      <c r="J40" s="15">
        <f t="shared" si="1"/>
        <v>986.74535390610936</v>
      </c>
      <c r="K40" s="23">
        <f t="shared" si="10"/>
        <v>4027.993146991063</v>
      </c>
      <c r="L40" s="23">
        <f t="shared" si="3"/>
        <v>4067.993146991063</v>
      </c>
      <c r="M40" s="15">
        <f t="shared" si="4"/>
        <v>-24.260725116584052</v>
      </c>
      <c r="N40" s="15">
        <f t="shared" si="5"/>
        <v>-120</v>
      </c>
      <c r="O40" s="21">
        <f t="shared" si="6"/>
        <v>2667.8670679683696</v>
      </c>
    </row>
    <row r="41" spans="2:15" x14ac:dyDescent="0.45">
      <c r="B41" s="4">
        <v>34</v>
      </c>
      <c r="C41" s="15">
        <f t="shared" si="7"/>
        <v>4455.9313939231388</v>
      </c>
      <c r="D41" s="15">
        <f t="shared" si="8"/>
        <v>-192</v>
      </c>
      <c r="F41" s="22">
        <v>2.5600000000000001E-2</v>
      </c>
      <c r="G41" s="23">
        <f t="shared" si="2"/>
        <v>5.12</v>
      </c>
      <c r="H41" s="23">
        <f t="shared" si="9"/>
        <v>28.259999999999895</v>
      </c>
      <c r="I41" s="15">
        <f t="shared" si="0"/>
        <v>4258.8113939231389</v>
      </c>
      <c r="J41" s="15">
        <f t="shared" si="1"/>
        <v>1149.8790763592476</v>
      </c>
      <c r="K41" s="23">
        <f t="shared" si="10"/>
        <v>4632.1921190397225</v>
      </c>
      <c r="L41" s="23">
        <f t="shared" si="3"/>
        <v>4672.1921190397225</v>
      </c>
      <c r="M41" s="15">
        <f t="shared" si="4"/>
        <v>-24.260725116584052</v>
      </c>
      <c r="N41" s="15">
        <f t="shared" si="5"/>
        <v>-120</v>
      </c>
      <c r="O41" s="21">
        <f t="shared" si="6"/>
        <v>3108.932317563891</v>
      </c>
    </row>
    <row r="42" spans="2:15" x14ac:dyDescent="0.45">
      <c r="B42" s="4">
        <v>35</v>
      </c>
      <c r="C42" s="15">
        <f t="shared" si="7"/>
        <v>5150.7602117790966</v>
      </c>
      <c r="D42" s="15">
        <f t="shared" si="8"/>
        <v>-192</v>
      </c>
      <c r="F42" s="22">
        <v>2.5600000000000001E-2</v>
      </c>
      <c r="G42" s="23">
        <f t="shared" si="2"/>
        <v>5.12</v>
      </c>
      <c r="H42" s="23">
        <f t="shared" si="9"/>
        <v>23.139999999999894</v>
      </c>
      <c r="I42" s="15">
        <f t="shared" si="0"/>
        <v>4953.6402117790967</v>
      </c>
      <c r="J42" s="15">
        <f t="shared" si="1"/>
        <v>1337.4828571803562</v>
      </c>
      <c r="K42" s="23">
        <f t="shared" si="10"/>
        <v>5327.0209368956803</v>
      </c>
      <c r="L42" s="23">
        <f t="shared" si="3"/>
        <v>5367.0209368956803</v>
      </c>
      <c r="M42" s="15">
        <f t="shared" si="4"/>
        <v>-24.260725116584052</v>
      </c>
      <c r="N42" s="15">
        <f t="shared" si="5"/>
        <v>-120</v>
      </c>
      <c r="O42" s="21">
        <f t="shared" si="6"/>
        <v>3616.1573545987403</v>
      </c>
    </row>
    <row r="43" spans="2:15" x14ac:dyDescent="0.45">
      <c r="B43" s="4">
        <v>36</v>
      </c>
      <c r="C43" s="15">
        <f t="shared" si="7"/>
        <v>5949.8133523134484</v>
      </c>
      <c r="D43" s="15">
        <f t="shared" si="8"/>
        <v>-192</v>
      </c>
      <c r="F43" s="22">
        <v>2.5600000000000001E-2</v>
      </c>
      <c r="G43" s="23">
        <f t="shared" si="2"/>
        <v>5.12</v>
      </c>
      <c r="H43" s="23">
        <f t="shared" si="9"/>
        <v>18.019999999999893</v>
      </c>
      <c r="I43" s="15">
        <f t="shared" si="0"/>
        <v>5752.6933523134485</v>
      </c>
      <c r="J43" s="15">
        <f t="shared" si="1"/>
        <v>1553.2272051246312</v>
      </c>
      <c r="K43" s="23">
        <f t="shared" si="10"/>
        <v>6126.074077430032</v>
      </c>
      <c r="L43" s="23">
        <f t="shared" si="3"/>
        <v>6166.074077430032</v>
      </c>
      <c r="M43" s="15">
        <f t="shared" si="4"/>
        <v>-24.260725116584052</v>
      </c>
      <c r="N43" s="15">
        <f t="shared" si="5"/>
        <v>-120</v>
      </c>
      <c r="O43" s="21">
        <f t="shared" si="6"/>
        <v>4199.4661471888176</v>
      </c>
    </row>
    <row r="44" spans="2:15" x14ac:dyDescent="0.45">
      <c r="B44" s="4">
        <v>37</v>
      </c>
      <c r="C44" s="15">
        <f t="shared" si="7"/>
        <v>6868.7244639279525</v>
      </c>
      <c r="D44" s="15">
        <f t="shared" si="8"/>
        <v>-192</v>
      </c>
      <c r="F44" s="22">
        <v>2.5600000000000001E-2</v>
      </c>
      <c r="G44" s="23">
        <f t="shared" si="2"/>
        <v>5.12</v>
      </c>
      <c r="H44" s="23">
        <f t="shared" si="9"/>
        <v>12.899999999999892</v>
      </c>
      <c r="I44" s="15">
        <f t="shared" si="0"/>
        <v>6671.6044639279526</v>
      </c>
      <c r="J44" s="15">
        <f t="shared" si="1"/>
        <v>1801.3332052605474</v>
      </c>
      <c r="K44" s="23">
        <f t="shared" si="10"/>
        <v>7044.9851890445361</v>
      </c>
      <c r="L44" s="23">
        <f t="shared" si="3"/>
        <v>7084.9851890445361</v>
      </c>
      <c r="M44" s="15">
        <f t="shared" si="4"/>
        <v>-24.260725116584052</v>
      </c>
      <c r="N44" s="15">
        <f t="shared" si="5"/>
        <v>-120</v>
      </c>
      <c r="O44" s="21">
        <f t="shared" si="6"/>
        <v>4870.2712586674052</v>
      </c>
    </row>
    <row r="45" spans="2:15" x14ac:dyDescent="0.45">
      <c r="B45" s="4">
        <v>38</v>
      </c>
      <c r="C45" s="15">
        <f t="shared" si="7"/>
        <v>7925.4722422846326</v>
      </c>
      <c r="D45" s="15">
        <f t="shared" si="8"/>
        <v>-192</v>
      </c>
      <c r="F45" s="22">
        <v>2.5600000000000001E-2</v>
      </c>
      <c r="G45" s="23">
        <f t="shared" si="2"/>
        <v>5.12</v>
      </c>
      <c r="H45" s="23">
        <f t="shared" si="9"/>
        <v>7.7799999999998919</v>
      </c>
      <c r="I45" s="15">
        <f t="shared" si="0"/>
        <v>7728.3522422846327</v>
      </c>
      <c r="J45" s="15">
        <f t="shared" si="1"/>
        <v>2086.6551054168508</v>
      </c>
      <c r="K45" s="23">
        <f t="shared" si="10"/>
        <v>8101.7329674012162</v>
      </c>
      <c r="L45" s="23">
        <f t="shared" si="3"/>
        <v>8141.7329674012162</v>
      </c>
      <c r="M45" s="15">
        <f t="shared" si="4"/>
        <v>-24.260725116584052</v>
      </c>
      <c r="N45" s="15">
        <f t="shared" si="5"/>
        <v>-120</v>
      </c>
      <c r="O45" s="21">
        <f t="shared" si="6"/>
        <v>5641.6971368677823</v>
      </c>
    </row>
    <row r="46" spans="2:15" x14ac:dyDescent="0.45">
      <c r="B46" s="4">
        <v>39</v>
      </c>
      <c r="C46" s="15">
        <f t="shared" si="7"/>
        <v>9140.7321873948131</v>
      </c>
      <c r="D46" s="15">
        <f t="shared" si="8"/>
        <v>-192</v>
      </c>
      <c r="F46" s="22">
        <v>2.5600000000000001E-2</v>
      </c>
      <c r="G46" s="23">
        <f t="shared" si="2"/>
        <v>5.12</v>
      </c>
      <c r="H46" s="23">
        <f t="shared" si="9"/>
        <v>2.6599999999998918</v>
      </c>
      <c r="I46" s="15">
        <f t="shared" si="0"/>
        <v>8943.6121873948123</v>
      </c>
      <c r="J46" s="15">
        <f t="shared" si="1"/>
        <v>2414.7752905965995</v>
      </c>
      <c r="K46" s="23">
        <f t="shared" si="10"/>
        <v>9316.9929125113977</v>
      </c>
      <c r="L46" s="23">
        <f t="shared" si="3"/>
        <v>9356.9929125113977</v>
      </c>
      <c r="M46" s="15">
        <f t="shared" si="4"/>
        <v>-24.260725116584052</v>
      </c>
      <c r="N46" s="15">
        <f t="shared" si="5"/>
        <v>-120</v>
      </c>
      <c r="O46" s="21">
        <f t="shared" si="6"/>
        <v>6528.8368967982133</v>
      </c>
    </row>
    <row r="47" spans="2:15" x14ac:dyDescent="0.45">
      <c r="B47" s="6">
        <v>40</v>
      </c>
      <c r="C47" s="24">
        <f t="shared" si="7"/>
        <v>10538.281124271522</v>
      </c>
      <c r="D47" s="24">
        <f t="shared" si="8"/>
        <v>-192</v>
      </c>
      <c r="E47" s="7"/>
      <c r="F47" s="25">
        <v>1.17E-2</v>
      </c>
      <c r="G47" s="26">
        <f t="shared" si="2"/>
        <v>2.34</v>
      </c>
      <c r="H47" s="26">
        <f t="shared" si="9"/>
        <v>0.31999999999989193</v>
      </c>
      <c r="I47" s="24">
        <f t="shared" si="0"/>
        <v>10343.941124271521</v>
      </c>
      <c r="J47" s="24">
        <f t="shared" si="1"/>
        <v>2792.864103553311</v>
      </c>
      <c r="K47" s="26">
        <f t="shared" si="10"/>
        <v>10714.541849388106</v>
      </c>
      <c r="L47" s="26">
        <f t="shared" si="3"/>
        <v>10754.541849388106</v>
      </c>
      <c r="M47" s="24">
        <f t="shared" si="4"/>
        <v>-24.260725116584052</v>
      </c>
      <c r="N47" s="24">
        <f t="shared" si="5"/>
        <v>-120</v>
      </c>
      <c r="O47" s="27">
        <f t="shared" si="6"/>
        <v>7551.0770207182104</v>
      </c>
    </row>
    <row r="49" spans="14:15" ht="28.5" x14ac:dyDescent="0.45">
      <c r="N49" s="16" t="s">
        <v>54</v>
      </c>
      <c r="O49" s="17">
        <f>AVERAGE(O8:O47)</f>
        <v>1221.0718244251136</v>
      </c>
    </row>
  </sheetData>
  <mergeCells count="5">
    <mergeCell ref="A1:T2"/>
    <mergeCell ref="A3:K3"/>
    <mergeCell ref="A4:K4"/>
    <mergeCell ref="L3:T3"/>
    <mergeCell ref="L4:T4"/>
  </mergeCells>
  <pageMargins left="0.7" right="0.7" top="0.75" bottom="0.75" header="0.3" footer="0.3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5C3A-A92A-4C97-87CD-E4A4F02E4588}">
  <dimension ref="A1:T49"/>
  <sheetViews>
    <sheetView zoomScaleNormal="100" workbookViewId="0">
      <selection activeCell="A6" sqref="A6"/>
    </sheetView>
  </sheetViews>
  <sheetFormatPr defaultRowHeight="14.25" x14ac:dyDescent="0.45"/>
  <cols>
    <col min="1" max="1" width="10.796875" customWidth="1"/>
    <col min="2" max="2" width="4.6640625" bestFit="1" customWidth="1"/>
    <col min="3" max="3" width="11.6640625" customWidth="1"/>
    <col min="4" max="4" width="9.53125" customWidth="1"/>
    <col min="5" max="5" width="4.46484375" hidden="1" customWidth="1"/>
    <col min="6" max="6" width="8.46484375" customWidth="1"/>
    <col min="7" max="7" width="7.19921875" customWidth="1"/>
    <col min="8" max="8" width="10" customWidth="1"/>
    <col min="9" max="9" width="13" customWidth="1"/>
    <col min="10" max="10" width="12.86328125" customWidth="1"/>
    <col min="11" max="11" width="11.46484375" customWidth="1"/>
    <col min="12" max="12" width="11" customWidth="1"/>
    <col min="13" max="13" width="9" customWidth="1"/>
    <col min="14" max="14" width="9.6640625" customWidth="1"/>
    <col min="15" max="15" width="12.53125" customWidth="1"/>
    <col min="17" max="17" width="18" customWidth="1"/>
    <col min="18" max="18" width="9.19921875" bestFit="1" customWidth="1"/>
    <col min="19" max="19" width="12.46484375" customWidth="1"/>
  </cols>
  <sheetData>
    <row r="1" spans="1:20" x14ac:dyDescent="0.45">
      <c r="A1" s="51" t="s">
        <v>44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28.8" customHeight="1" x14ac:dyDescent="0.4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0" x14ac:dyDescent="0.45">
      <c r="A3" s="52" t="s">
        <v>47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 t="s">
        <v>14</v>
      </c>
      <c r="M3" s="52"/>
      <c r="N3" s="52"/>
      <c r="O3" s="52"/>
      <c r="P3" s="52"/>
      <c r="Q3" s="52"/>
      <c r="R3" s="52"/>
      <c r="S3" s="52"/>
      <c r="T3" s="52"/>
    </row>
    <row r="4" spans="1:20" ht="16.149999999999999" thickBot="1" x14ac:dyDescent="0.55000000000000004">
      <c r="A4" s="53" t="s">
        <v>55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3" t="s">
        <v>49</v>
      </c>
      <c r="M4" s="54"/>
      <c r="N4" s="54"/>
      <c r="O4" s="54"/>
      <c r="P4" s="54"/>
      <c r="Q4" s="54"/>
      <c r="R4" s="54"/>
      <c r="S4" s="54"/>
      <c r="T4" s="54"/>
    </row>
    <row r="5" spans="1:20" ht="14.65" thickTop="1" x14ac:dyDescent="0.45"/>
    <row r="6" spans="1:20" ht="28.5" x14ac:dyDescent="0.45">
      <c r="B6" s="18" t="s">
        <v>0</v>
      </c>
      <c r="C6" s="19" t="s">
        <v>1</v>
      </c>
      <c r="D6" s="19" t="s">
        <v>2</v>
      </c>
      <c r="E6" s="19" t="s">
        <v>3</v>
      </c>
      <c r="F6" s="19" t="s">
        <v>46</v>
      </c>
      <c r="G6" s="19" t="s">
        <v>4</v>
      </c>
      <c r="H6" s="19" t="s">
        <v>5</v>
      </c>
      <c r="I6" s="19" t="s">
        <v>6</v>
      </c>
      <c r="J6" s="19" t="s">
        <v>7</v>
      </c>
      <c r="K6" s="29" t="s">
        <v>42</v>
      </c>
      <c r="L6" s="19" t="s">
        <v>43</v>
      </c>
      <c r="M6" s="19" t="s">
        <v>41</v>
      </c>
      <c r="N6" s="19" t="s">
        <v>10</v>
      </c>
      <c r="O6" s="20" t="s">
        <v>8</v>
      </c>
    </row>
    <row r="7" spans="1:20" x14ac:dyDescent="0.45">
      <c r="B7" s="4">
        <v>0</v>
      </c>
      <c r="C7" s="15">
        <f>$S$24+N7+M7+L7</f>
        <v>3352.5369079281904</v>
      </c>
      <c r="D7" s="15">
        <f>N7+$S$24</f>
        <v>-398.50670236535461</v>
      </c>
      <c r="I7" s="15">
        <f>C7+D7-G7</f>
        <v>2954.0302055628358</v>
      </c>
      <c r="J7" s="15">
        <f t="shared" ref="J7:J47" si="0">I7*$S$28</f>
        <v>797.58815550196573</v>
      </c>
      <c r="L7" s="15">
        <f>NPV($S$27,L8:L46)</f>
        <v>3651.043610293545</v>
      </c>
      <c r="M7" s="15">
        <v>100</v>
      </c>
      <c r="N7" s="15">
        <f>PV($S$27,40,$S$14)</f>
        <v>-398.50670236535461</v>
      </c>
      <c r="O7" s="21">
        <f>-(S19+S20+S21+S23)</f>
        <v>-625.20000000000005</v>
      </c>
      <c r="R7" s="37" t="s">
        <v>53</v>
      </c>
      <c r="S7" s="38">
        <f>PV(S26,40,-O49)</f>
        <v>25911.015685712217</v>
      </c>
    </row>
    <row r="8" spans="1:20" x14ac:dyDescent="0.45">
      <c r="B8" s="4">
        <v>1</v>
      </c>
      <c r="C8" s="15">
        <f>M8+N8+$S$23+L8</f>
        <v>-117.96862550406348</v>
      </c>
      <c r="D8" s="15">
        <f>N8+$S$23</f>
        <v>-244.8</v>
      </c>
      <c r="F8" s="30">
        <v>1.3899999999999999E-2</v>
      </c>
      <c r="G8" s="23">
        <f t="shared" ref="G8:G47" si="1">F8*$S$20</f>
        <v>4.17</v>
      </c>
      <c r="H8" s="23">
        <f>$S$20-G8</f>
        <v>295.83</v>
      </c>
      <c r="I8" s="15">
        <f>C8+D8-G8</f>
        <v>-366.93862550406351</v>
      </c>
      <c r="J8" s="15">
        <f t="shared" si="0"/>
        <v>-99.073428886097147</v>
      </c>
      <c r="K8" s="23">
        <f>$S$25*1.15</f>
        <v>92</v>
      </c>
      <c r="L8" s="23">
        <f t="shared" ref="L8:L47" si="2">K8+$S$25</f>
        <v>172</v>
      </c>
      <c r="M8" s="15">
        <f t="shared" ref="M8:M47" si="3">PMT($S$27,40,$S$20)</f>
        <v>-45.168625504063492</v>
      </c>
      <c r="N8" s="15">
        <f>-$S$21</f>
        <v>-180</v>
      </c>
      <c r="O8" s="21">
        <f>C8+D8-E8-G8-J8</f>
        <v>-267.86519661796638</v>
      </c>
      <c r="R8" s="37" t="s">
        <v>52</v>
      </c>
      <c r="S8" s="38">
        <f>PMT(S26,40,-S7)</f>
        <v>2649.6452909024738</v>
      </c>
    </row>
    <row r="9" spans="1:20" x14ac:dyDescent="0.45">
      <c r="B9" s="4">
        <v>2</v>
      </c>
      <c r="C9" s="15">
        <f t="shared" ref="C9:C47" si="4">$S$23+N9+M9+L9</f>
        <v>-104.16862550406347</v>
      </c>
      <c r="D9" s="15">
        <f t="shared" ref="D9:D47" si="5">N9+$S$23</f>
        <v>-244.8</v>
      </c>
      <c r="F9" s="22">
        <v>2.5600000000000001E-2</v>
      </c>
      <c r="G9" s="23">
        <f t="shared" si="1"/>
        <v>7.6800000000000006</v>
      </c>
      <c r="H9" s="23">
        <f>H8-G9</f>
        <v>288.14999999999998</v>
      </c>
      <c r="I9" s="15">
        <f t="shared" ref="I9:I47" si="6">C9+D9-G9</f>
        <v>-356.64862550406349</v>
      </c>
      <c r="J9" s="15">
        <f t="shared" si="0"/>
        <v>-96.295128886097146</v>
      </c>
      <c r="K9" s="23">
        <f>K8*1.15</f>
        <v>105.8</v>
      </c>
      <c r="L9" s="23">
        <f t="shared" si="2"/>
        <v>185.8</v>
      </c>
      <c r="M9" s="15">
        <f t="shared" si="3"/>
        <v>-45.168625504063492</v>
      </c>
      <c r="N9" s="15">
        <f t="shared" ref="N9:N47" si="7">-$S$21</f>
        <v>-180</v>
      </c>
      <c r="O9" s="21">
        <f>C9+D9-E9-G9-J9</f>
        <v>-260.35349661796636</v>
      </c>
      <c r="R9" s="37" t="s">
        <v>51</v>
      </c>
      <c r="S9" s="39">
        <f>IRR(O7:O47)</f>
        <v>0.13464935641322517</v>
      </c>
    </row>
    <row r="10" spans="1:20" x14ac:dyDescent="0.45">
      <c r="B10" s="4">
        <v>3</v>
      </c>
      <c r="C10" s="15">
        <f t="shared" si="4"/>
        <v>-88.298625504063494</v>
      </c>
      <c r="D10" s="15">
        <f t="shared" si="5"/>
        <v>-244.8</v>
      </c>
      <c r="F10" s="22">
        <v>2.5600000000000001E-2</v>
      </c>
      <c r="G10" s="23">
        <f t="shared" si="1"/>
        <v>7.6800000000000006</v>
      </c>
      <c r="H10" s="23">
        <f t="shared" ref="H10:H47" si="8">H9-G10</f>
        <v>280.46999999999997</v>
      </c>
      <c r="I10" s="15">
        <f t="shared" si="6"/>
        <v>-340.77862550406354</v>
      </c>
      <c r="J10" s="15">
        <f t="shared" si="0"/>
        <v>-92.010228886097167</v>
      </c>
      <c r="K10" s="23">
        <f t="shared" ref="K10:K47" si="9">K9*1.15</f>
        <v>121.66999999999999</v>
      </c>
      <c r="L10" s="23">
        <f t="shared" si="2"/>
        <v>201.67</v>
      </c>
      <c r="M10" s="15">
        <f t="shared" si="3"/>
        <v>-45.168625504063492</v>
      </c>
      <c r="N10" s="15">
        <f t="shared" si="7"/>
        <v>-180</v>
      </c>
      <c r="O10" s="21">
        <f t="shared" ref="O10:O47" si="10">C10+D10-E10-G10-J10</f>
        <v>-248.76839661796637</v>
      </c>
      <c r="R10" s="37" t="s">
        <v>50</v>
      </c>
      <c r="S10" s="41">
        <f>COUNTIF(O8:O47,"&lt;342")+1</f>
        <v>18</v>
      </c>
    </row>
    <row r="11" spans="1:20" x14ac:dyDescent="0.45">
      <c r="B11" s="4">
        <v>4</v>
      </c>
      <c r="C11" s="15">
        <f t="shared" si="4"/>
        <v>-70.048125504063506</v>
      </c>
      <c r="D11" s="15">
        <f t="shared" si="5"/>
        <v>-244.8</v>
      </c>
      <c r="F11" s="22">
        <v>2.5600000000000001E-2</v>
      </c>
      <c r="G11" s="23">
        <f t="shared" si="1"/>
        <v>7.6800000000000006</v>
      </c>
      <c r="H11" s="23">
        <f t="shared" si="8"/>
        <v>272.78999999999996</v>
      </c>
      <c r="I11" s="15">
        <f t="shared" si="6"/>
        <v>-322.52812550406355</v>
      </c>
      <c r="J11" s="15">
        <f t="shared" si="0"/>
        <v>-87.082593886097172</v>
      </c>
      <c r="K11" s="23">
        <f t="shared" si="9"/>
        <v>139.92049999999998</v>
      </c>
      <c r="L11" s="23">
        <f t="shared" si="2"/>
        <v>219.92049999999998</v>
      </c>
      <c r="M11" s="15">
        <f t="shared" si="3"/>
        <v>-45.168625504063492</v>
      </c>
      <c r="N11" s="15">
        <f t="shared" si="7"/>
        <v>-180</v>
      </c>
      <c r="O11" s="21">
        <f t="shared" si="10"/>
        <v>-235.44553161796637</v>
      </c>
    </row>
    <row r="12" spans="1:20" x14ac:dyDescent="0.45">
      <c r="B12" s="4">
        <v>5</v>
      </c>
      <c r="C12" s="15">
        <f t="shared" si="4"/>
        <v>-49.060050504063526</v>
      </c>
      <c r="D12" s="15">
        <f t="shared" si="5"/>
        <v>-244.8</v>
      </c>
      <c r="F12" s="22">
        <v>2.5600000000000001E-2</v>
      </c>
      <c r="G12" s="23">
        <f t="shared" si="1"/>
        <v>7.6800000000000006</v>
      </c>
      <c r="H12" s="23">
        <f t="shared" si="8"/>
        <v>265.10999999999996</v>
      </c>
      <c r="I12" s="15">
        <f t="shared" si="6"/>
        <v>-301.54005050406357</v>
      </c>
      <c r="J12" s="15">
        <f t="shared" si="0"/>
        <v>-81.41581363609717</v>
      </c>
      <c r="K12" s="23">
        <f t="shared" si="9"/>
        <v>160.90857499999996</v>
      </c>
      <c r="L12" s="23">
        <f t="shared" si="2"/>
        <v>240.90857499999996</v>
      </c>
      <c r="M12" s="15">
        <f t="shared" si="3"/>
        <v>-45.168625504063492</v>
      </c>
      <c r="N12" s="15">
        <f t="shared" si="7"/>
        <v>-180</v>
      </c>
      <c r="O12" s="21">
        <f t="shared" si="10"/>
        <v>-220.1242368679664</v>
      </c>
      <c r="Q12" s="1" t="s">
        <v>20</v>
      </c>
      <c r="R12" s="2" t="s">
        <v>25</v>
      </c>
      <c r="S12" s="3">
        <v>200000</v>
      </c>
    </row>
    <row r="13" spans="1:20" x14ac:dyDescent="0.45">
      <c r="B13" s="4">
        <v>6</v>
      </c>
      <c r="C13" s="15">
        <f t="shared" si="4"/>
        <v>-24.923764254063542</v>
      </c>
      <c r="D13" s="15">
        <f t="shared" si="5"/>
        <v>-244.8</v>
      </c>
      <c r="F13" s="22">
        <v>2.5600000000000001E-2</v>
      </c>
      <c r="G13" s="23">
        <f t="shared" si="1"/>
        <v>7.6800000000000006</v>
      </c>
      <c r="H13" s="23">
        <f t="shared" si="8"/>
        <v>257.42999999999995</v>
      </c>
      <c r="I13" s="15">
        <f t="shared" si="6"/>
        <v>-277.40376425406356</v>
      </c>
      <c r="J13" s="15">
        <f t="shared" si="0"/>
        <v>-74.899016348597172</v>
      </c>
      <c r="K13" s="23">
        <f t="shared" si="9"/>
        <v>185.04486124999994</v>
      </c>
      <c r="L13" s="23">
        <f t="shared" si="2"/>
        <v>265.04486124999994</v>
      </c>
      <c r="M13" s="15">
        <f t="shared" si="3"/>
        <v>-45.168625504063492</v>
      </c>
      <c r="N13" s="15">
        <f t="shared" si="7"/>
        <v>-180</v>
      </c>
      <c r="O13" s="21">
        <f t="shared" si="10"/>
        <v>-202.50474790546639</v>
      </c>
      <c r="Q13" s="4" t="s">
        <v>21</v>
      </c>
      <c r="R13" t="s">
        <v>26</v>
      </c>
      <c r="S13" s="5">
        <v>850</v>
      </c>
    </row>
    <row r="14" spans="1:20" x14ac:dyDescent="0.45">
      <c r="B14" s="4">
        <v>7</v>
      </c>
      <c r="C14" s="15">
        <f t="shared" si="4"/>
        <v>2.8329649334364717</v>
      </c>
      <c r="D14" s="15">
        <f t="shared" si="5"/>
        <v>-244.8</v>
      </c>
      <c r="F14" s="22">
        <v>2.5600000000000001E-2</v>
      </c>
      <c r="G14" s="23">
        <f t="shared" si="1"/>
        <v>7.6800000000000006</v>
      </c>
      <c r="H14" s="23">
        <f t="shared" si="8"/>
        <v>249.74999999999994</v>
      </c>
      <c r="I14" s="15">
        <f t="shared" si="6"/>
        <v>-249.64703506656355</v>
      </c>
      <c r="J14" s="15">
        <f t="shared" si="0"/>
        <v>-67.404699467972165</v>
      </c>
      <c r="K14" s="23">
        <f t="shared" si="9"/>
        <v>212.80159043749993</v>
      </c>
      <c r="L14" s="23">
        <f t="shared" si="2"/>
        <v>292.80159043749995</v>
      </c>
      <c r="M14" s="15">
        <f t="shared" si="3"/>
        <v>-45.168625504063492</v>
      </c>
      <c r="N14" s="15">
        <f t="shared" si="7"/>
        <v>-180</v>
      </c>
      <c r="O14" s="21">
        <f t="shared" si="10"/>
        <v>-182.24233559859138</v>
      </c>
      <c r="Q14" s="4" t="s">
        <v>22</v>
      </c>
      <c r="R14" t="s">
        <v>27</v>
      </c>
      <c r="S14" s="5">
        <v>60</v>
      </c>
    </row>
    <row r="15" spans="1:20" x14ac:dyDescent="0.45">
      <c r="B15" s="4">
        <v>8</v>
      </c>
      <c r="C15" s="15">
        <f t="shared" si="4"/>
        <v>34.753203499061385</v>
      </c>
      <c r="D15" s="15">
        <f t="shared" si="5"/>
        <v>-244.8</v>
      </c>
      <c r="F15" s="22">
        <v>2.5600000000000001E-2</v>
      </c>
      <c r="G15" s="23">
        <f t="shared" si="1"/>
        <v>7.6800000000000006</v>
      </c>
      <c r="H15" s="23">
        <f t="shared" si="8"/>
        <v>242.06999999999994</v>
      </c>
      <c r="I15" s="15">
        <f t="shared" si="6"/>
        <v>-217.72679650093863</v>
      </c>
      <c r="J15" s="15">
        <f t="shared" si="0"/>
        <v>-58.786235055253435</v>
      </c>
      <c r="K15" s="23">
        <f t="shared" si="9"/>
        <v>244.7218290031249</v>
      </c>
      <c r="L15" s="23">
        <f t="shared" si="2"/>
        <v>324.72182900312487</v>
      </c>
      <c r="M15" s="15">
        <f t="shared" si="3"/>
        <v>-45.168625504063492</v>
      </c>
      <c r="N15" s="15">
        <f t="shared" si="7"/>
        <v>-180</v>
      </c>
      <c r="O15" s="21">
        <f t="shared" si="10"/>
        <v>-158.9405614456852</v>
      </c>
      <c r="Q15" s="4" t="s">
        <v>23</v>
      </c>
      <c r="R15" t="s">
        <v>27</v>
      </c>
      <c r="S15" s="5">
        <v>50</v>
      </c>
    </row>
    <row r="16" spans="1:20" x14ac:dyDescent="0.45">
      <c r="B16" s="4">
        <v>9</v>
      </c>
      <c r="C16" s="15">
        <f t="shared" si="4"/>
        <v>71.461477849530127</v>
      </c>
      <c r="D16" s="15">
        <f t="shared" si="5"/>
        <v>-244.8</v>
      </c>
      <c r="F16" s="22">
        <v>2.5600000000000001E-2</v>
      </c>
      <c r="G16" s="23">
        <f t="shared" si="1"/>
        <v>7.6800000000000006</v>
      </c>
      <c r="H16" s="23">
        <f t="shared" si="8"/>
        <v>234.38999999999993</v>
      </c>
      <c r="I16" s="15">
        <f t="shared" si="6"/>
        <v>-181.01852215046989</v>
      </c>
      <c r="J16" s="15">
        <f t="shared" si="0"/>
        <v>-48.875000980626872</v>
      </c>
      <c r="K16" s="23">
        <f t="shared" si="9"/>
        <v>281.43010335359361</v>
      </c>
      <c r="L16" s="23">
        <f t="shared" si="2"/>
        <v>361.43010335359361</v>
      </c>
      <c r="M16" s="15">
        <f t="shared" si="3"/>
        <v>-45.168625504063492</v>
      </c>
      <c r="N16" s="15">
        <f t="shared" si="7"/>
        <v>-180</v>
      </c>
      <c r="O16" s="21">
        <f t="shared" si="10"/>
        <v>-132.14352116984301</v>
      </c>
      <c r="Q16" s="4" t="s">
        <v>28</v>
      </c>
      <c r="R16" t="s">
        <v>29</v>
      </c>
      <c r="S16" s="36">
        <v>450</v>
      </c>
    </row>
    <row r="17" spans="2:19" x14ac:dyDescent="0.45">
      <c r="B17" s="4">
        <v>10</v>
      </c>
      <c r="C17" s="15">
        <f t="shared" si="4"/>
        <v>113.67599335256915</v>
      </c>
      <c r="D17" s="15">
        <f t="shared" si="5"/>
        <v>-244.8</v>
      </c>
      <c r="F17" s="22">
        <v>2.5600000000000001E-2</v>
      </c>
      <c r="G17" s="23">
        <f t="shared" si="1"/>
        <v>7.6800000000000006</v>
      </c>
      <c r="H17" s="23">
        <f t="shared" si="8"/>
        <v>226.70999999999992</v>
      </c>
      <c r="I17" s="15">
        <f t="shared" si="6"/>
        <v>-138.80400664743087</v>
      </c>
      <c r="J17" s="15">
        <f t="shared" si="0"/>
        <v>-37.477081794806338</v>
      </c>
      <c r="K17" s="23">
        <f t="shared" si="9"/>
        <v>323.64461885663263</v>
      </c>
      <c r="L17" s="23">
        <f t="shared" si="2"/>
        <v>403.64461885663263</v>
      </c>
      <c r="M17" s="15">
        <f t="shared" si="3"/>
        <v>-45.168625504063492</v>
      </c>
      <c r="N17" s="15">
        <f t="shared" si="7"/>
        <v>-180</v>
      </c>
      <c r="O17" s="21">
        <f t="shared" si="10"/>
        <v>-101.32692485262453</v>
      </c>
      <c r="Q17" s="6" t="s">
        <v>24</v>
      </c>
      <c r="R17" s="7" t="s">
        <v>29</v>
      </c>
      <c r="S17" s="8">
        <v>499127</v>
      </c>
    </row>
    <row r="18" spans="2:19" x14ac:dyDescent="0.45">
      <c r="B18" s="4">
        <v>11</v>
      </c>
      <c r="C18" s="15">
        <f t="shared" si="4"/>
        <v>162.22268618106403</v>
      </c>
      <c r="D18" s="15">
        <f t="shared" si="5"/>
        <v>-244.8</v>
      </c>
      <c r="F18" s="22">
        <v>2.5600000000000001E-2</v>
      </c>
      <c r="G18" s="23">
        <f t="shared" si="1"/>
        <v>7.6800000000000006</v>
      </c>
      <c r="H18" s="23">
        <f t="shared" si="8"/>
        <v>219.02999999999992</v>
      </c>
      <c r="I18" s="15">
        <f t="shared" si="6"/>
        <v>-90.257313818935984</v>
      </c>
      <c r="J18" s="15">
        <f t="shared" si="0"/>
        <v>-24.369474731112717</v>
      </c>
      <c r="K18" s="23">
        <f t="shared" si="9"/>
        <v>372.19131168512752</v>
      </c>
      <c r="L18" s="23">
        <f t="shared" si="2"/>
        <v>452.19131168512752</v>
      </c>
      <c r="M18" s="15">
        <f t="shared" si="3"/>
        <v>-45.168625504063492</v>
      </c>
      <c r="N18" s="15">
        <f t="shared" si="7"/>
        <v>-180</v>
      </c>
      <c r="O18" s="21">
        <f t="shared" si="10"/>
        <v>-65.887839087823266</v>
      </c>
    </row>
    <row r="19" spans="2:19" x14ac:dyDescent="0.45">
      <c r="B19" s="4">
        <v>12</v>
      </c>
      <c r="C19" s="15">
        <f t="shared" si="4"/>
        <v>218.05138293383311</v>
      </c>
      <c r="D19" s="15">
        <f t="shared" si="5"/>
        <v>-244.8</v>
      </c>
      <c r="F19" s="22">
        <v>2.5600000000000001E-2</v>
      </c>
      <c r="G19" s="23">
        <f t="shared" si="1"/>
        <v>7.6800000000000006</v>
      </c>
      <c r="H19" s="23">
        <f t="shared" si="8"/>
        <v>211.34999999999991</v>
      </c>
      <c r="I19" s="15">
        <f t="shared" si="6"/>
        <v>-34.4286170661669</v>
      </c>
      <c r="J19" s="15">
        <f t="shared" si="0"/>
        <v>-9.2957266078650633</v>
      </c>
      <c r="K19" s="23">
        <f t="shared" si="9"/>
        <v>428.02000843789659</v>
      </c>
      <c r="L19" s="23">
        <f t="shared" si="2"/>
        <v>508.02000843789659</v>
      </c>
      <c r="M19" s="15">
        <f t="shared" si="3"/>
        <v>-45.168625504063492</v>
      </c>
      <c r="N19" s="15">
        <f t="shared" si="7"/>
        <v>-180</v>
      </c>
      <c r="O19" s="21">
        <f t="shared" si="10"/>
        <v>-25.132890458301837</v>
      </c>
      <c r="Q19" s="1" t="s">
        <v>30</v>
      </c>
      <c r="R19" s="2" t="s">
        <v>38</v>
      </c>
      <c r="S19" s="9">
        <v>210</v>
      </c>
    </row>
    <row r="20" spans="2:19" x14ac:dyDescent="0.45">
      <c r="B20" s="4">
        <v>13</v>
      </c>
      <c r="C20" s="15">
        <f t="shared" si="4"/>
        <v>282.25438419951757</v>
      </c>
      <c r="D20" s="15">
        <f t="shared" si="5"/>
        <v>-244.8</v>
      </c>
      <c r="F20" s="22">
        <v>2.5600000000000001E-2</v>
      </c>
      <c r="G20" s="23">
        <f t="shared" si="1"/>
        <v>7.6800000000000006</v>
      </c>
      <c r="H20" s="23">
        <f t="shared" si="8"/>
        <v>203.6699999999999</v>
      </c>
      <c r="I20" s="15">
        <f t="shared" si="6"/>
        <v>29.774384199517563</v>
      </c>
      <c r="J20" s="15">
        <f t="shared" si="0"/>
        <v>8.0390837338697416</v>
      </c>
      <c r="K20" s="23">
        <f t="shared" si="9"/>
        <v>492.22300970358106</v>
      </c>
      <c r="L20" s="23">
        <f t="shared" si="2"/>
        <v>572.22300970358106</v>
      </c>
      <c r="M20" s="15">
        <f t="shared" si="3"/>
        <v>-45.168625504063492</v>
      </c>
      <c r="N20" s="15">
        <f t="shared" si="7"/>
        <v>-180</v>
      </c>
      <c r="O20" s="21">
        <f t="shared" si="10"/>
        <v>21.735300465647821</v>
      </c>
      <c r="Q20" s="4" t="s">
        <v>31</v>
      </c>
      <c r="R20" t="s">
        <v>38</v>
      </c>
      <c r="S20" s="10">
        <v>300</v>
      </c>
    </row>
    <row r="21" spans="2:19" x14ac:dyDescent="0.45">
      <c r="B21" s="4">
        <v>14</v>
      </c>
      <c r="C21" s="15">
        <f t="shared" si="4"/>
        <v>356.08783565505468</v>
      </c>
      <c r="D21" s="15">
        <f t="shared" si="5"/>
        <v>-244.8</v>
      </c>
      <c r="F21" s="22">
        <v>2.5600000000000001E-2</v>
      </c>
      <c r="G21" s="23">
        <f t="shared" si="1"/>
        <v>7.6800000000000006</v>
      </c>
      <c r="H21" s="23">
        <f t="shared" si="8"/>
        <v>195.9899999999999</v>
      </c>
      <c r="I21" s="15">
        <f t="shared" si="6"/>
        <v>103.60783565505466</v>
      </c>
      <c r="J21" s="15">
        <f t="shared" si="0"/>
        <v>27.974115626864759</v>
      </c>
      <c r="K21" s="23">
        <f t="shared" si="9"/>
        <v>566.05646115911816</v>
      </c>
      <c r="L21" s="23">
        <f t="shared" si="2"/>
        <v>646.05646115911816</v>
      </c>
      <c r="M21" s="15">
        <f t="shared" si="3"/>
        <v>-45.168625504063492</v>
      </c>
      <c r="N21" s="15">
        <f t="shared" si="7"/>
        <v>-180</v>
      </c>
      <c r="O21" s="21">
        <f t="shared" si="10"/>
        <v>75.633720028189899</v>
      </c>
      <c r="Q21" s="4" t="s">
        <v>32</v>
      </c>
      <c r="R21" t="s">
        <v>38</v>
      </c>
      <c r="S21" s="10">
        <f>S20/2*1.2</f>
        <v>180</v>
      </c>
    </row>
    <row r="22" spans="2:19" x14ac:dyDescent="0.45">
      <c r="B22" s="4">
        <v>15</v>
      </c>
      <c r="C22" s="15">
        <f t="shared" si="4"/>
        <v>440.9963048289224</v>
      </c>
      <c r="D22" s="15">
        <f t="shared" si="5"/>
        <v>-244.8</v>
      </c>
      <c r="F22" s="22">
        <v>2.5600000000000001E-2</v>
      </c>
      <c r="G22" s="23">
        <f t="shared" si="1"/>
        <v>7.6800000000000006</v>
      </c>
      <c r="H22" s="23">
        <f t="shared" si="8"/>
        <v>188.30999999999989</v>
      </c>
      <c r="I22" s="15">
        <f t="shared" si="6"/>
        <v>188.51630482892239</v>
      </c>
      <c r="J22" s="15">
        <f t="shared" si="0"/>
        <v>50.899402303809048</v>
      </c>
      <c r="K22" s="23">
        <f t="shared" si="9"/>
        <v>650.96493033298589</v>
      </c>
      <c r="L22" s="23">
        <f t="shared" si="2"/>
        <v>730.96493033298589</v>
      </c>
      <c r="M22" s="15">
        <f t="shared" si="3"/>
        <v>-45.168625504063492</v>
      </c>
      <c r="N22" s="15">
        <f t="shared" si="7"/>
        <v>-180</v>
      </c>
      <c r="O22" s="21">
        <f t="shared" si="10"/>
        <v>137.61690252511335</v>
      </c>
      <c r="Q22" s="4" t="s">
        <v>33</v>
      </c>
      <c r="S22" s="11">
        <f>S15*S16*60*4*12</f>
        <v>64800000</v>
      </c>
    </row>
    <row r="23" spans="2:19" x14ac:dyDescent="0.45">
      <c r="B23" s="4">
        <v>16</v>
      </c>
      <c r="C23" s="15">
        <f t="shared" si="4"/>
        <v>538.64104437887022</v>
      </c>
      <c r="D23" s="15">
        <f t="shared" si="5"/>
        <v>-244.8</v>
      </c>
      <c r="F23" s="22">
        <v>2.5600000000000001E-2</v>
      </c>
      <c r="G23" s="23">
        <f t="shared" si="1"/>
        <v>7.6800000000000006</v>
      </c>
      <c r="H23" s="23">
        <f t="shared" si="8"/>
        <v>180.62999999999988</v>
      </c>
      <c r="I23" s="15">
        <f t="shared" si="6"/>
        <v>286.1610443788702</v>
      </c>
      <c r="J23" s="15">
        <f t="shared" si="0"/>
        <v>77.263481982294962</v>
      </c>
      <c r="K23" s="23">
        <f t="shared" si="9"/>
        <v>748.60966988293376</v>
      </c>
      <c r="L23" s="23">
        <f t="shared" si="2"/>
        <v>828.60966988293376</v>
      </c>
      <c r="M23" s="15">
        <f t="shared" si="3"/>
        <v>-45.168625504063492</v>
      </c>
      <c r="N23" s="15">
        <f t="shared" si="7"/>
        <v>-180</v>
      </c>
      <c r="O23" s="21">
        <f t="shared" si="10"/>
        <v>208.89756239657524</v>
      </c>
      <c r="Q23" s="4"/>
      <c r="S23" s="28">
        <v>-64.8</v>
      </c>
    </row>
    <row r="24" spans="2:19" x14ac:dyDescent="0.45">
      <c r="B24" s="4">
        <v>17</v>
      </c>
      <c r="C24" s="15">
        <f t="shared" si="4"/>
        <v>650.93249486131026</v>
      </c>
      <c r="D24" s="15">
        <f t="shared" si="5"/>
        <v>-244.8</v>
      </c>
      <c r="F24" s="22">
        <v>2.5600000000000001E-2</v>
      </c>
      <c r="G24" s="23">
        <f t="shared" si="1"/>
        <v>7.6800000000000006</v>
      </c>
      <c r="H24" s="23">
        <f t="shared" si="8"/>
        <v>172.94999999999987</v>
      </c>
      <c r="I24" s="15">
        <f t="shared" si="6"/>
        <v>398.45249486131024</v>
      </c>
      <c r="J24" s="15">
        <f t="shared" si="0"/>
        <v>107.58217361255377</v>
      </c>
      <c r="K24" s="23">
        <f t="shared" si="9"/>
        <v>860.9011203653738</v>
      </c>
      <c r="L24" s="23">
        <f t="shared" si="2"/>
        <v>940.9011203653738</v>
      </c>
      <c r="M24" s="15">
        <f t="shared" si="3"/>
        <v>-45.168625504063492</v>
      </c>
      <c r="N24" s="15">
        <f t="shared" si="7"/>
        <v>-180</v>
      </c>
      <c r="O24" s="21">
        <f t="shared" si="10"/>
        <v>290.87032124875645</v>
      </c>
      <c r="Q24" s="4" t="s">
        <v>45</v>
      </c>
      <c r="S24" s="10">
        <v>0</v>
      </c>
    </row>
    <row r="25" spans="2:19" x14ac:dyDescent="0.45">
      <c r="B25" s="4">
        <v>18</v>
      </c>
      <c r="C25" s="15">
        <f t="shared" si="4"/>
        <v>780.06766291611621</v>
      </c>
      <c r="D25" s="15">
        <f t="shared" si="5"/>
        <v>-244.8</v>
      </c>
      <c r="F25" s="22">
        <v>2.5600000000000001E-2</v>
      </c>
      <c r="G25" s="23">
        <f t="shared" si="1"/>
        <v>7.6800000000000006</v>
      </c>
      <c r="H25" s="23">
        <f t="shared" si="8"/>
        <v>165.26999999999987</v>
      </c>
      <c r="I25" s="15">
        <f t="shared" si="6"/>
        <v>527.5876629161163</v>
      </c>
      <c r="J25" s="15">
        <f t="shared" si="0"/>
        <v>142.4486689873514</v>
      </c>
      <c r="K25" s="23">
        <f t="shared" si="9"/>
        <v>990.03628842017974</v>
      </c>
      <c r="L25" s="23">
        <f t="shared" si="2"/>
        <v>1070.0362884201797</v>
      </c>
      <c r="M25" s="15">
        <f t="shared" si="3"/>
        <v>-45.168625504063492</v>
      </c>
      <c r="N25" s="15">
        <f t="shared" si="7"/>
        <v>-180</v>
      </c>
      <c r="O25" s="21">
        <f t="shared" si="10"/>
        <v>385.13899392876488</v>
      </c>
      <c r="Q25" s="4" t="s">
        <v>34</v>
      </c>
      <c r="R25" t="s">
        <v>38</v>
      </c>
      <c r="S25" s="12">
        <v>80</v>
      </c>
    </row>
    <row r="26" spans="2:19" x14ac:dyDescent="0.45">
      <c r="B26" s="4">
        <v>19</v>
      </c>
      <c r="C26" s="15">
        <f t="shared" si="4"/>
        <v>928.573106179143</v>
      </c>
      <c r="D26" s="15">
        <f t="shared" si="5"/>
        <v>-244.8</v>
      </c>
      <c r="F26" s="22">
        <v>2.5600000000000001E-2</v>
      </c>
      <c r="G26" s="23">
        <f t="shared" si="1"/>
        <v>7.6800000000000006</v>
      </c>
      <c r="H26" s="23">
        <f t="shared" si="8"/>
        <v>157.58999999999986</v>
      </c>
      <c r="I26" s="15">
        <f t="shared" si="6"/>
        <v>676.09310617914309</v>
      </c>
      <c r="J26" s="15">
        <f t="shared" si="0"/>
        <v>182.54513866836865</v>
      </c>
      <c r="K26" s="23">
        <f t="shared" si="9"/>
        <v>1138.5417316832065</v>
      </c>
      <c r="L26" s="23">
        <f t="shared" si="2"/>
        <v>1218.5417316832065</v>
      </c>
      <c r="M26" s="15">
        <f t="shared" si="3"/>
        <v>-45.168625504063492</v>
      </c>
      <c r="N26" s="15">
        <f t="shared" si="7"/>
        <v>-180</v>
      </c>
      <c r="O26" s="21">
        <f t="shared" si="10"/>
        <v>493.54796751077447</v>
      </c>
      <c r="Q26" s="4" t="s">
        <v>12</v>
      </c>
      <c r="R26" t="s">
        <v>39</v>
      </c>
      <c r="S26" s="13">
        <v>0.1</v>
      </c>
    </row>
    <row r="27" spans="2:19" x14ac:dyDescent="0.45">
      <c r="B27" s="4">
        <v>20</v>
      </c>
      <c r="C27" s="15">
        <f t="shared" si="4"/>
        <v>1099.354365931624</v>
      </c>
      <c r="D27" s="15">
        <f t="shared" si="5"/>
        <v>-244.8</v>
      </c>
      <c r="F27" s="22">
        <v>2.5600000000000001E-2</v>
      </c>
      <c r="G27" s="23">
        <f t="shared" si="1"/>
        <v>7.6800000000000006</v>
      </c>
      <c r="H27" s="23">
        <f t="shared" si="8"/>
        <v>149.90999999999985</v>
      </c>
      <c r="I27" s="15">
        <f t="shared" si="6"/>
        <v>846.87436593162408</v>
      </c>
      <c r="J27" s="15">
        <f t="shared" si="0"/>
        <v>228.65607880153851</v>
      </c>
      <c r="K27" s="23">
        <f t="shared" si="9"/>
        <v>1309.3229914356875</v>
      </c>
      <c r="L27" s="23">
        <f t="shared" si="2"/>
        <v>1389.3229914356875</v>
      </c>
      <c r="M27" s="15">
        <f t="shared" si="3"/>
        <v>-45.168625504063492</v>
      </c>
      <c r="N27" s="15">
        <f t="shared" si="7"/>
        <v>-180</v>
      </c>
      <c r="O27" s="21">
        <f t="shared" si="10"/>
        <v>618.21828713008563</v>
      </c>
      <c r="Q27" s="4" t="s">
        <v>35</v>
      </c>
      <c r="R27" t="s">
        <v>39</v>
      </c>
      <c r="S27" s="13">
        <v>0.15</v>
      </c>
    </row>
    <row r="28" spans="2:19" x14ac:dyDescent="0.45">
      <c r="B28" s="4">
        <v>21</v>
      </c>
      <c r="C28" s="15">
        <f t="shared" si="4"/>
        <v>1295.752814646977</v>
      </c>
      <c r="D28" s="15">
        <f t="shared" si="5"/>
        <v>-244.8</v>
      </c>
      <c r="F28" s="22">
        <v>2.5600000000000001E-2</v>
      </c>
      <c r="G28" s="23">
        <f t="shared" si="1"/>
        <v>7.6800000000000006</v>
      </c>
      <c r="H28" s="23">
        <f t="shared" si="8"/>
        <v>142.22999999999985</v>
      </c>
      <c r="I28" s="15">
        <f t="shared" si="6"/>
        <v>1043.2728146469769</v>
      </c>
      <c r="J28" s="15">
        <f t="shared" si="0"/>
        <v>281.68365995468378</v>
      </c>
      <c r="K28" s="23">
        <f t="shared" si="9"/>
        <v>1505.7214401510405</v>
      </c>
      <c r="L28" s="23">
        <f t="shared" si="2"/>
        <v>1585.7214401510405</v>
      </c>
      <c r="M28" s="15">
        <f t="shared" si="3"/>
        <v>-45.168625504063492</v>
      </c>
      <c r="N28" s="15">
        <f t="shared" si="7"/>
        <v>-180</v>
      </c>
      <c r="O28" s="21">
        <f t="shared" si="10"/>
        <v>761.58915469229316</v>
      </c>
      <c r="Q28" s="4" t="s">
        <v>36</v>
      </c>
      <c r="R28" t="s">
        <v>39</v>
      </c>
      <c r="S28" s="13">
        <v>0.27</v>
      </c>
    </row>
    <row r="29" spans="2:19" x14ac:dyDescent="0.45">
      <c r="B29" s="4">
        <v>22</v>
      </c>
      <c r="C29" s="15">
        <f t="shared" si="4"/>
        <v>1521.611030669633</v>
      </c>
      <c r="D29" s="15">
        <f t="shared" si="5"/>
        <v>-244.8</v>
      </c>
      <c r="F29" s="22">
        <v>2.5600000000000001E-2</v>
      </c>
      <c r="G29" s="23">
        <f t="shared" si="1"/>
        <v>7.6800000000000006</v>
      </c>
      <c r="H29" s="23">
        <f t="shared" si="8"/>
        <v>134.54999999999984</v>
      </c>
      <c r="I29" s="15">
        <f t="shared" si="6"/>
        <v>1269.131030669633</v>
      </c>
      <c r="J29" s="15">
        <f t="shared" si="0"/>
        <v>342.66537828080095</v>
      </c>
      <c r="K29" s="23">
        <f t="shared" si="9"/>
        <v>1731.5796561736965</v>
      </c>
      <c r="L29" s="23">
        <f t="shared" si="2"/>
        <v>1811.5796561736965</v>
      </c>
      <c r="M29" s="15">
        <f t="shared" si="3"/>
        <v>-45.168625504063492</v>
      </c>
      <c r="N29" s="15">
        <f t="shared" si="7"/>
        <v>-180</v>
      </c>
      <c r="O29" s="21">
        <f t="shared" si="10"/>
        <v>926.46565238883204</v>
      </c>
      <c r="Q29" s="6" t="s">
        <v>37</v>
      </c>
      <c r="R29" s="7" t="s">
        <v>40</v>
      </c>
      <c r="S29" s="14">
        <v>40</v>
      </c>
    </row>
    <row r="30" spans="2:19" x14ac:dyDescent="0.45">
      <c r="B30" s="4">
        <v>23</v>
      </c>
      <c r="C30" s="15">
        <f t="shared" si="4"/>
        <v>1781.3479790956874</v>
      </c>
      <c r="D30" s="15">
        <f t="shared" si="5"/>
        <v>-244.8</v>
      </c>
      <c r="F30" s="22">
        <v>2.5600000000000001E-2</v>
      </c>
      <c r="G30" s="23">
        <f t="shared" si="1"/>
        <v>7.6800000000000006</v>
      </c>
      <c r="H30" s="23">
        <f t="shared" si="8"/>
        <v>126.86999999999983</v>
      </c>
      <c r="I30" s="15">
        <f t="shared" si="6"/>
        <v>1528.8679790956874</v>
      </c>
      <c r="J30" s="15">
        <f t="shared" si="0"/>
        <v>412.79435435583559</v>
      </c>
      <c r="K30" s="23">
        <f t="shared" si="9"/>
        <v>1991.3166045997509</v>
      </c>
      <c r="L30" s="23">
        <f t="shared" si="2"/>
        <v>2071.3166045997509</v>
      </c>
      <c r="M30" s="15">
        <f t="shared" si="3"/>
        <v>-45.168625504063492</v>
      </c>
      <c r="N30" s="15">
        <f t="shared" si="7"/>
        <v>-180</v>
      </c>
      <c r="O30" s="21">
        <f t="shared" si="10"/>
        <v>1116.0736247398518</v>
      </c>
    </row>
    <row r="31" spans="2:19" x14ac:dyDescent="0.45">
      <c r="B31" s="4">
        <v>24</v>
      </c>
      <c r="C31" s="15">
        <f t="shared" si="4"/>
        <v>2080.0454697856499</v>
      </c>
      <c r="D31" s="15">
        <f t="shared" si="5"/>
        <v>-244.8</v>
      </c>
      <c r="F31" s="22">
        <v>2.5600000000000001E-2</v>
      </c>
      <c r="G31" s="23">
        <f t="shared" si="1"/>
        <v>7.6800000000000006</v>
      </c>
      <c r="H31" s="23">
        <f t="shared" si="8"/>
        <v>119.18999999999983</v>
      </c>
      <c r="I31" s="15">
        <f t="shared" si="6"/>
        <v>1827.5654697856498</v>
      </c>
      <c r="J31" s="15">
        <f t="shared" si="0"/>
        <v>493.44267684212548</v>
      </c>
      <c r="K31" s="23">
        <f t="shared" si="9"/>
        <v>2290.0140952897132</v>
      </c>
      <c r="L31" s="23">
        <f t="shared" si="2"/>
        <v>2370.0140952897132</v>
      </c>
      <c r="M31" s="15">
        <f t="shared" si="3"/>
        <v>-45.168625504063492</v>
      </c>
      <c r="N31" s="15">
        <f t="shared" si="7"/>
        <v>-180</v>
      </c>
      <c r="O31" s="21">
        <f t="shared" si="10"/>
        <v>1334.1227929435245</v>
      </c>
    </row>
    <row r="32" spans="2:19" x14ac:dyDescent="0.45">
      <c r="B32" s="4">
        <v>25</v>
      </c>
      <c r="C32" s="15">
        <f t="shared" si="4"/>
        <v>2423.5475840791069</v>
      </c>
      <c r="D32" s="15">
        <f t="shared" si="5"/>
        <v>-244.8</v>
      </c>
      <c r="F32" s="22">
        <v>2.5600000000000001E-2</v>
      </c>
      <c r="G32" s="23">
        <f t="shared" si="1"/>
        <v>7.6800000000000006</v>
      </c>
      <c r="H32" s="23">
        <f t="shared" si="8"/>
        <v>111.50999999999982</v>
      </c>
      <c r="I32" s="15">
        <f t="shared" si="6"/>
        <v>2171.0675840791068</v>
      </c>
      <c r="J32" s="15">
        <f t="shared" si="0"/>
        <v>586.18824770135893</v>
      </c>
      <c r="K32" s="23">
        <f t="shared" si="9"/>
        <v>2633.5162095831702</v>
      </c>
      <c r="L32" s="23">
        <f t="shared" si="2"/>
        <v>2713.5162095831702</v>
      </c>
      <c r="M32" s="15">
        <f t="shared" si="3"/>
        <v>-45.168625504063492</v>
      </c>
      <c r="N32" s="15">
        <f t="shared" si="7"/>
        <v>-180</v>
      </c>
      <c r="O32" s="21">
        <f t="shared" si="10"/>
        <v>1584.8793363777479</v>
      </c>
    </row>
    <row r="33" spans="2:15" x14ac:dyDescent="0.45">
      <c r="B33" s="4">
        <v>26</v>
      </c>
      <c r="C33" s="15">
        <f t="shared" si="4"/>
        <v>2818.575015516582</v>
      </c>
      <c r="D33" s="15">
        <f t="shared" si="5"/>
        <v>-244.8</v>
      </c>
      <c r="F33" s="22">
        <v>2.5600000000000001E-2</v>
      </c>
      <c r="G33" s="23">
        <f t="shared" si="1"/>
        <v>7.6800000000000006</v>
      </c>
      <c r="H33" s="23">
        <f t="shared" si="8"/>
        <v>103.82999999999981</v>
      </c>
      <c r="I33" s="15">
        <f t="shared" si="6"/>
        <v>2566.095015516582</v>
      </c>
      <c r="J33" s="15">
        <f t="shared" si="0"/>
        <v>692.84565418947716</v>
      </c>
      <c r="K33" s="23">
        <f t="shared" si="9"/>
        <v>3028.5436410206453</v>
      </c>
      <c r="L33" s="23">
        <f t="shared" si="2"/>
        <v>3108.5436410206453</v>
      </c>
      <c r="M33" s="15">
        <f t="shared" si="3"/>
        <v>-45.168625504063492</v>
      </c>
      <c r="N33" s="15">
        <f t="shared" si="7"/>
        <v>-180</v>
      </c>
      <c r="O33" s="21">
        <f t="shared" si="10"/>
        <v>1873.2493613271049</v>
      </c>
    </row>
    <row r="34" spans="2:15" x14ac:dyDescent="0.45">
      <c r="B34" s="4">
        <v>27</v>
      </c>
      <c r="C34" s="15">
        <f t="shared" si="4"/>
        <v>3272.8565616696783</v>
      </c>
      <c r="D34" s="15">
        <f t="shared" si="5"/>
        <v>-244.8</v>
      </c>
      <c r="F34" s="22">
        <v>2.5600000000000001E-2</v>
      </c>
      <c r="G34" s="23">
        <f t="shared" si="1"/>
        <v>7.6800000000000006</v>
      </c>
      <c r="H34" s="23">
        <f t="shared" si="8"/>
        <v>96.149999999999807</v>
      </c>
      <c r="I34" s="15">
        <f t="shared" si="6"/>
        <v>3020.3765616696783</v>
      </c>
      <c r="J34" s="15">
        <f t="shared" si="0"/>
        <v>815.50167165081314</v>
      </c>
      <c r="K34" s="23">
        <f t="shared" si="9"/>
        <v>3482.8251871737416</v>
      </c>
      <c r="L34" s="23">
        <f t="shared" si="2"/>
        <v>3562.8251871737416</v>
      </c>
      <c r="M34" s="15">
        <f t="shared" si="3"/>
        <v>-45.168625504063492</v>
      </c>
      <c r="N34" s="15">
        <f t="shared" si="7"/>
        <v>-180</v>
      </c>
      <c r="O34" s="21">
        <f t="shared" si="10"/>
        <v>2204.8748900188652</v>
      </c>
    </row>
    <row r="35" spans="2:15" x14ac:dyDescent="0.45">
      <c r="B35" s="4">
        <v>28</v>
      </c>
      <c r="C35" s="15">
        <f t="shared" si="4"/>
        <v>3795.2803397457392</v>
      </c>
      <c r="D35" s="15">
        <f t="shared" si="5"/>
        <v>-244.8</v>
      </c>
      <c r="F35" s="22">
        <v>2.5600000000000001E-2</v>
      </c>
      <c r="G35" s="23">
        <f t="shared" si="1"/>
        <v>7.6800000000000006</v>
      </c>
      <c r="H35" s="23">
        <f t="shared" si="8"/>
        <v>88.4699999999998</v>
      </c>
      <c r="I35" s="15">
        <f t="shared" si="6"/>
        <v>3542.8003397457392</v>
      </c>
      <c r="J35" s="15">
        <f t="shared" si="0"/>
        <v>956.55609173134962</v>
      </c>
      <c r="K35" s="23">
        <f t="shared" si="9"/>
        <v>4005.2489652498025</v>
      </c>
      <c r="L35" s="23">
        <f t="shared" si="2"/>
        <v>4085.2489652498025</v>
      </c>
      <c r="M35" s="15">
        <f t="shared" si="3"/>
        <v>-45.168625504063492</v>
      </c>
      <c r="N35" s="15">
        <f t="shared" si="7"/>
        <v>-180</v>
      </c>
      <c r="O35" s="21">
        <f t="shared" si="10"/>
        <v>2586.2442480143895</v>
      </c>
    </row>
    <row r="36" spans="2:15" x14ac:dyDescent="0.45">
      <c r="B36" s="4">
        <v>29</v>
      </c>
      <c r="C36" s="15">
        <f t="shared" si="4"/>
        <v>4396.0676845332091</v>
      </c>
      <c r="D36" s="15">
        <f t="shared" si="5"/>
        <v>-244.8</v>
      </c>
      <c r="F36" s="22">
        <v>2.5600000000000001E-2</v>
      </c>
      <c r="G36" s="23">
        <f t="shared" si="1"/>
        <v>7.6800000000000006</v>
      </c>
      <c r="H36" s="23">
        <f t="shared" si="8"/>
        <v>80.789999999999793</v>
      </c>
      <c r="I36" s="15">
        <f t="shared" si="6"/>
        <v>4143.5876845332086</v>
      </c>
      <c r="J36" s="15">
        <f t="shared" si="0"/>
        <v>1118.7686748239664</v>
      </c>
      <c r="K36" s="23">
        <f t="shared" si="9"/>
        <v>4606.0363100372724</v>
      </c>
      <c r="L36" s="23">
        <f t="shared" si="2"/>
        <v>4686.0363100372724</v>
      </c>
      <c r="M36" s="15">
        <f t="shared" si="3"/>
        <v>-45.168625504063492</v>
      </c>
      <c r="N36" s="15">
        <f t="shared" si="7"/>
        <v>-180</v>
      </c>
      <c r="O36" s="21">
        <f t="shared" si="10"/>
        <v>3024.819009709242</v>
      </c>
    </row>
    <row r="37" spans="2:15" x14ac:dyDescent="0.45">
      <c r="B37" s="4">
        <v>30</v>
      </c>
      <c r="C37" s="15">
        <f t="shared" si="4"/>
        <v>5086.9731310387997</v>
      </c>
      <c r="D37" s="15">
        <f t="shared" si="5"/>
        <v>-244.8</v>
      </c>
      <c r="F37" s="22">
        <v>2.5600000000000001E-2</v>
      </c>
      <c r="G37" s="23">
        <f t="shared" si="1"/>
        <v>7.6800000000000006</v>
      </c>
      <c r="H37" s="23">
        <f t="shared" si="8"/>
        <v>73.109999999999786</v>
      </c>
      <c r="I37" s="15">
        <f t="shared" si="6"/>
        <v>4834.4931310387992</v>
      </c>
      <c r="J37" s="15">
        <f t="shared" si="0"/>
        <v>1305.3131453804758</v>
      </c>
      <c r="K37" s="23">
        <f t="shared" si="9"/>
        <v>5296.941756542863</v>
      </c>
      <c r="L37" s="23">
        <f t="shared" si="2"/>
        <v>5376.941756542863</v>
      </c>
      <c r="M37" s="15">
        <f t="shared" si="3"/>
        <v>-45.168625504063492</v>
      </c>
      <c r="N37" s="15">
        <f t="shared" si="7"/>
        <v>-180</v>
      </c>
      <c r="O37" s="21">
        <f t="shared" si="10"/>
        <v>3529.1799856583234</v>
      </c>
    </row>
    <row r="38" spans="2:15" x14ac:dyDescent="0.45">
      <c r="B38" s="4">
        <v>31</v>
      </c>
      <c r="C38" s="15">
        <f t="shared" si="4"/>
        <v>5881.514394520229</v>
      </c>
      <c r="D38" s="15">
        <f t="shared" si="5"/>
        <v>-244.8</v>
      </c>
      <c r="F38" s="22">
        <v>2.5600000000000001E-2</v>
      </c>
      <c r="G38" s="23">
        <f t="shared" si="1"/>
        <v>7.6800000000000006</v>
      </c>
      <c r="H38" s="23">
        <f t="shared" si="8"/>
        <v>65.429999999999779</v>
      </c>
      <c r="I38" s="15">
        <f t="shared" si="6"/>
        <v>5629.0343945202285</v>
      </c>
      <c r="J38" s="15">
        <f t="shared" si="0"/>
        <v>1519.8392865204619</v>
      </c>
      <c r="K38" s="23">
        <f t="shared" si="9"/>
        <v>6091.4830200242923</v>
      </c>
      <c r="L38" s="23">
        <f t="shared" si="2"/>
        <v>6171.4830200242923</v>
      </c>
      <c r="M38" s="15">
        <f t="shared" si="3"/>
        <v>-45.168625504063492</v>
      </c>
      <c r="N38" s="15">
        <f t="shared" si="7"/>
        <v>-180</v>
      </c>
      <c r="O38" s="21">
        <f t="shared" si="10"/>
        <v>4109.1951079997671</v>
      </c>
    </row>
    <row r="39" spans="2:15" x14ac:dyDescent="0.45">
      <c r="B39" s="4">
        <v>32</v>
      </c>
      <c r="C39" s="15">
        <f t="shared" si="4"/>
        <v>6795.2368475238727</v>
      </c>
      <c r="D39" s="15">
        <f t="shared" si="5"/>
        <v>-244.8</v>
      </c>
      <c r="F39" s="22">
        <v>2.5600000000000001E-2</v>
      </c>
      <c r="G39" s="23">
        <f t="shared" si="1"/>
        <v>7.6800000000000006</v>
      </c>
      <c r="H39" s="23">
        <f t="shared" si="8"/>
        <v>57.74999999999978</v>
      </c>
      <c r="I39" s="15">
        <f t="shared" si="6"/>
        <v>6542.7568475238722</v>
      </c>
      <c r="J39" s="15">
        <f t="shared" si="0"/>
        <v>1766.5443488314456</v>
      </c>
      <c r="K39" s="23">
        <f t="shared" si="9"/>
        <v>7005.205473027936</v>
      </c>
      <c r="L39" s="23">
        <f t="shared" si="2"/>
        <v>7085.205473027936</v>
      </c>
      <c r="M39" s="15">
        <f t="shared" si="3"/>
        <v>-45.168625504063492</v>
      </c>
      <c r="N39" s="15">
        <f t="shared" si="7"/>
        <v>-180</v>
      </c>
      <c r="O39" s="21">
        <f t="shared" si="10"/>
        <v>4776.2124986924264</v>
      </c>
    </row>
    <row r="40" spans="2:15" x14ac:dyDescent="0.45">
      <c r="B40" s="4">
        <v>33</v>
      </c>
      <c r="C40" s="15">
        <f t="shared" si="4"/>
        <v>7846.0176684780627</v>
      </c>
      <c r="D40" s="15">
        <f t="shared" si="5"/>
        <v>-244.8</v>
      </c>
      <c r="F40" s="22">
        <v>2.5600000000000001E-2</v>
      </c>
      <c r="G40" s="23">
        <f t="shared" si="1"/>
        <v>7.6800000000000006</v>
      </c>
      <c r="H40" s="23">
        <f t="shared" si="8"/>
        <v>50.06999999999978</v>
      </c>
      <c r="I40" s="15">
        <f t="shared" si="6"/>
        <v>7593.5376684780622</v>
      </c>
      <c r="J40" s="15">
        <f t="shared" si="0"/>
        <v>2050.255170489077</v>
      </c>
      <c r="K40" s="23">
        <f t="shared" si="9"/>
        <v>8055.986293982126</v>
      </c>
      <c r="L40" s="23">
        <f t="shared" si="2"/>
        <v>8135.986293982126</v>
      </c>
      <c r="M40" s="15">
        <f t="shared" si="3"/>
        <v>-45.168625504063492</v>
      </c>
      <c r="N40" s="15">
        <f t="shared" si="7"/>
        <v>-180</v>
      </c>
      <c r="O40" s="21">
        <f t="shared" si="10"/>
        <v>5543.2824979889847</v>
      </c>
    </row>
    <row r="41" spans="2:15" x14ac:dyDescent="0.45">
      <c r="B41" s="4">
        <v>34</v>
      </c>
      <c r="C41" s="15">
        <f t="shared" si="4"/>
        <v>9054.4156125753816</v>
      </c>
      <c r="D41" s="15">
        <f t="shared" si="5"/>
        <v>-244.8</v>
      </c>
      <c r="F41" s="22">
        <v>2.5600000000000001E-2</v>
      </c>
      <c r="G41" s="23">
        <f t="shared" si="1"/>
        <v>7.6800000000000006</v>
      </c>
      <c r="H41" s="23">
        <f t="shared" si="8"/>
        <v>42.38999999999978</v>
      </c>
      <c r="I41" s="15">
        <f t="shared" si="6"/>
        <v>8801.935612575382</v>
      </c>
      <c r="J41" s="15">
        <f t="shared" si="0"/>
        <v>2376.5226153953531</v>
      </c>
      <c r="K41" s="23">
        <f t="shared" si="9"/>
        <v>9264.3842380794449</v>
      </c>
      <c r="L41" s="23">
        <f t="shared" si="2"/>
        <v>9344.3842380794449</v>
      </c>
      <c r="M41" s="15">
        <f t="shared" si="3"/>
        <v>-45.168625504063492</v>
      </c>
      <c r="N41" s="15">
        <f t="shared" si="7"/>
        <v>-180</v>
      </c>
      <c r="O41" s="21">
        <f t="shared" si="10"/>
        <v>6425.4129971800285</v>
      </c>
    </row>
    <row r="42" spans="2:15" x14ac:dyDescent="0.45">
      <c r="B42" s="4">
        <v>35</v>
      </c>
      <c r="C42" s="15">
        <f t="shared" si="4"/>
        <v>10444.073248287297</v>
      </c>
      <c r="D42" s="15">
        <f t="shared" si="5"/>
        <v>-244.8</v>
      </c>
      <c r="F42" s="22">
        <v>2.5600000000000001E-2</v>
      </c>
      <c r="G42" s="23">
        <f t="shared" si="1"/>
        <v>7.6800000000000006</v>
      </c>
      <c r="H42" s="23">
        <f t="shared" si="8"/>
        <v>34.709999999999781</v>
      </c>
      <c r="I42" s="15">
        <f t="shared" si="6"/>
        <v>10191.593248287298</v>
      </c>
      <c r="J42" s="15">
        <f t="shared" si="0"/>
        <v>2751.7301770375707</v>
      </c>
      <c r="K42" s="23">
        <f t="shared" si="9"/>
        <v>10654.041873791361</v>
      </c>
      <c r="L42" s="23">
        <f t="shared" si="2"/>
        <v>10734.041873791361</v>
      </c>
      <c r="M42" s="15">
        <f t="shared" si="3"/>
        <v>-45.168625504063492</v>
      </c>
      <c r="N42" s="15">
        <f t="shared" si="7"/>
        <v>-180</v>
      </c>
      <c r="O42" s="21">
        <f t="shared" si="10"/>
        <v>7439.863071249727</v>
      </c>
    </row>
    <row r="43" spans="2:15" x14ac:dyDescent="0.45">
      <c r="B43" s="4">
        <v>36</v>
      </c>
      <c r="C43" s="15">
        <f t="shared" si="4"/>
        <v>12042.179529356001</v>
      </c>
      <c r="D43" s="15">
        <f t="shared" si="5"/>
        <v>-244.8</v>
      </c>
      <c r="F43" s="22">
        <v>2.5600000000000001E-2</v>
      </c>
      <c r="G43" s="23">
        <f t="shared" si="1"/>
        <v>7.6800000000000006</v>
      </c>
      <c r="H43" s="23">
        <f t="shared" si="8"/>
        <v>27.029999999999781</v>
      </c>
      <c r="I43" s="15">
        <f t="shared" si="6"/>
        <v>11789.699529356001</v>
      </c>
      <c r="J43" s="15">
        <f t="shared" si="0"/>
        <v>3183.2188729261206</v>
      </c>
      <c r="K43" s="23">
        <f t="shared" si="9"/>
        <v>12252.148154860064</v>
      </c>
      <c r="L43" s="23">
        <f t="shared" si="2"/>
        <v>12332.148154860064</v>
      </c>
      <c r="M43" s="15">
        <f t="shared" si="3"/>
        <v>-45.168625504063492</v>
      </c>
      <c r="N43" s="15">
        <f t="shared" si="7"/>
        <v>-180</v>
      </c>
      <c r="O43" s="21">
        <f t="shared" si="10"/>
        <v>8606.4806564298815</v>
      </c>
    </row>
    <row r="44" spans="2:15" x14ac:dyDescent="0.45">
      <c r="B44" s="4">
        <v>37</v>
      </c>
      <c r="C44" s="15">
        <f t="shared" si="4"/>
        <v>13880.001752585009</v>
      </c>
      <c r="D44" s="15">
        <f t="shared" si="5"/>
        <v>-244.8</v>
      </c>
      <c r="F44" s="22">
        <v>2.5600000000000001E-2</v>
      </c>
      <c r="G44" s="23">
        <f t="shared" si="1"/>
        <v>7.6800000000000006</v>
      </c>
      <c r="H44" s="23">
        <f t="shared" si="8"/>
        <v>19.349999999999781</v>
      </c>
      <c r="I44" s="15">
        <f t="shared" si="6"/>
        <v>13627.521752585009</v>
      </c>
      <c r="J44" s="15">
        <f t="shared" si="0"/>
        <v>3679.4308731979527</v>
      </c>
      <c r="K44" s="23">
        <f t="shared" si="9"/>
        <v>14089.970378089072</v>
      </c>
      <c r="L44" s="23">
        <f t="shared" si="2"/>
        <v>14169.970378089072</v>
      </c>
      <c r="M44" s="15">
        <f t="shared" si="3"/>
        <v>-45.168625504063492</v>
      </c>
      <c r="N44" s="15">
        <f t="shared" si="7"/>
        <v>-180</v>
      </c>
      <c r="O44" s="21">
        <f t="shared" si="10"/>
        <v>9948.0908793870567</v>
      </c>
    </row>
    <row r="45" spans="2:15" x14ac:dyDescent="0.45">
      <c r="B45" s="4">
        <v>38</v>
      </c>
      <c r="C45" s="15">
        <f t="shared" si="4"/>
        <v>15993.497309298369</v>
      </c>
      <c r="D45" s="15">
        <f t="shared" si="5"/>
        <v>-244.8</v>
      </c>
      <c r="F45" s="22">
        <v>2.5600000000000001E-2</v>
      </c>
      <c r="G45" s="23">
        <f t="shared" si="1"/>
        <v>7.6800000000000006</v>
      </c>
      <c r="H45" s="23">
        <f t="shared" si="8"/>
        <v>11.669999999999781</v>
      </c>
      <c r="I45" s="15">
        <f t="shared" si="6"/>
        <v>15741.01730929837</v>
      </c>
      <c r="J45" s="15">
        <f t="shared" si="0"/>
        <v>4250.0746735105604</v>
      </c>
      <c r="K45" s="23">
        <f t="shared" si="9"/>
        <v>16203.465934802432</v>
      </c>
      <c r="L45" s="23">
        <f t="shared" si="2"/>
        <v>16283.465934802432</v>
      </c>
      <c r="M45" s="15">
        <f t="shared" si="3"/>
        <v>-45.168625504063492</v>
      </c>
      <c r="N45" s="15">
        <f t="shared" si="7"/>
        <v>-180</v>
      </c>
      <c r="O45" s="21">
        <f t="shared" si="10"/>
        <v>11490.942635787809</v>
      </c>
    </row>
    <row r="46" spans="2:15" x14ac:dyDescent="0.45">
      <c r="B46" s="4">
        <v>39</v>
      </c>
      <c r="C46" s="15">
        <f t="shared" si="4"/>
        <v>18424.01719951873</v>
      </c>
      <c r="D46" s="15">
        <f t="shared" si="5"/>
        <v>-244.8</v>
      </c>
      <c r="F46" s="22">
        <v>2.5600000000000001E-2</v>
      </c>
      <c r="G46" s="23">
        <f t="shared" si="1"/>
        <v>7.6800000000000006</v>
      </c>
      <c r="H46" s="23">
        <f t="shared" si="8"/>
        <v>3.9899999999997808</v>
      </c>
      <c r="I46" s="15">
        <f t="shared" si="6"/>
        <v>18171.537199518731</v>
      </c>
      <c r="J46" s="15">
        <f t="shared" si="0"/>
        <v>4906.3150438700577</v>
      </c>
      <c r="K46" s="23">
        <f t="shared" si="9"/>
        <v>18633.985825022795</v>
      </c>
      <c r="L46" s="23">
        <f t="shared" si="2"/>
        <v>18713.985825022795</v>
      </c>
      <c r="M46" s="15">
        <f t="shared" si="3"/>
        <v>-45.168625504063492</v>
      </c>
      <c r="N46" s="15">
        <f t="shared" si="7"/>
        <v>-180</v>
      </c>
      <c r="O46" s="21">
        <f t="shared" si="10"/>
        <v>13265.222155648673</v>
      </c>
    </row>
    <row r="47" spans="2:15" x14ac:dyDescent="0.45">
      <c r="B47" s="6">
        <v>40</v>
      </c>
      <c r="C47" s="24">
        <f t="shared" si="4"/>
        <v>21219.115073272147</v>
      </c>
      <c r="D47" s="24">
        <f t="shared" si="5"/>
        <v>-244.8</v>
      </c>
      <c r="E47" s="7"/>
      <c r="F47" s="25">
        <v>1.17E-2</v>
      </c>
      <c r="G47" s="26">
        <f t="shared" si="1"/>
        <v>3.5100000000000002</v>
      </c>
      <c r="H47" s="26">
        <f t="shared" si="8"/>
        <v>0.4799999999997806</v>
      </c>
      <c r="I47" s="24">
        <f t="shared" si="6"/>
        <v>20970.805073272149</v>
      </c>
      <c r="J47" s="24">
        <f t="shared" si="0"/>
        <v>5662.1173697834811</v>
      </c>
      <c r="K47" s="26">
        <f t="shared" si="9"/>
        <v>21429.083698776212</v>
      </c>
      <c r="L47" s="26">
        <f t="shared" si="2"/>
        <v>21509.083698776212</v>
      </c>
      <c r="M47" s="24">
        <f t="shared" si="3"/>
        <v>-45.168625504063492</v>
      </c>
      <c r="N47" s="24">
        <f t="shared" si="7"/>
        <v>-180</v>
      </c>
      <c r="O47" s="27">
        <f t="shared" si="10"/>
        <v>15308.687703488667</v>
      </c>
    </row>
    <row r="49" spans="14:15" ht="28.5" x14ac:dyDescent="0.45">
      <c r="N49" s="16" t="s">
        <v>54</v>
      </c>
      <c r="O49" s="17">
        <f>AVERAGE(O8:O47)</f>
        <v>2649.6452909024738</v>
      </c>
    </row>
  </sheetData>
  <mergeCells count="5">
    <mergeCell ref="A1:T2"/>
    <mergeCell ref="A3:K3"/>
    <mergeCell ref="L3:T3"/>
    <mergeCell ref="A4:K4"/>
    <mergeCell ref="L4:T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C79F-32D8-480B-AF6A-A563769EFC6A}">
  <dimension ref="A1:T15"/>
  <sheetViews>
    <sheetView tabSelected="1" workbookViewId="0">
      <selection activeCell="E17" sqref="E17"/>
    </sheetView>
  </sheetViews>
  <sheetFormatPr defaultRowHeight="14.25" x14ac:dyDescent="0.45"/>
  <cols>
    <col min="1" max="1" width="35.6640625" customWidth="1"/>
    <col min="2" max="2" width="40.53125" customWidth="1"/>
  </cols>
  <sheetData>
    <row r="1" spans="1:20" ht="14.45" customHeight="1" x14ac:dyDescent="0.45">
      <c r="A1" s="51" t="s">
        <v>44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31"/>
      <c r="R1" s="31"/>
      <c r="S1" s="31"/>
      <c r="T1" s="31"/>
    </row>
    <row r="2" spans="1:20" ht="28.8" customHeight="1" x14ac:dyDescent="0.4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31"/>
      <c r="R2" s="31"/>
      <c r="S2" s="31"/>
      <c r="T2" s="31"/>
    </row>
    <row r="4" spans="1:20" ht="18" x14ac:dyDescent="0.55000000000000004">
      <c r="A4" s="32" t="s">
        <v>66</v>
      </c>
      <c r="B4" s="33" t="s">
        <v>9</v>
      </c>
    </row>
    <row r="5" spans="1:20" x14ac:dyDescent="0.45">
      <c r="A5" s="4" t="s">
        <v>10</v>
      </c>
      <c r="B5" s="34" t="s">
        <v>18</v>
      </c>
    </row>
    <row r="6" spans="1:20" x14ac:dyDescent="0.45">
      <c r="A6" s="4" t="s">
        <v>56</v>
      </c>
      <c r="B6" s="34" t="s">
        <v>19</v>
      </c>
    </row>
    <row r="7" spans="1:20" x14ac:dyDescent="0.45">
      <c r="A7" s="4" t="s">
        <v>33</v>
      </c>
      <c r="B7" s="34" t="s">
        <v>57</v>
      </c>
    </row>
    <row r="8" spans="1:20" x14ac:dyDescent="0.45">
      <c r="A8" s="4" t="s">
        <v>12</v>
      </c>
      <c r="B8" s="34" t="s">
        <v>58</v>
      </c>
    </row>
    <row r="9" spans="1:20" x14ac:dyDescent="0.45">
      <c r="A9" s="4" t="s">
        <v>11</v>
      </c>
      <c r="B9" s="34" t="s">
        <v>59</v>
      </c>
    </row>
    <row r="10" spans="1:20" x14ac:dyDescent="0.45">
      <c r="A10" s="4" t="s">
        <v>16</v>
      </c>
      <c r="B10" s="34" t="s">
        <v>60</v>
      </c>
    </row>
    <row r="11" spans="1:20" x14ac:dyDescent="0.45">
      <c r="A11" s="4" t="s">
        <v>13</v>
      </c>
      <c r="B11" s="34" t="s">
        <v>61</v>
      </c>
    </row>
    <row r="12" spans="1:20" x14ac:dyDescent="0.45">
      <c r="A12" s="4" t="s">
        <v>14</v>
      </c>
      <c r="B12" s="34" t="s">
        <v>62</v>
      </c>
    </row>
    <row r="13" spans="1:20" x14ac:dyDescent="0.45">
      <c r="A13" s="4" t="s">
        <v>15</v>
      </c>
      <c r="B13" s="34" t="s">
        <v>63</v>
      </c>
    </row>
    <row r="14" spans="1:20" x14ac:dyDescent="0.45">
      <c r="A14" s="4" t="s">
        <v>65</v>
      </c>
      <c r="B14" s="34" t="s">
        <v>64</v>
      </c>
    </row>
    <row r="15" spans="1:20" x14ac:dyDescent="0.45">
      <c r="A15" s="6" t="s">
        <v>17</v>
      </c>
      <c r="B15" s="35" t="s">
        <v>81</v>
      </c>
    </row>
  </sheetData>
  <mergeCells count="1">
    <mergeCell ref="A1:P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FAF9-2F8B-4DBB-BE8E-694CA8887A3B}">
  <dimension ref="A1:P15"/>
  <sheetViews>
    <sheetView topLeftCell="B1" workbookViewId="0">
      <selection activeCell="F5" sqref="F5:H15"/>
    </sheetView>
  </sheetViews>
  <sheetFormatPr defaultRowHeight="14.25" x14ac:dyDescent="0.45"/>
  <cols>
    <col min="2" max="2" width="27.86328125" bestFit="1" customWidth="1"/>
    <col min="3" max="3" width="24.46484375" bestFit="1" customWidth="1"/>
    <col min="4" max="4" width="25.53125" bestFit="1" customWidth="1"/>
    <col min="6" max="6" width="22.1328125" bestFit="1" customWidth="1"/>
    <col min="7" max="7" width="25.6640625" customWidth="1"/>
    <col min="8" max="8" width="25.53125" customWidth="1"/>
  </cols>
  <sheetData>
    <row r="1" spans="1:16" ht="14.45" customHeight="1" x14ac:dyDescent="0.45">
      <c r="A1" s="51" t="s">
        <v>44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0"/>
      <c r="O1" s="50"/>
      <c r="P1" s="50"/>
    </row>
    <row r="2" spans="1:16" ht="28.8" customHeight="1" x14ac:dyDescent="0.4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0"/>
      <c r="O2" s="50"/>
      <c r="P2" s="50"/>
    </row>
    <row r="5" spans="1:16" ht="18" x14ac:dyDescent="0.55000000000000004">
      <c r="B5" s="43" t="s">
        <v>76</v>
      </c>
      <c r="F5" s="43" t="s">
        <v>80</v>
      </c>
    </row>
    <row r="6" spans="1:16" x14ac:dyDescent="0.45">
      <c r="B6" s="44"/>
      <c r="C6" s="44" t="s">
        <v>75</v>
      </c>
      <c r="D6" s="44" t="s">
        <v>68</v>
      </c>
      <c r="G6" s="44" t="s">
        <v>75</v>
      </c>
      <c r="H6" s="44" t="s">
        <v>77</v>
      </c>
    </row>
    <row r="7" spans="1:16" x14ac:dyDescent="0.45">
      <c r="B7" s="46" t="s">
        <v>67</v>
      </c>
      <c r="C7" s="45">
        <v>68000</v>
      </c>
      <c r="D7" s="47">
        <f>C7*500</f>
        <v>34000000</v>
      </c>
      <c r="F7" s="46" t="s">
        <v>67</v>
      </c>
      <c r="G7" s="45">
        <v>68000</v>
      </c>
      <c r="H7" s="47">
        <f>G7*450</f>
        <v>30600000</v>
      </c>
    </row>
    <row r="9" spans="1:16" x14ac:dyDescent="0.45">
      <c r="B9" s="44"/>
      <c r="C9" s="44" t="s">
        <v>74</v>
      </c>
      <c r="D9" s="44" t="s">
        <v>73</v>
      </c>
      <c r="F9" s="44"/>
      <c r="G9" s="44" t="s">
        <v>74</v>
      </c>
      <c r="H9" s="44" t="s">
        <v>73</v>
      </c>
    </row>
    <row r="10" spans="1:16" x14ac:dyDescent="0.45">
      <c r="B10" s="46" t="s">
        <v>69</v>
      </c>
      <c r="C10" s="17">
        <v>22.5</v>
      </c>
      <c r="D10" s="48">
        <f>C10*250000</f>
        <v>5625000</v>
      </c>
      <c r="F10" s="46" t="s">
        <v>69</v>
      </c>
      <c r="G10" s="17">
        <v>22.5</v>
      </c>
      <c r="H10" s="48">
        <f>G10*250000</f>
        <v>5625000</v>
      </c>
    </row>
    <row r="13" spans="1:16" ht="42.75" x14ac:dyDescent="0.45">
      <c r="B13" s="46" t="s">
        <v>71</v>
      </c>
      <c r="C13" s="16" t="s">
        <v>72</v>
      </c>
      <c r="D13" s="48">
        <v>50040</v>
      </c>
      <c r="F13" s="46" t="s">
        <v>71</v>
      </c>
      <c r="G13" s="16" t="s">
        <v>72</v>
      </c>
      <c r="H13" s="48">
        <v>36035</v>
      </c>
    </row>
    <row r="14" spans="1:16" x14ac:dyDescent="0.45">
      <c r="D14" s="42"/>
      <c r="H14" s="42"/>
    </row>
    <row r="15" spans="1:16" ht="42.75" x14ac:dyDescent="0.45">
      <c r="B15" s="46" t="s">
        <v>70</v>
      </c>
      <c r="C15" s="16" t="s">
        <v>78</v>
      </c>
      <c r="D15" s="49">
        <f>5000000*0.04</f>
        <v>200000</v>
      </c>
      <c r="F15" s="46" t="s">
        <v>70</v>
      </c>
      <c r="G15" s="16" t="s">
        <v>79</v>
      </c>
      <c r="H15" s="49">
        <f>4000000*0.065</f>
        <v>260000</v>
      </c>
    </row>
  </sheetData>
  <mergeCells count="1">
    <mergeCell ref="A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Jacksonville, Florida</vt:lpstr>
      <vt:lpstr>Atlanta, Georgia</vt:lpstr>
      <vt:lpstr>Formula Sheet</vt:lpstr>
      <vt:lpstr>Bonus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 Dhomne</dc:creator>
  <cp:lastModifiedBy>Raeesha Musani</cp:lastModifiedBy>
  <cp:lastPrinted>2024-05-07T00:14:24Z</cp:lastPrinted>
  <dcterms:created xsi:type="dcterms:W3CDTF">2024-05-05T21:03:29Z</dcterms:created>
  <dcterms:modified xsi:type="dcterms:W3CDTF">2024-05-07T04:20:57Z</dcterms:modified>
</cp:coreProperties>
</file>